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showInkAnnotation="0" codeName="ThisWorkbook" defaultThemeVersion="124226"/>
  <mc:AlternateContent xmlns:mc="http://schemas.openxmlformats.org/markup-compatibility/2006">
    <mc:Choice Requires="x15">
      <x15ac:absPath xmlns:x15ac="http://schemas.microsoft.com/office/spreadsheetml/2010/11/ac" url="/Users/juliamorris/Downloads/"/>
    </mc:Choice>
  </mc:AlternateContent>
  <xr:revisionPtr revIDLastSave="0" documentId="8_{2BDCB096-7BD5-ED48-B287-CA30A4E67194}" xr6:coauthVersionLast="47" xr6:coauthVersionMax="47" xr10:uidLastSave="{00000000-0000-0000-0000-000000000000}"/>
  <bookViews>
    <workbookView xWindow="41080" yWindow="2540" windowWidth="34820" windowHeight="19720" tabRatio="905"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50" i="3" l="1"/>
  <c r="T623" i="3" l="1"/>
  <c r="T550" i="3" s="1"/>
  <c r="Q623" i="3"/>
  <c r="Q550" i="3" s="1"/>
  <c r="W554" i="3"/>
  <c r="AF623" i="3" l="1"/>
  <c r="O715" i="3"/>
  <c r="E84" i="4"/>
  <c r="E85" i="4"/>
  <c r="E86" i="4"/>
  <c r="E87" i="4"/>
  <c r="E88" i="4"/>
  <c r="E89" i="4"/>
  <c r="E90" i="4"/>
  <c r="E91" i="4"/>
  <c r="E92" i="4"/>
  <c r="E93" i="4"/>
  <c r="E94" i="4"/>
  <c r="E95" i="4"/>
  <c r="E83" i="4"/>
  <c r="E43" i="4"/>
  <c r="E41" i="4"/>
  <c r="E40" i="4"/>
  <c r="E46" i="4"/>
  <c r="E47" i="4"/>
  <c r="E48" i="4"/>
  <c r="E49" i="4"/>
  <c r="E50" i="4"/>
  <c r="E51" i="4"/>
  <c r="E52" i="4"/>
  <c r="E45" i="4"/>
  <c r="AA917" i="3"/>
  <c r="H99" i="4" l="1"/>
  <c r="E80" i="4"/>
  <c r="E79" i="4"/>
  <c r="E75" i="4"/>
  <c r="E74" i="4"/>
  <c r="E69" i="4"/>
  <c r="E66" i="4"/>
  <c r="E53" i="4"/>
  <c r="E35" i="4"/>
  <c r="E33" i="4"/>
  <c r="E32" i="4"/>
  <c r="E31" i="4"/>
  <c r="E29" i="4"/>
  <c r="E4" i="4"/>
  <c r="F30" i="4"/>
  <c r="G30" i="4"/>
  <c r="E30" i="4" l="1"/>
  <c r="W836" i="3"/>
  <c r="W837" i="3" s="1"/>
  <c r="W838" i="3" s="1"/>
  <c r="AC873" i="3"/>
  <c r="E37" i="4" l="1"/>
  <c r="M928" i="3"/>
  <c r="AA902" i="3"/>
  <c r="AA901" i="3"/>
  <c r="W841" i="3"/>
  <c r="O714" i="3"/>
  <c r="AE692" i="3"/>
  <c r="AE694" i="3" s="1"/>
  <c r="AH505" i="3"/>
  <c r="AG441" i="3"/>
  <c r="AG442" i="3" s="1"/>
  <c r="AG392" i="3"/>
  <c r="P348" i="3"/>
  <c r="P346" i="3"/>
  <c r="P345" i="3"/>
  <c r="P343" i="3"/>
  <c r="P342" i="3"/>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AA29" i="7" s="1"/>
  <c r="E28" i="7"/>
  <c r="AE28" i="7" s="1"/>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DX601" i="3" s="1"/>
  <c r="BN602" i="3"/>
  <c r="DX602" i="3" s="1"/>
  <c r="BN603" i="3"/>
  <c r="DX603" i="3" s="1"/>
  <c r="BN604" i="3"/>
  <c r="DX604" i="3" s="1"/>
  <c r="BN605" i="3"/>
  <c r="BN606" i="3"/>
  <c r="DX606" i="3" s="1"/>
  <c r="BN607" i="3"/>
  <c r="BN608" i="3"/>
  <c r="BN609" i="3"/>
  <c r="DX609" i="3" s="1"/>
  <c r="BN610" i="3"/>
  <c r="DX610" i="3" s="1"/>
  <c r="BN611" i="3"/>
  <c r="DX611" i="3" s="1"/>
  <c r="BN612" i="3"/>
  <c r="BN613" i="3"/>
  <c r="DX613" i="3" s="1"/>
  <c r="BN614" i="3"/>
  <c r="DX614" i="3" s="1"/>
  <c r="BN615" i="3"/>
  <c r="BN616" i="3"/>
  <c r="BN617" i="3"/>
  <c r="BN618" i="3"/>
  <c r="BN619" i="3"/>
  <c r="DX619" i="3" s="1"/>
  <c r="BN620" i="3"/>
  <c r="BN626" i="3"/>
  <c r="BN627" i="3"/>
  <c r="BN628" i="3"/>
  <c r="BN629" i="3"/>
  <c r="BN634" i="3"/>
  <c r="CS634" i="3" s="1"/>
  <c r="BN635" i="3"/>
  <c r="CS635" i="3" s="1"/>
  <c r="BN636" i="3"/>
  <c r="CS636" i="3" s="1"/>
  <c r="BN637" i="3"/>
  <c r="BN638" i="3"/>
  <c r="CS638" i="3" s="1"/>
  <c r="BN639" i="3"/>
  <c r="CS639" i="3" s="1"/>
  <c r="BN640" i="3"/>
  <c r="BN641" i="3"/>
  <c r="CS641" i="3" s="1"/>
  <c r="BN642" i="3"/>
  <c r="CS642" i="3" s="1"/>
  <c r="BN643" i="3"/>
  <c r="CS643" i="3" s="1"/>
  <c r="BS596" i="3"/>
  <c r="EC596" i="3" s="1"/>
  <c r="BS597" i="3"/>
  <c r="EC597" i="3" s="1"/>
  <c r="BS598" i="3"/>
  <c r="EC598" i="3" s="1"/>
  <c r="BS599" i="3"/>
  <c r="EC599" i="3" s="1"/>
  <c r="BS600" i="3"/>
  <c r="EC600" i="3" s="1"/>
  <c r="BS601" i="3"/>
  <c r="BS602" i="3"/>
  <c r="BS603" i="3"/>
  <c r="BS604" i="3"/>
  <c r="BS605" i="3"/>
  <c r="BS606" i="3"/>
  <c r="EC606" i="3" s="1"/>
  <c r="BS607" i="3"/>
  <c r="EC607" i="3" s="1"/>
  <c r="BS608" i="3"/>
  <c r="EC608" i="3" s="1"/>
  <c r="BS609" i="3"/>
  <c r="BS610" i="3"/>
  <c r="EC610" i="3" s="1"/>
  <c r="BS611" i="3"/>
  <c r="EC611" i="3" s="1"/>
  <c r="BS612" i="3"/>
  <c r="EC612" i="3" s="1"/>
  <c r="BS613" i="3"/>
  <c r="EC613" i="3" s="1"/>
  <c r="BS614" i="3"/>
  <c r="EC614" i="3" s="1"/>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CX638" i="3" s="1"/>
  <c r="BS639" i="3"/>
  <c r="CX639" i="3" s="1"/>
  <c r="BS640" i="3"/>
  <c r="CX640" i="3" s="1"/>
  <c r="BS641" i="3"/>
  <c r="BS642" i="3"/>
  <c r="CX642" i="3" s="1"/>
  <c r="BS643" i="3"/>
  <c r="CX643" i="3" s="1"/>
  <c r="BX596" i="3"/>
  <c r="EH596" i="3" s="1"/>
  <c r="BX597" i="3"/>
  <c r="EH597" i="3" s="1"/>
  <c r="BX598" i="3"/>
  <c r="BX599" i="3"/>
  <c r="BX600" i="3"/>
  <c r="EH600" i="3" s="1"/>
  <c r="BX601" i="3"/>
  <c r="BX602" i="3"/>
  <c r="BX603" i="3"/>
  <c r="EH603" i="3" s="1"/>
  <c r="BX604" i="3"/>
  <c r="EH604" i="3" s="1"/>
  <c r="BX605" i="3"/>
  <c r="EH605" i="3" s="1"/>
  <c r="BX606" i="3"/>
  <c r="EH606" i="3" s="1"/>
  <c r="BX607" i="3"/>
  <c r="EH607" i="3" s="1"/>
  <c r="BX608" i="3"/>
  <c r="BX609" i="3"/>
  <c r="BX610" i="3"/>
  <c r="EH610" i="3" s="1"/>
  <c r="BX611" i="3"/>
  <c r="EH611" i="3" s="1"/>
  <c r="BX612" i="3"/>
  <c r="BX613" i="3"/>
  <c r="EH613" i="3" s="1"/>
  <c r="BX614" i="3"/>
  <c r="EH614" i="3" s="1"/>
  <c r="BX615" i="3"/>
  <c r="EH615" i="3" s="1"/>
  <c r="BX616" i="3"/>
  <c r="EH616" i="3" s="1"/>
  <c r="BX617" i="3"/>
  <c r="BX618" i="3"/>
  <c r="EH618" i="3" s="1"/>
  <c r="BX619" i="3"/>
  <c r="EH619" i="3" s="1"/>
  <c r="BX620" i="3"/>
  <c r="EH620" i="3" s="1"/>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EM597" i="3" s="1"/>
  <c r="CC598" i="3"/>
  <c r="EM598" i="3" s="1"/>
  <c r="CC599" i="3"/>
  <c r="CC600" i="3"/>
  <c r="CC601" i="3"/>
  <c r="EM601" i="3" s="1"/>
  <c r="CC602" i="3"/>
  <c r="CC603" i="3"/>
  <c r="CC604" i="3"/>
  <c r="EM604" i="3" s="1"/>
  <c r="CC605" i="3"/>
  <c r="EM605" i="3" s="1"/>
  <c r="CC606" i="3"/>
  <c r="EM606" i="3" s="1"/>
  <c r="CC607" i="3"/>
  <c r="EM607" i="3" s="1"/>
  <c r="CC608" i="3"/>
  <c r="EM608" i="3" s="1"/>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DH638" i="3" s="1"/>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CM606" i="3"/>
  <c r="EW606" i="3" s="1"/>
  <c r="CM607" i="3"/>
  <c r="EW607" i="3" s="1"/>
  <c r="CM608" i="3"/>
  <c r="EW608" i="3" s="1"/>
  <c r="CM609" i="3"/>
  <c r="EW609" i="3" s="1"/>
  <c r="CM610" i="3"/>
  <c r="CM611" i="3"/>
  <c r="EW611" i="3" s="1"/>
  <c r="CM612" i="3"/>
  <c r="EW612" i="3" s="1"/>
  <c r="CM613" i="3"/>
  <c r="EW613" i="3" s="1"/>
  <c r="CM614" i="3"/>
  <c r="EW614" i="3" s="1"/>
  <c r="CM615" i="3"/>
  <c r="EW615" i="3" s="1"/>
  <c r="CM616" i="3"/>
  <c r="EW616" i="3" s="1"/>
  <c r="CM617" i="3"/>
  <c r="EW617" i="3" s="1"/>
  <c r="CM618" i="3"/>
  <c r="EW618" i="3" s="1"/>
  <c r="CM619" i="3"/>
  <c r="EW619" i="3" s="1"/>
  <c r="CM620" i="3"/>
  <c r="EW620" i="3" s="1"/>
  <c r="CH596" i="3"/>
  <c r="CH597" i="3"/>
  <c r="ER597" i="3" s="1"/>
  <c r="CH598" i="3"/>
  <c r="ER598" i="3" s="1"/>
  <c r="CH599" i="3"/>
  <c r="CH600" i="3"/>
  <c r="ER600" i="3" s="1"/>
  <c r="CH601" i="3"/>
  <c r="ER601" i="3" s="1"/>
  <c r="CH602" i="3"/>
  <c r="ER602" i="3" s="1"/>
  <c r="CH603" i="3"/>
  <c r="ER603" i="3" s="1"/>
  <c r="CH604" i="3"/>
  <c r="CH605" i="3"/>
  <c r="CH606" i="3"/>
  <c r="ER606" i="3" s="1"/>
  <c r="CH607" i="3"/>
  <c r="ER607" i="3" s="1"/>
  <c r="CH608" i="3"/>
  <c r="ER608" i="3" s="1"/>
  <c r="CH609" i="3"/>
  <c r="ER609" i="3" s="1"/>
  <c r="CH610" i="3"/>
  <c r="ER610" i="3" s="1"/>
  <c r="CH611" i="3"/>
  <c r="ER611" i="3" s="1"/>
  <c r="CH612" i="3"/>
  <c r="CH613" i="3"/>
  <c r="CH614" i="3"/>
  <c r="ER614" i="3" s="1"/>
  <c r="CH615" i="3"/>
  <c r="ER615" i="3" s="1"/>
  <c r="CH616" i="3"/>
  <c r="ER616" i="3" s="1"/>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X641" i="3"/>
  <c r="DC634" i="3"/>
  <c r="DC635" i="3"/>
  <c r="DC643" i="3"/>
  <c r="DH636" i="3"/>
  <c r="DR634" i="3"/>
  <c r="AJ610" i="20"/>
  <c r="E104" i="21"/>
  <c r="E95" i="21"/>
  <c r="B85" i="21"/>
  <c r="B60" i="21"/>
  <c r="B51" i="21"/>
  <c r="B42" i="21"/>
  <c r="B33" i="21"/>
  <c r="B18" i="21"/>
  <c r="B7" i="8"/>
  <c r="G7" i="8" s="1"/>
  <c r="AV764" i="3"/>
  <c r="U363" i="20"/>
  <c r="AK274" i="20"/>
  <c r="T799" i="20" s="1"/>
  <c r="AF799" i="20" s="1"/>
  <c r="B24" i="4"/>
  <c r="S24" i="4" s="1"/>
  <c r="E24" i="13" s="1"/>
  <c r="R36" i="4"/>
  <c r="B36" i="4"/>
  <c r="S36" i="4" s="1"/>
  <c r="E36" i="13" s="1"/>
  <c r="F36" i="13" s="1"/>
  <c r="B66" i="4"/>
  <c r="S66" i="4" s="1"/>
  <c r="E66" i="13" s="1"/>
  <c r="F66" i="13" s="1"/>
  <c r="B67" i="4"/>
  <c r="S67" i="4" s="1"/>
  <c r="E67" i="13" s="1"/>
  <c r="F67" i="13" s="1"/>
  <c r="B68" i="4"/>
  <c r="S68" i="4" s="1"/>
  <c r="E68" i="13" s="1"/>
  <c r="F68" i="13" s="1"/>
  <c r="B69" i="4"/>
  <c r="S69" i="4" s="1"/>
  <c r="E69" i="13" s="1"/>
  <c r="F69" i="13"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B100" i="13"/>
  <c r="B101" i="13"/>
  <c r="B102" i="13"/>
  <c r="B103" i="13"/>
  <c r="A69" i="13"/>
  <c r="H66" i="13"/>
  <c r="H67" i="13"/>
  <c r="H68" i="13"/>
  <c r="H69" i="13"/>
  <c r="B66" i="13"/>
  <c r="C66" i="13" s="1"/>
  <c r="B67" i="13"/>
  <c r="C67" i="13" s="1"/>
  <c r="B68" i="13"/>
  <c r="C68" i="13" s="1"/>
  <c r="B69" i="13"/>
  <c r="C69" i="13" s="1"/>
  <c r="A53" i="13"/>
  <c r="H36" i="13"/>
  <c r="B36" i="13"/>
  <c r="H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S100" i="4" s="1"/>
  <c r="E100" i="13" s="1"/>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I96" i="13"/>
  <c r="J96" i="13"/>
  <c r="J81" i="13"/>
  <c r="I81" i="13"/>
  <c r="G81" i="13"/>
  <c r="D81" i="13"/>
  <c r="H80" i="13"/>
  <c r="B80" i="13"/>
  <c r="C80" i="13" s="1"/>
  <c r="R80" i="4"/>
  <c r="R79" i="4"/>
  <c r="D81" i="4"/>
  <c r="E81" i="4"/>
  <c r="F81" i="4"/>
  <c r="G81" i="4"/>
  <c r="H81" i="4"/>
  <c r="I81" i="4"/>
  <c r="J81" i="4"/>
  <c r="K81" i="4"/>
  <c r="L81" i="4"/>
  <c r="M81" i="4"/>
  <c r="N81" i="4"/>
  <c r="O81" i="4"/>
  <c r="P81" i="4"/>
  <c r="Q81" i="4"/>
  <c r="T81" i="4"/>
  <c r="H81" i="13"/>
  <c r="C81" i="4"/>
  <c r="B81" i="13" s="1"/>
  <c r="B80" i="4"/>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15"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B72"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C62" i="13"/>
  <c r="J54" i="13"/>
  <c r="I54" i="13"/>
  <c r="G54" i="13"/>
  <c r="D54" i="13"/>
  <c r="J42" i="13"/>
  <c r="I42" i="13"/>
  <c r="G42" i="13"/>
  <c r="F26" i="13"/>
  <c r="D42" i="13"/>
  <c r="J38" i="13"/>
  <c r="I38" i="13"/>
  <c r="G38" i="13"/>
  <c r="D38" i="13"/>
  <c r="J26" i="13"/>
  <c r="I26" i="13"/>
  <c r="I11" i="13"/>
  <c r="G26" i="13"/>
  <c r="D26" i="13"/>
  <c r="C26" i="13"/>
  <c r="J11" i="13"/>
  <c r="D11" i="13"/>
  <c r="D12" i="13" s="1"/>
  <c r="C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S52" i="4" s="1"/>
  <c r="R51" i="4"/>
  <c r="S51" i="4" s="1"/>
  <c r="R50" i="4"/>
  <c r="S50" i="4" s="1"/>
  <c r="R49" i="4"/>
  <c r="S49" i="4" s="1"/>
  <c r="R48" i="4"/>
  <c r="S48" i="4" s="1"/>
  <c r="R47" i="4"/>
  <c r="S47" i="4" s="1"/>
  <c r="R46" i="4"/>
  <c r="R45" i="4"/>
  <c r="R43" i="4"/>
  <c r="S43" i="4" s="1"/>
  <c r="E43" i="13" s="1"/>
  <c r="F43" i="13" s="1"/>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D5" i="11" s="1"/>
  <c r="B6" i="11"/>
  <c r="C6" i="11"/>
  <c r="B7" i="11"/>
  <c r="C7" i="11"/>
  <c r="C8" i="11"/>
  <c r="B8" i="11"/>
  <c r="B10" i="11"/>
  <c r="B11" i="11"/>
  <c r="C10" i="11"/>
  <c r="C11" i="11"/>
  <c r="B14" i="11"/>
  <c r="C14" i="11"/>
  <c r="B15" i="11"/>
  <c r="C15" i="11"/>
  <c r="B16" i="11"/>
  <c r="C16" i="11"/>
  <c r="D16" i="11" s="1"/>
  <c r="B18" i="11"/>
  <c r="C18" i="11"/>
  <c r="D18" i="11" s="1"/>
  <c r="B19" i="11"/>
  <c r="C19" i="11"/>
  <c r="B20" i="11"/>
  <c r="C20" i="11"/>
  <c r="B21" i="11"/>
  <c r="C21" i="11"/>
  <c r="D21" i="11" s="1"/>
  <c r="B22" i="11"/>
  <c r="C22" i="11"/>
  <c r="D22" i="11" s="1"/>
  <c r="B23" i="11"/>
  <c r="C23" i="11"/>
  <c r="B24" i="11"/>
  <c r="B28" i="11"/>
  <c r="C28" i="11"/>
  <c r="B30" i="11"/>
  <c r="C30" i="11"/>
  <c r="B41" i="11"/>
  <c r="C41" i="11"/>
  <c r="C42" i="11"/>
  <c r="B42" i="11"/>
  <c r="B44" i="11"/>
  <c r="C44" i="11"/>
  <c r="B46" i="11"/>
  <c r="C46" i="11"/>
  <c r="B47" i="11"/>
  <c r="C47" i="11"/>
  <c r="B48" i="11"/>
  <c r="B49" i="11"/>
  <c r="B50" i="11"/>
  <c r="B51" i="11"/>
  <c r="B52" i="11"/>
  <c r="B53" i="11"/>
  <c r="C48" i="11"/>
  <c r="D48" i="11" s="1"/>
  <c r="C49" i="11"/>
  <c r="C50" i="11"/>
  <c r="C51" i="11"/>
  <c r="C52" i="11"/>
  <c r="C53" i="11"/>
  <c r="B57" i="11"/>
  <c r="C57" i="11"/>
  <c r="B58" i="11"/>
  <c r="C58" i="11"/>
  <c r="D58" i="11" s="1"/>
  <c r="B59" i="11"/>
  <c r="C59" i="11"/>
  <c r="B60" i="11"/>
  <c r="C60" i="11"/>
  <c r="D60" i="11" s="1"/>
  <c r="B61" i="11"/>
  <c r="C61" i="11"/>
  <c r="B62" i="11"/>
  <c r="C62" i="11"/>
  <c r="D62" i="11" s="1"/>
  <c r="B66" i="11"/>
  <c r="C66" i="11"/>
  <c r="B73" i="11"/>
  <c r="C73" i="11"/>
  <c r="B74" i="11"/>
  <c r="C74" i="11"/>
  <c r="B75" i="11"/>
  <c r="C75" i="11"/>
  <c r="D75" i="11" s="1"/>
  <c r="B76" i="11"/>
  <c r="C76" i="11"/>
  <c r="B77" i="11"/>
  <c r="C77" i="11"/>
  <c r="B84" i="11"/>
  <c r="C84" i="11"/>
  <c r="A4" i="8"/>
  <c r="D4" i="8"/>
  <c r="I4" i="8" s="1"/>
  <c r="A5" i="8"/>
  <c r="D5" i="8"/>
  <c r="I5" i="8" s="1"/>
  <c r="J5" i="8" s="1"/>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s="1"/>
  <c r="DX599" i="3"/>
  <c r="DX600" i="3"/>
  <c r="DX605" i="3"/>
  <c r="DX607" i="3"/>
  <c r="DX608" i="3"/>
  <c r="DX612" i="3"/>
  <c r="DX615" i="3"/>
  <c r="DX616" i="3"/>
  <c r="DX617" i="3"/>
  <c r="DX618" i="3"/>
  <c r="DX620" i="3"/>
  <c r="EC601" i="3"/>
  <c r="EC602" i="3"/>
  <c r="EC603" i="3"/>
  <c r="EC604" i="3"/>
  <c r="EC605" i="3"/>
  <c r="EC609" i="3"/>
  <c r="EC615" i="3"/>
  <c r="EC617" i="3"/>
  <c r="EC620" i="3"/>
  <c r="EH598" i="3"/>
  <c r="EH599" i="3"/>
  <c r="EH601" i="3"/>
  <c r="EH608" i="3"/>
  <c r="EH609" i="3"/>
  <c r="EH612" i="3"/>
  <c r="EH617" i="3"/>
  <c r="EM599" i="3"/>
  <c r="EM600" i="3"/>
  <c r="EM602" i="3"/>
  <c r="EM603" i="3"/>
  <c r="EM610" i="3"/>
  <c r="EM611" i="3"/>
  <c r="EM614" i="3"/>
  <c r="EM615" i="3"/>
  <c r="EM616" i="3"/>
  <c r="EM618" i="3"/>
  <c r="EM619" i="3"/>
  <c r="EW597" i="3"/>
  <c r="EW599" i="3"/>
  <c r="EW600" i="3"/>
  <c r="EW605" i="3"/>
  <c r="EW610" i="3"/>
  <c r="ER596" i="3"/>
  <c r="ER599" i="3"/>
  <c r="ER604" i="3"/>
  <c r="ER605" i="3"/>
  <c r="ER612" i="3"/>
  <c r="ER613" i="3"/>
  <c r="ER617" i="3"/>
  <c r="ER620" i="3"/>
  <c r="C11" i="4"/>
  <c r="C38" i="4"/>
  <c r="C54" i="4"/>
  <c r="C62" i="4"/>
  <c r="B62" i="13" s="1"/>
  <c r="C77" i="4"/>
  <c r="B77" i="13" s="1"/>
  <c r="C96" i="4"/>
  <c r="B96" i="13" s="1"/>
  <c r="D8" i="4"/>
  <c r="D11" i="4"/>
  <c r="D26" i="4"/>
  <c r="D38" i="4"/>
  <c r="D42" i="4"/>
  <c r="D54" i="4"/>
  <c r="D62" i="4"/>
  <c r="D77" i="4"/>
  <c r="B77" i="4" s="1"/>
  <c r="D96" i="4"/>
  <c r="D104" i="4"/>
  <c r="F2" i="4"/>
  <c r="G2" i="4"/>
  <c r="H2" i="4"/>
  <c r="I2" i="4"/>
  <c r="J2" i="4"/>
  <c r="K2" i="4"/>
  <c r="L2" i="4"/>
  <c r="M2" i="4"/>
  <c r="N2" i="4"/>
  <c r="O2" i="4"/>
  <c r="P2" i="4"/>
  <c r="Q2" i="4"/>
  <c r="B4" i="4"/>
  <c r="B5" i="4"/>
  <c r="B6" i="4"/>
  <c r="B7" i="4"/>
  <c r="E8" i="4"/>
  <c r="F8" i="4"/>
  <c r="F12" i="4" s="1"/>
  <c r="G8" i="4"/>
  <c r="G11" i="4"/>
  <c r="H8" i="4"/>
  <c r="H11" i="4"/>
  <c r="I8" i="4"/>
  <c r="I11" i="4"/>
  <c r="J8" i="4"/>
  <c r="J11" i="4"/>
  <c r="J12" i="4" s="1"/>
  <c r="J26" i="4"/>
  <c r="J38" i="4"/>
  <c r="J42" i="4"/>
  <c r="J54" i="4"/>
  <c r="J62" i="4"/>
  <c r="J70" i="4"/>
  <c r="J77" i="4"/>
  <c r="J96" i="4"/>
  <c r="J104" i="4"/>
  <c r="K8" i="4"/>
  <c r="K11" i="4"/>
  <c r="K12" i="4" s="1"/>
  <c r="L8" i="4"/>
  <c r="L11" i="4"/>
  <c r="M8" i="4"/>
  <c r="M11" i="4"/>
  <c r="N8" i="4"/>
  <c r="O8" i="4"/>
  <c r="Q8" i="4"/>
  <c r="Q11" i="4"/>
  <c r="Q12" i="4" s="1"/>
  <c r="B9" i="4"/>
  <c r="B10" i="4"/>
  <c r="S10" i="4" s="1"/>
  <c r="E10" i="13" s="1"/>
  <c r="E11" i="4"/>
  <c r="F11" i="4"/>
  <c r="F26" i="4"/>
  <c r="F38" i="4"/>
  <c r="F42" i="4"/>
  <c r="F54" i="4"/>
  <c r="F62" i="4"/>
  <c r="N11" i="4"/>
  <c r="O11" i="4"/>
  <c r="B13" i="4"/>
  <c r="S13" i="4" s="1"/>
  <c r="E13" i="13" s="1"/>
  <c r="B14" i="4"/>
  <c r="S14" i="4" s="1"/>
  <c r="E14" i="13" s="1"/>
  <c r="B15" i="4"/>
  <c r="AD199" i="20" s="1"/>
  <c r="B17" i="4"/>
  <c r="S17" i="4" s="1"/>
  <c r="E17" i="13" s="1"/>
  <c r="B18" i="4"/>
  <c r="S18" i="4" s="1"/>
  <c r="E18" i="13" s="1"/>
  <c r="B19" i="4"/>
  <c r="S19" i="4" s="1"/>
  <c r="E19" i="13" s="1"/>
  <c r="B20" i="4"/>
  <c r="S20" i="4" s="1"/>
  <c r="E20" i="13" s="1"/>
  <c r="B21" i="4"/>
  <c r="S21" i="4" s="1"/>
  <c r="E21" i="13" s="1"/>
  <c r="B22" i="4"/>
  <c r="S22" i="4" s="1"/>
  <c r="E22" i="13" s="1"/>
  <c r="B23" i="4"/>
  <c r="S23" i="4" s="1"/>
  <c r="E23" i="13" s="1"/>
  <c r="B25" i="4"/>
  <c r="S25" i="4" s="1"/>
  <c r="E25" i="13" s="1"/>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S27" i="4" s="1"/>
  <c r="E27" i="13" s="1"/>
  <c r="B29" i="4"/>
  <c r="S29" i="4" s="1"/>
  <c r="E29" i="13" s="1"/>
  <c r="F29" i="13" s="1"/>
  <c r="B30" i="4"/>
  <c r="S30" i="4" s="1"/>
  <c r="E30" i="13" s="1"/>
  <c r="F30" i="13" s="1"/>
  <c r="B31" i="4"/>
  <c r="S31" i="4" s="1"/>
  <c r="E31" i="13" s="1"/>
  <c r="F31" i="13" s="1"/>
  <c r="B32" i="4"/>
  <c r="S32" i="4" s="1"/>
  <c r="E32" i="13" s="1"/>
  <c r="F32" i="13" s="1"/>
  <c r="B33" i="4"/>
  <c r="S33" i="4" s="1"/>
  <c r="E33" i="13" s="1"/>
  <c r="F33" i="13" s="1"/>
  <c r="B34" i="4"/>
  <c r="S34" i="4" s="1"/>
  <c r="E34" i="13" s="1"/>
  <c r="F34" i="13" s="1"/>
  <c r="B35" i="4"/>
  <c r="S35" i="4" s="1"/>
  <c r="E35" i="13" s="1"/>
  <c r="F35" i="13" s="1"/>
  <c r="B37" i="4"/>
  <c r="S37" i="4" s="1"/>
  <c r="E37" i="13" s="1"/>
  <c r="F37" i="13" s="1"/>
  <c r="E38" i="4"/>
  <c r="G38" i="4"/>
  <c r="H38" i="4"/>
  <c r="K38" i="4"/>
  <c r="L38" i="4"/>
  <c r="O38" i="4"/>
  <c r="P38" i="4"/>
  <c r="P42" i="4"/>
  <c r="P54" i="4"/>
  <c r="P62" i="4"/>
  <c r="P70" i="4"/>
  <c r="P77" i="4"/>
  <c r="P96" i="4"/>
  <c r="P104" i="4"/>
  <c r="Q38" i="4"/>
  <c r="B40" i="4"/>
  <c r="S40" i="4" s="1"/>
  <c r="E40" i="13" s="1"/>
  <c r="F40" i="13" s="1"/>
  <c r="B41" i="4"/>
  <c r="S41" i="4" s="1"/>
  <c r="E41" i="13" s="1"/>
  <c r="F41" i="13" s="1"/>
  <c r="E42" i="4"/>
  <c r="G42" i="4"/>
  <c r="H42" i="4"/>
  <c r="K42" i="4"/>
  <c r="L42" i="4"/>
  <c r="O42" i="4"/>
  <c r="Q42" i="4"/>
  <c r="B43" i="4"/>
  <c r="B45" i="4"/>
  <c r="B46" i="4"/>
  <c r="B47" i="4"/>
  <c r="B48" i="4"/>
  <c r="B49" i="4"/>
  <c r="B50" i="4"/>
  <c r="E50" i="13" s="1"/>
  <c r="F50" i="13" s="1"/>
  <c r="B51" i="4"/>
  <c r="B52" i="4"/>
  <c r="B53" i="4"/>
  <c r="E54" i="4"/>
  <c r="G54" i="4"/>
  <c r="H54" i="4"/>
  <c r="K54" i="4"/>
  <c r="L54" i="4"/>
  <c r="O54" i="4"/>
  <c r="Q54" i="4"/>
  <c r="B56" i="4"/>
  <c r="B57" i="4"/>
  <c r="B58" i="4"/>
  <c r="B60" i="4"/>
  <c r="B61" i="4"/>
  <c r="E62" i="4"/>
  <c r="G62" i="4"/>
  <c r="H62" i="4"/>
  <c r="K62" i="4"/>
  <c r="L62" i="4"/>
  <c r="O62" i="4"/>
  <c r="O70" i="4"/>
  <c r="O77" i="4"/>
  <c r="O96" i="4"/>
  <c r="O104" i="4"/>
  <c r="Q62" i="4"/>
  <c r="B65" i="4"/>
  <c r="S65" i="4" s="1"/>
  <c r="E70" i="4"/>
  <c r="F70" i="4"/>
  <c r="G70" i="4"/>
  <c r="H70" i="4"/>
  <c r="I70" i="4"/>
  <c r="K70" i="4"/>
  <c r="L70" i="4"/>
  <c r="Q70" i="4"/>
  <c r="B72" i="4"/>
  <c r="B73" i="4"/>
  <c r="B74" i="4"/>
  <c r="B75" i="4"/>
  <c r="B76" i="4"/>
  <c r="E77" i="4"/>
  <c r="F77" i="4"/>
  <c r="G77" i="4"/>
  <c r="H77" i="4"/>
  <c r="I77" i="4"/>
  <c r="K77" i="4"/>
  <c r="L77" i="4"/>
  <c r="Q77" i="4"/>
  <c r="B79" i="4"/>
  <c r="S79" i="4" s="1"/>
  <c r="E79" i="13" s="1"/>
  <c r="F79" i="13" s="1"/>
  <c r="B83" i="4"/>
  <c r="B84" i="4"/>
  <c r="S84" i="4" s="1"/>
  <c r="B85" i="4"/>
  <c r="S85" i="4" s="1"/>
  <c r="E85" i="13" s="1"/>
  <c r="F85" i="13" s="1"/>
  <c r="B86" i="4"/>
  <c r="S86" i="4" s="1"/>
  <c r="E86" i="13" s="1"/>
  <c r="F86" i="13" s="1"/>
  <c r="B87" i="4"/>
  <c r="S87" i="4" s="1"/>
  <c r="E87" i="13" s="1"/>
  <c r="B88" i="4"/>
  <c r="B89" i="4"/>
  <c r="S89" i="4" s="1"/>
  <c r="E89" i="13" s="1"/>
  <c r="B90" i="4"/>
  <c r="S90" i="4" s="1"/>
  <c r="E90" i="13" s="1"/>
  <c r="F90" i="13" s="1"/>
  <c r="B91" i="4"/>
  <c r="S91" i="4" s="1"/>
  <c r="E91" i="13" s="1"/>
  <c r="F91" i="13" s="1"/>
  <c r="B92" i="4"/>
  <c r="S92" i="4" s="1"/>
  <c r="E92" i="13" s="1"/>
  <c r="F92" i="13" s="1"/>
  <c r="B93" i="4"/>
  <c r="S93" i="4" s="1"/>
  <c r="E93" i="13" s="1"/>
  <c r="F93" i="13" s="1"/>
  <c r="B94" i="4"/>
  <c r="S94" i="4" s="1"/>
  <c r="E94" i="13" s="1"/>
  <c r="F94" i="13" s="1"/>
  <c r="B95" i="4"/>
  <c r="S95" i="4" s="1"/>
  <c r="E95" i="13" s="1"/>
  <c r="F95" i="13" s="1"/>
  <c r="E96" i="4"/>
  <c r="F96" i="4"/>
  <c r="G96" i="4"/>
  <c r="H96" i="4"/>
  <c r="I96" i="4"/>
  <c r="K96" i="4"/>
  <c r="L96" i="4"/>
  <c r="Q96" i="4"/>
  <c r="B101" i="4"/>
  <c r="S101" i="4" s="1"/>
  <c r="E101" i="13" s="1"/>
  <c r="B102" i="4"/>
  <c r="S102" i="4" s="1"/>
  <c r="E102" i="13" s="1"/>
  <c r="B103" i="4"/>
  <c r="S103" i="4" s="1"/>
  <c r="E103" i="13" s="1"/>
  <c r="F104" i="4"/>
  <c r="G104" i="4"/>
  <c r="H104" i="4"/>
  <c r="I104" i="4"/>
  <c r="K104" i="4"/>
  <c r="L104" i="4"/>
  <c r="Q104"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AH718" i="3"/>
  <c r="D102" i="11"/>
  <c r="D73" i="11"/>
  <c r="D87" i="11"/>
  <c r="D101" i="11"/>
  <c r="AH719" i="3"/>
  <c r="AH717" i="3"/>
  <c r="AH716" i="3"/>
  <c r="W28" i="7"/>
  <c r="S28" i="7"/>
  <c r="AC28" i="7"/>
  <c r="Q28" i="7"/>
  <c r="U28" i="7"/>
  <c r="D14" i="11" l="1"/>
  <c r="E51" i="13"/>
  <c r="F51" i="13" s="1"/>
  <c r="D76" i="11"/>
  <c r="D59" i="11"/>
  <c r="R42" i="4"/>
  <c r="D23" i="11"/>
  <c r="D104" i="11"/>
  <c r="D19" i="11"/>
  <c r="I12" i="4"/>
  <c r="B12" i="11"/>
  <c r="G63" i="13"/>
  <c r="G97" i="13" s="1"/>
  <c r="D95" i="11"/>
  <c r="D103" i="11"/>
  <c r="C43" i="11"/>
  <c r="D7" i="11"/>
  <c r="D12" i="4"/>
  <c r="B26" i="4"/>
  <c r="C71" i="11"/>
  <c r="D15" i="11"/>
  <c r="F42" i="13"/>
  <c r="G12" i="4"/>
  <c r="J63" i="13"/>
  <c r="J97" i="13" s="1"/>
  <c r="J105" i="13" s="1"/>
  <c r="J107" i="13" s="1"/>
  <c r="E49" i="13"/>
  <c r="F49" i="13" s="1"/>
  <c r="R11" i="4"/>
  <c r="D24" i="11"/>
  <c r="D86" i="11"/>
  <c r="D90" i="11"/>
  <c r="O63" i="4"/>
  <c r="O97" i="4" s="1"/>
  <c r="O105" i="4" s="1"/>
  <c r="M63" i="4"/>
  <c r="M97" i="4" s="1"/>
  <c r="M105" i="4" s="1"/>
  <c r="B11" i="4"/>
  <c r="D84" i="11"/>
  <c r="D74" i="11"/>
  <c r="D61" i="11"/>
  <c r="D57" i="11"/>
  <c r="D10" i="11"/>
  <c r="R62" i="4"/>
  <c r="D38" i="11"/>
  <c r="D70" i="11"/>
  <c r="D93" i="11"/>
  <c r="D89" i="11"/>
  <c r="I58" i="7"/>
  <c r="B11" i="13"/>
  <c r="N63" i="4"/>
  <c r="N97" i="4" s="1"/>
  <c r="N105" i="4" s="1"/>
  <c r="D49" i="11"/>
  <c r="AB223" i="20"/>
  <c r="AB239" i="20" s="1"/>
  <c r="AB241" i="20" s="1"/>
  <c r="AB243" i="20" s="1"/>
  <c r="AB249" i="20" s="1"/>
  <c r="AD198" i="20" s="1"/>
  <c r="AD200" i="20" s="1"/>
  <c r="Y28" i="7"/>
  <c r="M12" i="4"/>
  <c r="J63" i="4"/>
  <c r="J97" i="4" s="1"/>
  <c r="J105" i="4" s="1"/>
  <c r="E12" i="4"/>
  <c r="D63" i="4"/>
  <c r="D97" i="4" s="1"/>
  <c r="D105" i="4" s="1"/>
  <c r="C42" i="13"/>
  <c r="AG29" i="7"/>
  <c r="K53" i="7"/>
  <c r="K58" i="7" s="1"/>
  <c r="I63" i="4"/>
  <c r="I97" i="4" s="1"/>
  <c r="I105" i="4" s="1"/>
  <c r="R26" i="4"/>
  <c r="R70" i="4"/>
  <c r="O28" i="7"/>
  <c r="S70" i="4"/>
  <c r="E70" i="13" s="1"/>
  <c r="P63" i="4"/>
  <c r="P97" i="4" s="1"/>
  <c r="P105" i="4" s="1"/>
  <c r="F63" i="4"/>
  <c r="F97" i="4" s="1"/>
  <c r="F105" i="4" s="1"/>
  <c r="H12" i="4"/>
  <c r="B63" i="11"/>
  <c r="D11" i="11"/>
  <c r="C9" i="11"/>
  <c r="C13" i="11" s="1"/>
  <c r="I63" i="13"/>
  <c r="I97" i="13" s="1"/>
  <c r="I105" i="13" s="1"/>
  <c r="I107" i="13" s="1"/>
  <c r="C12" i="13"/>
  <c r="T63" i="4"/>
  <c r="H63" i="13" s="1"/>
  <c r="D47" i="11"/>
  <c r="G58" i="7"/>
  <c r="AA28" i="7"/>
  <c r="G28" i="7"/>
  <c r="M28" i="7"/>
  <c r="K28" i="7"/>
  <c r="E52" i="13"/>
  <c r="F52" i="13" s="1"/>
  <c r="D77" i="11"/>
  <c r="D28" i="11"/>
  <c r="R77" i="4"/>
  <c r="G105" i="13"/>
  <c r="G107" i="13" s="1"/>
  <c r="I28" i="7"/>
  <c r="L12" i="4"/>
  <c r="D6" i="11"/>
  <c r="AG28" i="7"/>
  <c r="AD7" i="15"/>
  <c r="O12" i="4"/>
  <c r="B78" i="11"/>
  <c r="D20" i="11"/>
  <c r="D8" i="11"/>
  <c r="R8" i="4"/>
  <c r="C12" i="11"/>
  <c r="D12" i="11" s="1"/>
  <c r="Q63" i="4"/>
  <c r="Q97" i="4" s="1"/>
  <c r="Q105" i="4" s="1"/>
  <c r="B54" i="4"/>
  <c r="R12" i="4"/>
  <c r="N12" i="4"/>
  <c r="AH714" i="3"/>
  <c r="B38" i="4"/>
  <c r="B62" i="4"/>
  <c r="G63" i="4"/>
  <c r="G97" i="4" s="1"/>
  <c r="G105" i="4" s="1"/>
  <c r="C63" i="11"/>
  <c r="D63" i="13"/>
  <c r="D97" i="13" s="1"/>
  <c r="D105" i="13" s="1"/>
  <c r="S46" i="4"/>
  <c r="AP364" i="20"/>
  <c r="AQ364" i="20" s="1"/>
  <c r="M53" i="7"/>
  <c r="S26" i="4"/>
  <c r="E26" i="13" s="1"/>
  <c r="AO22" i="20"/>
  <c r="AB48" i="15"/>
  <c r="C70" i="13"/>
  <c r="F81" i="13"/>
  <c r="C27" i="11"/>
  <c r="S43" i="7"/>
  <c r="B9" i="11"/>
  <c r="B13" i="11" s="1"/>
  <c r="O30" i="21"/>
  <c r="S45" i="4"/>
  <c r="E45" i="13" s="1"/>
  <c r="F45" i="13" s="1"/>
  <c r="K63" i="4"/>
  <c r="K97" i="4" s="1"/>
  <c r="K105" i="4" s="1"/>
  <c r="H63" i="4"/>
  <c r="H97" i="4" s="1"/>
  <c r="H105" i="4" s="1"/>
  <c r="AH715" i="3"/>
  <c r="D51" i="11"/>
  <c r="S53" i="4"/>
  <c r="E53" i="13" s="1"/>
  <c r="F53" i="13" s="1"/>
  <c r="L63" i="4"/>
  <c r="L97" i="4" s="1"/>
  <c r="L105" i="4" s="1"/>
  <c r="E48" i="13"/>
  <c r="F48" i="13" s="1"/>
  <c r="B71" i="11"/>
  <c r="D50" i="11"/>
  <c r="D42" i="11"/>
  <c r="C77" i="13"/>
  <c r="C81" i="13"/>
  <c r="AK524" i="20"/>
  <c r="T798" i="20" s="1"/>
  <c r="AF798" i="20" s="1"/>
  <c r="D96" i="11"/>
  <c r="D88" i="11"/>
  <c r="D91" i="11"/>
  <c r="D32" i="11"/>
  <c r="F38" i="13"/>
  <c r="J4" i="8"/>
  <c r="J30" i="8" s="1"/>
  <c r="D31" i="11"/>
  <c r="R96" i="4"/>
  <c r="T97" i="4"/>
  <c r="T105" i="4" s="1"/>
  <c r="T107" i="4" s="1"/>
  <c r="H107" i="13" s="1"/>
  <c r="D92" i="11"/>
  <c r="S96" i="4"/>
  <c r="E96" i="13" s="1"/>
  <c r="B43" i="11"/>
  <c r="D85" i="11"/>
  <c r="C96" i="13"/>
  <c r="B97" i="11"/>
  <c r="R54" i="4"/>
  <c r="D66" i="11"/>
  <c r="B70" i="13"/>
  <c r="D71" i="11"/>
  <c r="E65" i="13"/>
  <c r="F65" i="13" s="1"/>
  <c r="F70" i="13" s="1"/>
  <c r="D52" i="11"/>
  <c r="C55" i="11"/>
  <c r="D55" i="11" s="1"/>
  <c r="D46" i="11"/>
  <c r="D81" i="11"/>
  <c r="C54" i="13"/>
  <c r="D54" i="11"/>
  <c r="R81" i="4"/>
  <c r="R38" i="4"/>
  <c r="E63" i="4"/>
  <c r="E97" i="4" s="1"/>
  <c r="D80" i="11"/>
  <c r="D44" i="11"/>
  <c r="S42" i="4"/>
  <c r="E42" i="13" s="1"/>
  <c r="E47" i="13"/>
  <c r="F47" i="13" s="1"/>
  <c r="B54" i="13"/>
  <c r="D53" i="11"/>
  <c r="B55" i="11"/>
  <c r="D94" i="11"/>
  <c r="C78" i="11"/>
  <c r="S81" i="4"/>
  <c r="E81" i="13" s="1"/>
  <c r="B82" i="11"/>
  <c r="B81" i="4"/>
  <c r="B96" i="4"/>
  <c r="E84" i="13"/>
  <c r="F84" i="13" s="1"/>
  <c r="F96" i="13" s="1"/>
  <c r="C38" i="13"/>
  <c r="S38" i="4"/>
  <c r="E38" i="13" s="1"/>
  <c r="AO65" i="20"/>
  <c r="AK172" i="20"/>
  <c r="B39" i="11"/>
  <c r="C97" i="11"/>
  <c r="N157" i="26"/>
  <c r="C82" i="11"/>
  <c r="D41" i="11"/>
  <c r="B42" i="4"/>
  <c r="D33" i="11"/>
  <c r="C39" i="11"/>
  <c r="D36" i="11"/>
  <c r="D35" i="11"/>
  <c r="D34" i="11"/>
  <c r="B38" i="13"/>
  <c r="D30" i="11"/>
  <c r="C63" i="4"/>
  <c r="C97" i="4" s="1"/>
  <c r="C12" i="4"/>
  <c r="B12" i="13" s="1"/>
  <c r="B8" i="4"/>
  <c r="O29" i="7"/>
  <c r="K29" i="7"/>
  <c r="S29" i="7"/>
  <c r="Y29" i="7"/>
  <c r="AG40" i="7"/>
  <c r="AG43" i="7" s="1"/>
  <c r="G40" i="7"/>
  <c r="G43" i="7" s="1"/>
  <c r="AI7" i="15"/>
  <c r="AZ835" i="3"/>
  <c r="AZ840" i="3" s="1"/>
  <c r="AP355" i="20"/>
  <c r="AQ355" i="20" s="1"/>
  <c r="G67" i="21"/>
  <c r="T801" i="20"/>
  <c r="AO17" i="20"/>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R28" i="21"/>
  <c r="I29" i="7"/>
  <c r="Q28" i="21" a="1"/>
  <c r="Q28" i="21" s="1"/>
  <c r="O28" i="21"/>
  <c r="AG444" i="3"/>
  <c r="AD27" i="15" s="1"/>
  <c r="P30" i="21" a="1"/>
  <c r="P30" i="21" s="1"/>
  <c r="DR621"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AC872" i="3" s="1"/>
  <c r="E27" i="7" s="1"/>
  <c r="G27" i="7" s="1"/>
  <c r="I27" i="7" s="1"/>
  <c r="K27" i="7" s="1"/>
  <c r="M27" i="7" s="1"/>
  <c r="O27" i="7" s="1"/>
  <c r="Q27" i="7" s="1"/>
  <c r="S27" i="7" s="1"/>
  <c r="U27" i="7" s="1"/>
  <c r="W27" i="7" s="1"/>
  <c r="Y27" i="7" s="1"/>
  <c r="AA27" i="7" s="1"/>
  <c r="AC27" i="7" s="1"/>
  <c r="AE27" i="7" s="1"/>
  <c r="AG27" i="7" s="1"/>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30" i="8"/>
  <c r="I15" i="7"/>
  <c r="E26" i="21"/>
  <c r="E23" i="21"/>
  <c r="F23" i="21" s="1"/>
  <c r="G23" i="21" s="1"/>
  <c r="D27" i="11" l="1"/>
  <c r="D43" i="11"/>
  <c r="Z793" i="3"/>
  <c r="M930" i="3"/>
  <c r="M931" i="3" s="1"/>
  <c r="AO36" i="20"/>
  <c r="AK56" i="20" s="1"/>
  <c r="D13" i="11"/>
  <c r="D78" i="11"/>
  <c r="D63" i="11"/>
  <c r="S54" i="4"/>
  <c r="E54" i="13" s="1"/>
  <c r="R63" i="4"/>
  <c r="O53" i="7"/>
  <c r="M58" i="7"/>
  <c r="D9" i="11"/>
  <c r="E46" i="13"/>
  <c r="F46" i="13" s="1"/>
  <c r="AS349" i="20"/>
  <c r="F54" i="13"/>
  <c r="F63" i="13" s="1"/>
  <c r="F97" i="13" s="1"/>
  <c r="D39" i="11"/>
  <c r="H97" i="13"/>
  <c r="H105" i="13"/>
  <c r="AD11" i="15"/>
  <c r="AD23" i="15" s="1"/>
  <c r="AD26" i="15" s="1"/>
  <c r="AD28" i="15" s="1"/>
  <c r="AI11" i="15"/>
  <c r="AI23" i="15" s="1"/>
  <c r="AI26" i="15" s="1"/>
  <c r="D97" i="11"/>
  <c r="C63" i="13"/>
  <c r="C97" i="13" s="1"/>
  <c r="R97" i="4"/>
  <c r="D82" i="11"/>
  <c r="B64" i="11"/>
  <c r="B98" i="11" s="1"/>
  <c r="C64" i="11"/>
  <c r="C98" i="11" s="1"/>
  <c r="AS351" i="20"/>
  <c r="AS347" i="20" s="1"/>
  <c r="AK458" i="20" s="1"/>
  <c r="T802" i="20" s="1"/>
  <c r="AF802" i="20" s="1"/>
  <c r="B63" i="13"/>
  <c r="N158" i="26"/>
  <c r="N164" i="26" s="1"/>
  <c r="B12" i="4"/>
  <c r="B63" i="4"/>
  <c r="AC869" i="3"/>
  <c r="EC628" i="3"/>
  <c r="T800" i="20"/>
  <c r="AF800" i="20" s="1"/>
  <c r="Y27" i="15"/>
  <c r="AI27" i="15"/>
  <c r="T789" i="20"/>
  <c r="AF789" i="20" s="1"/>
  <c r="AK78" i="20"/>
  <c r="E35" i="7"/>
  <c r="T27" i="15"/>
  <c r="BH702" i="3"/>
  <c r="BI702" i="3" s="1"/>
  <c r="Y784" i="3"/>
  <c r="B97" i="4"/>
  <c r="B97"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63" i="4" l="1"/>
  <c r="E63" i="13" s="1"/>
  <c r="Q53" i="7"/>
  <c r="O58" i="7"/>
  <c r="O20" i="21"/>
  <c r="P20" i="21" s="1" a="1"/>
  <c r="P20" i="21" s="1"/>
  <c r="R20" i="21" s="1"/>
  <c r="O21" i="21"/>
  <c r="P21" i="21" s="1" a="1"/>
  <c r="P21" i="21" s="1"/>
  <c r="R21" i="21" s="1"/>
  <c r="S97" i="4"/>
  <c r="D64" i="11"/>
  <c r="AW116" i="20"/>
  <c r="AI28" i="15"/>
  <c r="AK180" i="20"/>
  <c r="T796" i="20" s="1"/>
  <c r="AF796" i="20" s="1"/>
  <c r="T790" i="20"/>
  <c r="AF790" i="20" s="1"/>
  <c r="K8" i="7"/>
  <c r="M8" i="7" s="1"/>
  <c r="D98"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S53" i="7" l="1"/>
  <c r="Q58" i="7"/>
  <c r="G38" i="21"/>
  <c r="G40" i="21" s="1"/>
  <c r="E10" i="21" s="1"/>
  <c r="E97" i="13"/>
  <c r="C99" i="4"/>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S58" i="7" l="1"/>
  <c r="U53" i="7"/>
  <c r="AJ963" i="3"/>
  <c r="I13" i="21" s="1"/>
  <c r="AJ981" i="3"/>
  <c r="AK103" i="20"/>
  <c r="T791" i="20" s="1"/>
  <c r="AF791" i="20" s="1"/>
  <c r="E99" i="4"/>
  <c r="B99" i="13"/>
  <c r="C99" i="13" s="1"/>
  <c r="C104" i="13" s="1"/>
  <c r="C105" i="13" s="1"/>
  <c r="B100" i="11"/>
  <c r="B105" i="11" s="1"/>
  <c r="C100" i="11"/>
  <c r="C104" i="4"/>
  <c r="B99" i="4"/>
  <c r="S99" i="4" s="1"/>
  <c r="B1025" i="3"/>
  <c r="AJ1014" i="3"/>
  <c r="AP542" i="20" s="1"/>
  <c r="K4" i="7"/>
  <c r="M4" i="7" s="1"/>
  <c r="E45" i="7"/>
  <c r="E48" i="7" s="1"/>
  <c r="AP539" i="20"/>
  <c r="G45" i="7"/>
  <c r="G49" i="7"/>
  <c r="K6" i="7"/>
  <c r="I7" i="7"/>
  <c r="I11" i="7" s="1"/>
  <c r="I37" i="7" s="1"/>
  <c r="G24" i="21"/>
  <c r="F27" i="21"/>
  <c r="G27" i="21"/>
  <c r="O22" i="7"/>
  <c r="O35" i="7" s="1"/>
  <c r="Q15" i="7"/>
  <c r="O9" i="7"/>
  <c r="Q8" i="7"/>
  <c r="U58" i="7" l="1"/>
  <c r="W53" i="7"/>
  <c r="AP543" i="20"/>
  <c r="AJ1018" i="3"/>
  <c r="AP546" i="20" s="1"/>
  <c r="AP545" i="20" s="1"/>
  <c r="B104" i="13"/>
  <c r="B104" i="4"/>
  <c r="C105" i="4"/>
  <c r="E99" i="13"/>
  <c r="F99" i="13" s="1"/>
  <c r="F104" i="13" s="1"/>
  <c r="F105" i="13" s="1"/>
  <c r="F107" i="13" s="1"/>
  <c r="S104" i="4"/>
  <c r="C105" i="11"/>
  <c r="C106" i="11" s="1"/>
  <c r="D100" i="11"/>
  <c r="B106" i="11"/>
  <c r="R99" i="4"/>
  <c r="R104" i="4" s="1"/>
  <c r="R105" i="4" s="1"/>
  <c r="E104" i="4"/>
  <c r="E105" i="4" s="1"/>
  <c r="AO636" i="3" s="1"/>
  <c r="AM553" i="3" s="1"/>
  <c r="AM562" i="3"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Y53" i="7"/>
  <c r="AP548" i="20"/>
  <c r="AF541" i="20" s="1"/>
  <c r="T24" i="15"/>
  <c r="D105" i="11"/>
  <c r="D106" i="11"/>
  <c r="E104" i="13"/>
  <c r="S105" i="4"/>
  <c r="T11" i="15"/>
  <c r="T23" i="15" s="1"/>
  <c r="E108" i="4"/>
  <c r="AO637" i="3"/>
  <c r="AC454" i="3"/>
  <c r="B105" i="13"/>
  <c r="B105" i="4"/>
  <c r="AG258" i="20"/>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58" i="7" l="1"/>
  <c r="AA53" i="7"/>
  <c r="T26" i="15"/>
  <c r="T28" i="15" s="1"/>
  <c r="S107" i="4"/>
  <c r="E105" i="13"/>
  <c r="AB255" i="20"/>
  <c r="AG257" i="20" s="1"/>
  <c r="AG259" i="20" s="1"/>
  <c r="AK262" i="20" s="1"/>
  <c r="T797" i="20" s="1"/>
  <c r="AF797" i="20" s="1"/>
  <c r="N154" i="26"/>
  <c r="AC453" i="3"/>
  <c r="F456" i="3" s="1"/>
  <c r="AB47" i="15"/>
  <c r="AB49" i="15" s="1"/>
  <c r="AB54" i="15" s="1"/>
  <c r="AB55"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N165" i="26"/>
  <c r="N155" i="26"/>
  <c r="E107" i="13"/>
  <c r="Y11" i="15" s="1"/>
  <c r="Y23" i="15" s="1"/>
  <c r="AC455" i="3"/>
  <c r="AF540" i="20"/>
  <c r="AF542" i="20" s="1"/>
  <c r="AK548" i="20" s="1"/>
  <c r="T803" i="20" s="1"/>
  <c r="AF803" i="20" s="1"/>
  <c r="AF806" i="20" s="1"/>
  <c r="U4" i="7"/>
  <c r="S5" i="7"/>
  <c r="M48" i="7"/>
  <c r="M47" i="7"/>
  <c r="M60" i="7"/>
  <c r="O45" i="7"/>
  <c r="O49" i="7"/>
  <c r="K66" i="7"/>
  <c r="K67" i="7"/>
  <c r="K62" i="7"/>
  <c r="Q7" i="7"/>
  <c r="Q11" i="7" s="1"/>
  <c r="Q37" i="7" s="1"/>
  <c r="S6" i="7"/>
  <c r="I70" i="7"/>
  <c r="I72" i="7" s="1"/>
  <c r="W22" i="7"/>
  <c r="W35" i="7" s="1"/>
  <c r="Y15" i="7"/>
  <c r="W9" i="7"/>
  <c r="Y8" i="7"/>
  <c r="AE53" i="7" l="1"/>
  <c r="AC58" i="7"/>
  <c r="Y26" i="15"/>
  <c r="Y28" i="15" s="1"/>
  <c r="Y38" i="15" s="1"/>
  <c r="Y40" i="15" s="1"/>
  <c r="AD38" i="15"/>
  <c r="AD40" i="15" s="1"/>
  <c r="U5" i="7"/>
  <c r="W4" i="7"/>
  <c r="Q49" i="7"/>
  <c r="Q45" i="7"/>
  <c r="M62" i="7"/>
  <c r="M67" i="7"/>
  <c r="M66" i="7"/>
  <c r="O47" i="7"/>
  <c r="O48" i="7"/>
  <c r="O60" i="7"/>
  <c r="K70" i="7"/>
  <c r="K72" i="7" s="1"/>
  <c r="S7" i="7"/>
  <c r="S11" i="7" s="1"/>
  <c r="S37" i="7" s="1"/>
  <c r="U6" i="7"/>
  <c r="Y22" i="7"/>
  <c r="Y35" i="7" s="1"/>
  <c r="AA15" i="7"/>
  <c r="Y9" i="7"/>
  <c r="AA8" i="7"/>
  <c r="AG53" i="7" l="1"/>
  <c r="AG58" i="7" s="1"/>
  <c r="AE58" i="7"/>
  <c r="Y41" i="15"/>
  <c r="AB56" i="15" s="1"/>
  <c r="AB57" i="15" s="1"/>
  <c r="AB59" i="15" s="1"/>
  <c r="AB76" i="15" s="1"/>
  <c r="Y64" i="15"/>
  <c r="Y68" i="15" s="1"/>
  <c r="T29" i="15"/>
  <c r="M70" i="7"/>
  <c r="M72" i="7" s="1"/>
  <c r="W5" i="7"/>
  <c r="Y4" i="7"/>
  <c r="U7" i="7"/>
  <c r="U11" i="7" s="1"/>
  <c r="U37" i="7" s="1"/>
  <c r="W6" i="7"/>
  <c r="O67" i="7"/>
  <c r="O66" i="7"/>
  <c r="O62" i="7"/>
  <c r="Q60" i="7"/>
  <c r="Q48" i="7"/>
  <c r="Q47" i="7"/>
  <c r="S49" i="7"/>
  <c r="S45" i="7"/>
  <c r="AC15" i="7"/>
  <c r="AA22" i="7"/>
  <c r="AA35" i="7" s="1"/>
  <c r="AC8" i="7"/>
  <c r="AA9" i="7"/>
  <c r="M26" i="3" l="1"/>
  <c r="P203" i="3" s="1"/>
  <c r="AB77" i="15"/>
  <c r="AA4" i="7"/>
  <c r="Y5" i="7"/>
  <c r="Y6" i="7"/>
  <c r="W7" i="7"/>
  <c r="W11" i="7" s="1"/>
  <c r="W37" i="7" s="1"/>
  <c r="U45" i="7"/>
  <c r="U49" i="7"/>
  <c r="Q66" i="7"/>
  <c r="Q67" i="7"/>
  <c r="Q62" i="7"/>
  <c r="S48" i="7"/>
  <c r="S47" i="7"/>
  <c r="S60" i="7"/>
  <c r="O70" i="7"/>
  <c r="O72" i="7" s="1"/>
  <c r="AE15" i="7"/>
  <c r="AC22" i="7"/>
  <c r="AC35" i="7" s="1"/>
  <c r="AC9" i="7"/>
  <c r="AE8" i="7"/>
  <c r="AB78" i="15" l="1"/>
  <c r="AB80" i="15" s="1"/>
  <c r="J81" i="15" s="1"/>
  <c r="M27" i="3"/>
  <c r="P204" i="3" s="1"/>
  <c r="I10" i="21"/>
  <c r="I11" i="21" s="1"/>
  <c r="I16" i="21" s="1"/>
  <c r="H4" i="21" s="1"/>
  <c r="H5" i="21"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<sst xmlns="http://schemas.openxmlformats.org/spreadsheetml/2006/main" count="5273" uniqueCount="2767">
  <si>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</si>
  <si>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</si>
  <si>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</si>
  <si>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</si>
  <si>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</si>
  <si>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</si>
  <si>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</si>
  <si>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</si>
  <si>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</si>
  <si>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</si>
  <si>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</si>
  <si>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</si>
  <si>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</si>
  <si>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</si>
  <si>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</si>
  <si>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</si>
  <si>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</si>
  <si>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</si>
  <si>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</si>
  <si>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</si>
  <si>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</si>
  <si>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</si>
  <si>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</si>
  <si>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</si>
  <si>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</si>
  <si>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</si>
  <si>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</si>
  <si>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</si>
  <si>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</si>
  <si>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</si>
  <si>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</si>
  <si>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</si>
  <si>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</si>
  <si>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</si>
  <si>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</si>
  <si>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</si>
  <si>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</si>
  <si>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</si>
  <si>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</si>
  <si>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</si>
  <si>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</si>
  <si>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</si>
  <si>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</si>
  <si>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</si>
  <si>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</si>
  <si>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</si>
  <si>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</si>
  <si>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</si>
  <si>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</si>
  <si>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</si>
  <si>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</si>
  <si>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</si>
  <si>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</si>
  <si>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</si>
  <si>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</si>
  <si>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</si>
  <si>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</si>
  <si>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</si>
  <si>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</si>
  <si>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</si>
  <si>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</si>
  <si>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</si>
  <si>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</si>
  <si>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</si>
  <si>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</si>
  <si>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</si>
  <si>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</si>
  <si>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</si>
  <si>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</si>
  <si>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</si>
  <si>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</si>
  <si>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</si>
  <si>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</si>
  <si>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</si>
  <si>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</si>
  <si>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</si>
  <si>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</si>
  <si>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</si>
  <si>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</si>
  <si>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</si>
  <si>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</si>
  <si>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</si>
  <si>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</si>
  <si>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</si>
  <si>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</si>
  <si>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</si>
  <si>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</si>
  <si>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</si>
  <si>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</si>
  <si>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</si>
  <si>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</si>
  <si>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</si>
  <si>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</si>
  <si>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</si>
  <si>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</si>
  <si>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</si>
  <si>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</si>
  <si>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</si>
  <si>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</si>
  <si>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</si>
  <si>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</si>
  <si>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</si>
  <si>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</si>
  <si>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</si>
  <si>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</si>
  <si>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</si>
  <si>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</si>
  <si>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</si>
  <si>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</si>
  <si>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</si>
  <si>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</si>
  <si>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</si>
  <si>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</si>
  <si>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</si>
  <si>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</si>
  <si>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</si>
  <si>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</si>
  <si>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</si>
  <si>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</si>
  <si>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</si>
  <si>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</si>
  <si>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</si>
  <si>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</si>
  <si>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</si>
  <si>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</si>
  <si>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</si>
  <si>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</si>
  <si>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</si>
  <si>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</si>
  <si>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</si>
  <si>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</si>
  <si>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</si>
  <si>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</si>
  <si>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</si>
  <si>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</si>
  <si>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</si>
  <si>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</si>
  <si>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</si>
  <si>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</si>
  <si>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</si>
  <si>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</si>
  <si>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</si>
  <si>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</si>
  <si>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</si>
  <si>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</si>
  <si>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</si>
  <si>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</si>
  <si>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</si>
  <si>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</si>
  <si>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</si>
  <si>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</si>
  <si>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</si>
  <si>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</si>
  <si>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</si>
  <si>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</si>
  <si>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</si>
  <si>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</si>
  <si>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</si>
  <si>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</si>
  <si>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</si>
  <si>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</si>
  <si>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</si>
  <si>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</si>
  <si>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</si>
  <si>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</si>
  <si>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</si>
  <si>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</si>
  <si>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</si>
  <si>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</si>
  <si>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</si>
  <si>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</si>
  <si>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</si>
  <si>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</si>
  <si>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</si>
  <si>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</si>
  <si>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</si>
  <si>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</si>
  <si>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</si>
  <si>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</si>
  <si>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</si>
  <si>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</si>
  <si>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</si>
  <si>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</si>
  <si>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</si>
  <si>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</si>
  <si>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</si>
  <si>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</si>
  <si>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</si>
  <si>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</si>
  <si>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</si>
  <si>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</si>
  <si>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</si>
  <si>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</si>
  <si>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</si>
  <si>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</si>
  <si>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</si>
  <si>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</si>
  <si>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</si>
  <si>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</si>
  <si>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</si>
  <si>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</si>
  <si>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</si>
  <si>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</si>
  <si>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</si>
  <si>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</si>
  <si>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</si>
  <si>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</si>
  <si>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</si>
  <si>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</si>
  <si>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</si>
  <si>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</si>
  <si>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</si>
  <si>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</si>
  <si>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</si>
  <si>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</si>
  <si>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</si>
  <si>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</si>
  <si>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</si>
  <si>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</si>
  <si>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</si>
  <si>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</si>
  <si>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</si>
  <si>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</si>
  <si>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</si>
  <si>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</si>
  <si>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</si>
  <si>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</si>
  <si>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</si>
  <si>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</si>
  <si>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</si>
  <si>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</si>
  <si>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</si>
  <si>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</si>
  <si>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</si>
  <si>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</si>
  <si>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</si>
  <si>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</si>
  <si>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</si>
  <si>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</si>
  <si>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</si>
  <si>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</si>
  <si>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</si>
  <si>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</si>
  <si>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</si>
  <si>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</si>
  <si>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</si>
  <si>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</si>
  <si>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</si>
  <si>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</si>
  <si>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</si>
  <si>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</si>
  <si>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</si>
  <si>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</si>
  <si>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</si>
  <si>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</si>
  <si>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</si>
  <si>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</si>
  <si>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</si>
  <si>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</si>
  <si>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</si>
  <si>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</si>
  <si>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</si>
  <si>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</si>
  <si>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</si>
  <si>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</si>
  <si>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</si>
  <si>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</si>
  <si>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</si>
  <si>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</si>
  <si>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</si>
  <si>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</si>
  <si>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</si>
  <si>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</si>
  <si>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</si>
  <si>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</si>
  <si>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</si>
  <si>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</si>
  <si>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</si>
  <si>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</si>
  <si>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</si>
  <si>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</si>
  <si>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</si>
  <si>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</si>
  <si>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</si>
  <si>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</si>
  <si>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</si>
  <si>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</si>
  <si>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</si>
  <si>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</si>
  <si>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</si>
  <si>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</si>
  <si>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</si>
  <si>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</si>
  <si>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</si>
  <si>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</si>
  <si>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</si>
  <si>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</si>
  <si>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</si>
  <si>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</si>
  <si>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</si>
  <si>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</si>
  <si>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</si>
  <si>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</si>
  <si>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</si>
  <si>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</si>
  <si>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</si>
  <si>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</si>
  <si>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</si>
  <si>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</si>
  <si>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</si>
  <si>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</si>
  <si>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</si>
  <si>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</si>
  <si>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</si>
  <si>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</si>
  <si>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</si>
  <si>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</si>
  <si>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</si>
  <si>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</si>
  <si>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</si>
  <si>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</si>
  <si>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</si>
  <si>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</si>
  <si>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</si>
  <si>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</si>
  <si>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</si>
  <si>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</si>
  <si>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</si>
  <si>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</si>
  <si>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</si>
  <si>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</si>
  <si>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</si>
  <si>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</si>
  <si>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</si>
  <si>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</si>
  <si>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</si>
  <si>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</si>
  <si>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</si>
  <si>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</si>
  <si>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</si>
  <si>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</si>
  <si>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</si>
  <si>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</si>
  <si>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</si>
  <si>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</si>
  <si>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</si>
  <si>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</si>
  <si>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</si>
  <si>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</si>
  <si>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</si>
  <si>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</si>
  <si>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</si>
  <si>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</si>
  <si>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</si>
  <si>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</si>
  <si>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</si>
  <si>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</si>
  <si>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</si>
  <si>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</si>
  <si>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</si>
  <si>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</si>
  <si>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</si>
  <si>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</si>
  <si>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</si>
  <si>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</si>
  <si>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</si>
  <si>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</si>
  <si>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</si>
  <si>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</si>
  <si>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</si>
  <si>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</si>
  <si>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</si>
  <si>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</si>
  <si>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</si>
  <si>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</si>
  <si>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</si>
  <si>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</si>
  <si>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</si>
  <si>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</si>
  <si>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</si>
  <si>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</si>
  <si>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</si>
  <si>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</si>
  <si>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</si>
  <si>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</si>
  <si>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</si>
  <si>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</si>
  <si>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</si>
  <si>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</si>
  <si>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</si>
  <si>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</si>
  <si>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</si>
  <si>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</si>
  <si>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</si>
  <si>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</si>
  <si>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</si>
  <si>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</si>
  <si>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</si>
  <si>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</si>
  <si>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</si>
  <si>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</si>
  <si>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</si>
  <si>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</si>
  <si>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</si>
  <si>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</si>
  <si>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</si>
  <si>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</si>
  <si>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</si>
  <si>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</si>
  <si>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</si>
  <si>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</si>
  <si>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</si>
  <si>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</si>
  <si>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</si>
  <si>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</si>
  <si>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</si>
  <si>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</si>
  <si>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</si>
  <si>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</si>
  <si>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</si>
  <si>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</si>
  <si>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</si>
  <si>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</si>
  <si>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</si>
  <si>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</si>
  <si>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</si>
  <si>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</si>
  <si>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</si>
  <si>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</si>
  <si>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</si>
  <si>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</si>
  <si>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</si>
  <si>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</si>
  <si>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</si>
  <si>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</si>
  <si>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</si>
  <si>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</si>
  <si>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</si>
  <si>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</si>
  <si>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</si>
  <si>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</si>
  <si>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</si>
  <si>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</si>
  <si>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</si>
  <si>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</si>
  <si>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</si>
  <si>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</si>
  <si>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</si>
  <si>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</si>
  <si>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</si>
  <si>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</si>
  <si>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</si>
  <si>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</si>
  <si>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</si>
  <si>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</si>
  <si>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</si>
  <si>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</si>
  <si>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</si>
  <si>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</si>
  <si>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</si>
  <si>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</si>
  <si>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</si>
  <si>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</si>
  <si>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</si>
  <si>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</si>
  <si>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</si>
  <si>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</si>
  <si>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</si>
  <si>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</si>
  <si>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</si>
  <si>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</si>
  <si>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</si>
  <si>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</si>
  <si>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</si>
  <si>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</si>
  <si>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</si>
  <si>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</si>
  <si>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</si>
  <si>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</si>
  <si>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</si>
  <si>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</si>
  <si>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</si>
  <si>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</si>
  <si>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</si>
  <si>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</si>
  <si>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</si>
  <si>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</si>
  <si>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</si>
  <si>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</si>
  <si>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</si>
  <si>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</si>
  <si>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</si>
  <si>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</si>
  <si>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</si>
  <si>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</si>
  <si>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</si>
  <si>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</si>
  <si>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</si>
  <si>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</si>
  <si>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</si>
  <si>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</si>
  <si>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</si>
  <si>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</si>
  <si>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</si>
  <si>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</si>
  <si>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</si>
  <si>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</si>
  <si>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</si>
  <si>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</si>
  <si>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</si>
  <si>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</si>
  <si>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</si>
  <si>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</si>
  <si>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</si>
  <si>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</si>
  <si>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</si>
  <si>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</si>
  <si>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</si>
  <si>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</si>
  <si>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</si>
  <si>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</si>
  <si>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</si>
  <si>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</si>
  <si>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</si>
  <si>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</si>
  <si>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</si>
  <si>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</si>
  <si>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</si>
  <si>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</si>
  <si>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</si>
  <si>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</si>
  <si>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</si>
  <si>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</si>
  <si>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</si>
  <si>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</si>
  <si>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</si>
  <si>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</si>
  <si>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</si>
  <si>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</si>
  <si>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</si>
  <si>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</si>
  <si>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</si>
  <si>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</si>
  <si>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</si>
  <si>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</si>
  <si>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</si>
  <si>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</si>
  <si>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</si>
  <si>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</si>
  <si>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</si>
  <si>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</si>
  <si>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</si>
  <si>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</si>
  <si>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</si>
  <si>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</si>
  <si>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</si>
  <si>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</si>
  <si>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</si>
  <si>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</si>
  <si>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</si>
  <si>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</si>
  <si>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</si>
  <si>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</si>
  <si>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</si>
  <si>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</si>
  <si>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</si>
  <si>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</si>
  <si>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</si>
  <si>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</si>
  <si>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</si>
  <si>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</si>
  <si>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</si>
  <si>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</si>
  <si>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</si>
  <si>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</si>
  <si>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</si>
  <si>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</si>
  <si>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</si>
  <si>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</si>
  <si>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</si>
  <si>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</si>
  <si>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</si>
  <si>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</si>
  <si>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</si>
  <si>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</si>
  <si>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</si>
  <si>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</si>
  <si>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</si>
  <si>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</si>
  <si>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</si>
  <si>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</si>
  <si>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</si>
  <si>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</si>
  <si>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</si>
  <si>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</si>
  <si>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</si>
  <si>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</si>
  <si>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</si>
  <si>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</si>
  <si>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</si>
  <si>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</si>
  <si>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</si>
  <si>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</si>
  <si>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</si>
  <si>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</si>
  <si>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</si>
  <si>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</si>
  <si>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</si>
  <si>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</si>
  <si>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</si>
  <si>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</si>
  <si>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</si>
  <si>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</si>
  <si>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</si>
  <si>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</si>
  <si>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</si>
  <si>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</si>
  <si>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</si>
  <si>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</si>
  <si>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</si>
  <si>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</si>
  <si>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</si>
  <si>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</si>
  <si>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</si>
  <si>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</si>
  <si>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</si>
  <si>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</si>
  <si>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</si>
  <si>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</si>
  <si>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</si>
  <si>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</si>
  <si>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</si>
  <si>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</si>
  <si>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</si>
  <si>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</si>
  <si>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</si>
  <si>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</si>
  <si>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</si>
  <si>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</si>
  <si>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</si>
  <si>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</si>
  <si>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</si>
  <si>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</si>
  <si>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</si>
  <si>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</si>
  <si>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</si>
  <si>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</si>
  <si>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</si>
  <si>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</si>
  <si>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</si>
  <si>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</si>
  <si>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</si>
  <si>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</si>
  <si>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</si>
  <si>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</si>
  <si>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</si>
  <si>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</si>
  <si>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</si>
  <si>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</si>
  <si>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</si>
  <si>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</si>
  <si>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</si>
  <si>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</si>
  <si>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</si>
  <si>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</si>
  <si>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</si>
  <si>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</si>
  <si>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</si>
  <si>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</si>
  <si>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</si>
  <si>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</si>
  <si>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</si>
  <si>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</si>
  <si>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</si>
  <si>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</si>
  <si>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</si>
  <si>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</si>
  <si>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</si>
  <si>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</si>
  <si>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</si>
  <si>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</si>
  <si>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</si>
  <si>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</si>
  <si>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</si>
  <si>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</si>
  <si>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</si>
  <si>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</si>
  <si>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</si>
  <si>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</si>
  <si>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</si>
  <si>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</si>
  <si>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</si>
  <si>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</si>
  <si>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</si>
  <si>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</si>
  <si>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</si>
  <si>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</si>
  <si>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</si>
  <si>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</si>
  <si>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</si>
  <si>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</si>
  <si>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</si>
  <si>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</si>
  <si>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</si>
  <si>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</si>
  <si>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</si>
  <si>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</si>
  <si>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</si>
  <si>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</si>
  <si>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</si>
  <si>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</si>
  <si>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</si>
  <si>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</si>
  <si>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</si>
  <si>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</si>
  <si>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</si>
  <si>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</si>
  <si>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</si>
  <si>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</si>
  <si>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</si>
  <si>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</si>
  <si>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</si>
  <si>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</si>
  <si>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</si>
  <si>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</si>
  <si>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</si>
  <si>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</si>
  <si>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</si>
  <si>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</si>
  <si>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</si>
  <si>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</si>
  <si>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</si>
  <si>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</si>
  <si>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</si>
  <si>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</si>
  <si>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</si>
  <si>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</si>
  <si>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</si>
  <si>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</si>
  <si>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</si>
  <si>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</si>
  <si>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</si>
  <si>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</si>
  <si>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</si>
  <si>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</si>
  <si>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</si>
  <si>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</si>
  <si>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</si>
  <si>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</si>
  <si>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</si>
  <si>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</si>
  <si>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</si>
  <si>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</si>
  <si>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</si>
  <si>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</si>
  <si>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</si>
  <si>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</si>
  <si>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</si>
  <si>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</si>
  <si>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</si>
  <si>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</si>
  <si>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</si>
  <si>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</si>
  <si>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</si>
  <si>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</si>
  <si>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</si>
  <si>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</si>
  <si>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</si>
  <si>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</si>
  <si>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</si>
  <si>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</si>
  <si>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</si>
  <si>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</si>
  <si>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</si>
  <si>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</si>
  <si>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</si>
  <si>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</si>
  <si>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</si>
  <si>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</si>
  <si>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</si>
  <si>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</si>
  <si>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</si>
  <si>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</si>
  <si>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</si>
  <si>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</si>
  <si>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</si>
  <si>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</si>
  <si>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</si>
  <si>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</si>
  <si>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</si>
  <si>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</si>
  <si>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</si>
  <si>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</si>
  <si>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</si>
  <si>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</si>
  <si>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</si>
  <si>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</si>
  <si>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</si>
  <si>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</si>
  <si>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</si>
  <si>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</si>
  <si>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</si>
  <si>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</si>
  <si>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</si>
  <si>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</si>
  <si>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</si>
  <si>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</si>
  <si>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</si>
  <si>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</si>
  <si>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</si>
  <si>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</si>
  <si>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</si>
  <si>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</si>
  <si>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</si>
  <si>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</si>
  <si>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</si>
  <si>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</si>
  <si>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</si>
  <si>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</si>
  <si>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</si>
  <si>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</si>
  <si>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</si>
  <si>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</si>
  <si>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</si>
  <si>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</si>
  <si>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</si>
  <si>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</si>
  <si>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</si>
  <si>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</si>
  <si>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</si>
  <si>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</si>
  <si>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</si>
  <si>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</si>
  <si>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</si>
  <si>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</si>
  <si>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</si>
  <si>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</si>
  <si>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</si>
  <si>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</si>
  <si>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</si>
  <si>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</si>
  <si>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</si>
  <si>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</si>
  <si>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</si>
  <si>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</si>
  <si>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</si>
  <si>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</si>
  <si>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</si>
  <si>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</si>
  <si>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</si>
  <si>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</si>
  <si>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</si>
  <si>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</si>
  <si>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</si>
  <si>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</si>
  <si>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</si>
  <si>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</si>
  <si>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</si>
  <si>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</si>
  <si>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</si>
  <si>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</si>
  <si>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</si>
  <si>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</si>
  <si>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</si>
  <si>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</si>
  <si>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</si>
  <si>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</si>
  <si>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</si>
  <si>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</si>
  <si>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</si>
  <si>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</si>
  <si>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</si>
  <si>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</si>
  <si>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</si>
  <si>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</si>
  <si>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</si>
  <si>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</si>
  <si>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</si>
  <si>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</si>
  <si>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</si>
  <si>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</si>
  <si>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</si>
  <si>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</si>
  <si>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</si>
  <si>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</si>
  <si>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</si>
  <si>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</si>
  <si>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</si>
  <si>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</si>
  <si>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</si>
  <si>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</si>
  <si>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</si>
  <si>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</si>
  <si>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</si>
  <si>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</si>
  <si>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</si>
  <si>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</si>
  <si>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</si>
  <si>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</si>
  <si>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</si>
  <si>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</si>
  <si>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</si>
  <si>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</si>
  <si>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</si>
  <si>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</si>
  <si>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</si>
  <si>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</si>
  <si>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</si>
  <si>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</si>
  <si>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</si>
  <si>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</si>
  <si>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</si>
  <si>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</si>
  <si>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</si>
  <si>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</si>
  <si>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</si>
  <si>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</si>
  <si>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</si>
  <si>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</si>
  <si>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</si>
  <si>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</si>
  <si>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</si>
  <si>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</si>
  <si>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</si>
  <si>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</si>
  <si>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</si>
  <si>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</si>
  <si>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</si>
  <si>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</si>
  <si>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</si>
  <si>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</si>
  <si>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</si>
  <si>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</si>
  <si>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</si>
  <si>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</si>
  <si>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</si>
  <si>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</si>
  <si>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</si>
  <si>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</si>
  <si>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</si>
  <si>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</si>
  <si>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</si>
  <si>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</si>
  <si>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</si>
  <si>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</si>
  <si>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</si>
  <si>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</si>
  <si>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</si>
  <si>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</si>
  <si>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</si>
  <si>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</si>
  <si>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</si>
  <si>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</si>
  <si>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</si>
  <si>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</si>
  <si>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</si>
  <si>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</si>
  <si>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</si>
  <si>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</si>
  <si>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</si>
  <si>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</si>
  <si>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</si>
  <si>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</si>
  <si>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</si>
  <si>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</si>
  <si>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</si>
  <si>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</si>
  <si>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</si>
  <si>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</si>
  <si>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</si>
  <si>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</si>
  <si>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</si>
  <si>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</si>
  <si>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</si>
  <si>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</si>
  <si>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</si>
  <si>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</si>
  <si>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</si>
  <si>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</si>
  <si>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</si>
  <si>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</si>
  <si>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</si>
  <si>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</si>
  <si>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</si>
  <si>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</si>
  <si>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</si>
  <si>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</si>
  <si>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</si>
  <si>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</si>
  <si>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</si>
  <si>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</si>
  <si>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</si>
  <si>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</si>
  <si>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</si>
  <si>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</si>
  <si>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</si>
  <si>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</si>
  <si>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</si>
  <si>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</si>
  <si>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</si>
  <si>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</si>
  <si>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</si>
  <si>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</si>
  <si>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</si>
  <si>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</si>
  <si>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</si>
  <si>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</si>
  <si>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</si>
  <si>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</si>
  <si>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</si>
  <si>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</si>
  <si>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</si>
  <si>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</si>
  <si>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</si>
  <si>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</si>
  <si>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</si>
  <si>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</si>
  <si>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</si>
  <si>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</si>
  <si>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</si>
  <si>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</si>
  <si>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</si>
  <si>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</si>
  <si>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</si>
  <si>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</si>
  <si>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</si>
  <si>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</si>
  <si>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</si>
  <si>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</si>
  <si>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</si>
  <si>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</si>
  <si>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</si>
  <si>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</si>
  <si>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</si>
  <si>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</si>
  <si>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</si>
  <si>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</si>
  <si>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</si>
  <si>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</si>
  <si>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</si>
  <si>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</si>
  <si>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</si>
  <si>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</si>
  <si>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</si>
  <si>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</si>
  <si>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</si>
  <si>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</si>
  <si>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</si>
  <si>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</si>
  <si>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</si>
  <si>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</si>
  <si>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</si>
  <si>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</si>
  <si>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</si>
  <si>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</si>
  <si>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</si>
  <si>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</si>
  <si>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</si>
  <si>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</si>
  <si>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</si>
  <si>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</si>
  <si>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</si>
  <si>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</si>
  <si>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</si>
  <si>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</si>
  <si>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</si>
  <si>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</si>
  <si>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</si>
  <si>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</si>
  <si>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</si>
  <si>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</si>
  <si>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</si>
  <si>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</si>
  <si>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</si>
  <si>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</si>
  <si>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</si>
  <si>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</si>
  <si>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</si>
  <si>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</si>
  <si>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</si>
  <si>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</si>
  <si>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</si>
  <si>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</si>
  <si>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</si>
  <si>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</si>
  <si>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</si>
  <si>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</si>
  <si>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</si>
  <si>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</si>
  <si>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</si>
  <si>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</si>
  <si>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</si>
  <si>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</si>
  <si>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</si>
  <si>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</si>
  <si>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</si>
  <si>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</si>
  <si>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</si>
  <si>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</si>
  <si>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</si>
  <si>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</si>
  <si>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</si>
  <si>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</si>
  <si>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</si>
  <si>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</si>
  <si>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</si>
  <si>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</si>
  <si>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</si>
  <si>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</si>
  <si>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</si>
  <si>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</si>
  <si>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</si>
  <si>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</si>
  <si>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</si>
  <si>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</si>
  <si>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</si>
  <si>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</si>
  <si>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</si>
  <si>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</si>
  <si>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</si>
  <si>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</si>
  <si>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</si>
  <si>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</si>
  <si>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</si>
  <si>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</si>
  <si>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</si>
  <si>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</si>
  <si>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</si>
  <si>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</si>
  <si>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</si>
  <si>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</si>
  <si>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</si>
  <si>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</si>
  <si>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</si>
  <si>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</si>
  <si>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</si>
  <si>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</si>
  <si>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</si>
  <si>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</si>
  <si>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</si>
  <si>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</si>
  <si>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</si>
  <si>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</si>
  <si>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</si>
  <si>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</si>
  <si>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</si>
  <si>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</si>
  <si>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</si>
  <si>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</si>
  <si>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</si>
  <si>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</si>
  <si>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</si>
  <si>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</si>
  <si>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</si>
  <si>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</si>
  <si>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</si>
  <si>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</si>
  <si>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</si>
  <si>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</si>
  <si>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</si>
  <si>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</si>
  <si>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</si>
  <si>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</si>
  <si>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</si>
  <si>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</si>
  <si>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</si>
  <si>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</si>
  <si>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</si>
  <si>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</si>
  <si>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</si>
  <si>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</si>
  <si>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</si>
  <si>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</si>
  <si>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</si>
  <si>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</si>
  <si>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</si>
  <si>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</si>
  <si>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</si>
  <si>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</si>
  <si>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</si>
  <si>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</si>
  <si>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</si>
  <si>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</si>
  <si>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</si>
  <si>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</si>
  <si>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</si>
  <si>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</si>
  <si>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</si>
  <si>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</si>
  <si>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</si>
  <si>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</si>
  <si>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</si>
  <si>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</si>
  <si>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</si>
  <si>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</si>
  <si>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</si>
  <si>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</si>
  <si>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</si>
  <si>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</si>
  <si>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</si>
  <si>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</si>
  <si>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</si>
  <si>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</si>
  <si>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</si>
  <si>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</si>
  <si>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</si>
  <si>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</si>
  <si>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</si>
  <si>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</si>
  <si>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</si>
  <si>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</si>
  <si>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</si>
  <si>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</si>
  <si>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</si>
  <si>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</si>
  <si>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</si>
  <si>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</si>
  <si>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</si>
  <si>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</si>
  <si>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</si>
  <si>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</si>
  <si>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</si>
  <si>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</si>
  <si>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</si>
  <si>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</si>
  <si>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</si>
  <si>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</si>
  <si>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</si>
  <si>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</si>
  <si>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</si>
  <si>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</si>
  <si>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</si>
  <si>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</si>
  <si>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</si>
  <si>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</si>
  <si>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</si>
  <si>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</si>
  <si>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</si>
  <si>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</si>
  <si>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</si>
  <si>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</si>
  <si>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</si>
  <si>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</si>
  <si>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</si>
  <si>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</si>
  <si>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</si>
  <si>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</si>
  <si>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</si>
  <si>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</si>
  <si>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</si>
  <si>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</si>
  <si>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</si>
  <si>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</si>
  <si>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</si>
  <si>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</si>
  <si>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</si>
  <si>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</si>
  <si>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</si>
  <si>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</si>
  <si>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</si>
  <si>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</si>
  <si>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</si>
  <si>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</si>
  <si>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</si>
  <si>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</si>
  <si>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</si>
  <si>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</si>
  <si>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</si>
  <si>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</si>
  <si>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</si>
  <si>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</si>
  <si>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</si>
  <si>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</si>
  <si>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</si>
  <si>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</si>
  <si>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</si>
  <si>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</si>
  <si>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</si>
  <si>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</si>
  <si>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</si>
  <si>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</si>
  <si>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</si>
  <si>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</si>
  <si>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</si>
  <si>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</si>
  <si>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</si>
  <si>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</si>
  <si>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</si>
  <si>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</si>
  <si>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</si>
  <si>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</si>
  <si>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</si>
  <si>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</si>
  <si>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</si>
  <si>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</si>
  <si>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</si>
  <si>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</si>
  <si>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</si>
  <si>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</si>
  <si>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</si>
  <si>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</si>
  <si>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</si>
  <si>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</si>
  <si>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</si>
  <si>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</si>
  <si>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</si>
  <si>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</si>
  <si>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</si>
  <si>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</si>
  <si>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</si>
  <si>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</si>
  <si>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</si>
  <si>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</si>
  <si>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</si>
  <si>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</si>
  <si>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</si>
  <si>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</si>
  <si>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</si>
  <si>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</si>
  <si>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</si>
  <si>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</si>
  <si>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</si>
  <si>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</si>
  <si>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</si>
  <si>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</si>
  <si>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</si>
  <si>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</si>
  <si>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</si>
  <si>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</si>
  <si>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</si>
  <si>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</si>
  <si>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</si>
  <si>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</si>
  <si>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</si>
  <si>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</si>
  <si>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</si>
  <si>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</si>
  <si>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</si>
  <si>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</si>
  <si>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</si>
  <si>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</si>
  <si>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</si>
  <si>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</si>
  <si>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</si>
  <si>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</si>
  <si>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</si>
  <si>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</si>
  <si>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</si>
  <si>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</si>
  <si>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</si>
  <si>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</si>
  <si>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</si>
  <si>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</si>
  <si>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</si>
  <si>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</si>
  <si>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</si>
  <si>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</si>
  <si>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</si>
  <si>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</si>
  <si>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</si>
  <si>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</si>
  <si>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</si>
  <si>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</si>
  <si>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</si>
  <si>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</si>
  <si>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</si>
  <si>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</si>
  <si>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</si>
  <si>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</si>
  <si>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</si>
  <si>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</si>
  <si>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</si>
  <si>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</si>
  <si>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</si>
  <si>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</si>
  <si>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</si>
  <si>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</si>
  <si>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</si>
  <si>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</si>
  <si>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</si>
  <si>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</si>
  <si>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</si>
  <si>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</si>
  <si>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</si>
  <si>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</si>
  <si>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</si>
  <si>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</si>
  <si>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</si>
  <si>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</si>
  <si>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</si>
  <si>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</si>
  <si>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</si>
  <si>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</si>
  <si>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</si>
  <si>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</si>
  <si>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</si>
  <si>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</si>
  <si>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</si>
  <si>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</si>
  <si>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</si>
  <si>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</si>
  <si>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</si>
  <si>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</si>
  <si>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</si>
  <si>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</si>
  <si>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</si>
  <si>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</si>
  <si>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</si>
  <si>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</si>
  <si>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</si>
  <si>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</si>
  <si>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</si>
  <si>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</si>
  <si>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</si>
  <si>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</si>
  <si>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</si>
  <si>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</si>
  <si>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</si>
  <si>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</si>
  <si>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</si>
  <si>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</si>
  <si>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</si>
  <si>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</si>
  <si>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</si>
  <si>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</si>
  <si>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</si>
  <si>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</si>
  <si>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</si>
  <si>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</si>
  <si>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</si>
  <si>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</si>
  <si>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</si>
  <si>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</si>
  <si>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</si>
  <si>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</si>
  <si>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</si>
  <si>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</si>
  <si>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</si>
  <si>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</si>
  <si>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</si>
  <si>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</si>
  <si>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</si>
  <si>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</si>
  <si>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</si>
  <si>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</si>
  <si>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</si>
  <si>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</si>
  <si>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</si>
  <si>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</si>
  <si>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</si>
  <si>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</si>
  <si>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</si>
  <si>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</si>
  <si>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</si>
  <si>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</si>
  <si>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</si>
  <si>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</si>
  <si>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</si>
  <si>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</si>
  <si>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</si>
  <si>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</si>
  <si>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</si>
  <si>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</si>
  <si>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</si>
  <si>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</si>
  <si>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</si>
  <si>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</si>
  <si>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</si>
  <si>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</si>
  <si>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</si>
  <si>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</si>
  <si>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</si>
  <si>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</si>
  <si>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</si>
  <si>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</si>
  <si>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</si>
  <si>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</si>
  <si>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</si>
  <si>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</si>
  <si>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</si>
  <si>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</si>
  <si>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</si>
  <si>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</si>
  <si>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</si>
  <si>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</si>
  <si>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</si>
  <si>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</si>
  <si>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</si>
  <si>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</si>
  <si>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</si>
  <si>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</si>
  <si>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</si>
  <si>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</si>
  <si>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</si>
  <si>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</si>
  <si>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</si>
  <si>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</si>
  <si>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</si>
  <si>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</si>
  <si>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</si>
  <si>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</si>
  <si>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</si>
  <si>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</si>
  <si>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</si>
  <si>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</si>
  <si>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</si>
  <si>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</si>
  <si>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</si>
  <si>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</si>
  <si>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</si>
  <si>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</si>
  <si>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</si>
  <si>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</si>
  <si>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</si>
  <si>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</si>
  <si>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</si>
  <si>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</si>
  <si>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</si>
  <si>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</si>
  <si>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</si>
  <si>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</si>
  <si>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</si>
  <si>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</si>
  <si>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</si>
  <si>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</si>
  <si>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</si>
  <si>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</si>
  <si>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</si>
  <si>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</si>
  <si>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</si>
  <si>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</si>
  <si>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</si>
  <si>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</si>
  <si>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</si>
  <si>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</si>
  <si>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</si>
  <si>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</si>
  <si>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</si>
  <si>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</si>
  <si>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</si>
  <si>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</si>
  <si>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</si>
  <si>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</si>
  <si>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</si>
  <si>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</si>
  <si>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</si>
  <si>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</si>
  <si>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</si>
  <si>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</si>
  <si>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</si>
  <si>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</si>
  <si>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</si>
  <si>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</si>
  <si>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</si>
  <si>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</si>
  <si>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</si>
  <si>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</si>
  <si>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</si>
  <si>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</si>
  <si>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</si>
  <si>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</si>
  <si>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</si>
  <si>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</si>
  <si>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</si>
  <si>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</si>
  <si>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</si>
  <si>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</si>
  <si>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</si>
  <si>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</si>
  <si>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</si>
  <si>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</si>
  <si>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</si>
  <si>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</si>
  <si>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</si>
  <si>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</si>
  <si>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</si>
  <si>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</si>
  <si>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</si>
  <si>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</si>
  <si>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</si>
  <si>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</si>
  <si>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</si>
  <si>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</si>
  <si>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</si>
  <si>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</si>
  <si>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</si>
  <si>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</si>
  <si>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</si>
  <si>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</si>
  <si>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</si>
  <si>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</si>
  <si>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</si>
  <si>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</si>
  <si>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</si>
  <si>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</si>
  <si>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</si>
  <si>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</si>
  <si>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</si>
  <si>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</si>
  <si>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</si>
  <si>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</si>
  <si>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</si>
  <si>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</si>
  <si>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</si>
  <si>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</si>
  <si>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</si>
  <si>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</si>
  <si>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</si>
  <si>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</si>
  <si>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</si>
  <si>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</si>
  <si>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</si>
  <si>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</si>
  <si>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</si>
  <si>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</si>
  <si>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</si>
  <si>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</si>
  <si>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</si>
  <si>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</si>
  <si>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</si>
  <si>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</si>
  <si>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</si>
  <si>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</si>
  <si>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</si>
  <si>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</si>
  <si>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</si>
  <si>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</si>
  <si>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</si>
  <si>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</si>
  <si>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</si>
  <si>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</si>
  <si>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</si>
  <si>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</si>
  <si>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</si>
  <si>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</si>
  <si>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</si>
  <si>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</si>
  <si>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</si>
  <si>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</si>
  <si>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</si>
  <si>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</si>
  <si>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</si>
  <si>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</si>
  <si>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</si>
  <si>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</si>
  <si>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</si>
  <si>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</si>
  <si>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</si>
  <si>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</si>
  <si>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</si>
  <si>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</si>
  <si>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</si>
  <si>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</si>
  <si>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</si>
  <si>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</si>
  <si>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</si>
  <si>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</si>
  <si>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</si>
  <si>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</si>
  <si>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</si>
  <si>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</si>
  <si>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</si>
  <si>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</si>
  <si>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</si>
  <si>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</si>
  <si>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</si>
  <si>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</si>
  <si>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</si>
  <si>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</si>
  <si>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</si>
  <si>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</si>
  <si>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</si>
  <si>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</si>
  <si>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</si>
  <si>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</si>
  <si>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</si>
  <si>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</si>
  <si>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</si>
  <si>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</si>
  <si>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</si>
  <si>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</si>
  <si>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</si>
  <si>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</si>
  <si>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</si>
  <si>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</si>
  <si>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</si>
  <si>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</si>
  <si>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</si>
  <si>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</si>
  <si>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</si>
  <si>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</si>
  <si>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</si>
  <si>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</si>
  <si>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</si>
  <si>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</si>
  <si>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</si>
  <si>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</si>
  <si>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</si>
  <si>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</si>
  <si>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</si>
  <si>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</si>
  <si>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</si>
  <si>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</si>
  <si>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</si>
  <si>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</si>
  <si>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</si>
  <si>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</si>
  <si>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</si>
  <si>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</si>
  <si>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</si>
  <si>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</si>
  <si>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</si>
  <si>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</si>
  <si>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</si>
  <si>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</si>
  <si>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</si>
  <si>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</si>
  <si>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</si>
  <si>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</si>
  <si>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</si>
  <si>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</si>
  <si>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</si>
  <si>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</si>
  <si>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</si>
  <si>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</si>
  <si>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</si>
  <si>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</si>
  <si>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</si>
  <si>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</si>
  <si>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</si>
  <si>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</si>
  <si>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</si>
  <si>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</si>
  <si>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</si>
  <si>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</si>
  <si>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</si>
  <si>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</si>
  <si>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</si>
  <si>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</si>
  <si>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</si>
  <si>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</si>
  <si>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</si>
  <si>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</si>
  <si>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</si>
  <si>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</si>
  <si>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</si>
  <si>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</si>
  <si>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</si>
  <si>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</si>
  <si>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</si>
  <si>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</si>
  <si>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</si>
  <si>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</si>
  <si>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</si>
  <si>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</si>
  <si>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</si>
  <si>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</si>
  <si>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</si>
  <si>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</si>
  <si>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</si>
  <si>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</si>
  <si>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</si>
  <si>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</si>
  <si>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</si>
  <si>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</si>
  <si>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</si>
  <si>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</si>
  <si>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</si>
  <si>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</si>
  <si>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</si>
  <si>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</si>
  <si>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</si>
  <si>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</si>
  <si>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</si>
  <si>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</si>
  <si>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</si>
  <si>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</si>
  <si>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</si>
  <si>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</si>
  <si>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</si>
  <si>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</si>
  <si>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</si>
  <si>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</si>
  <si>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</si>
  <si>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</si>
  <si>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</si>
  <si>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</si>
  <si>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</si>
  <si>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</si>
  <si>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</si>
  <si>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</si>
  <si>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</si>
  <si>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</si>
  <si>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</si>
  <si>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</si>
  <si>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</si>
  <si>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</si>
  <si>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</si>
  <si>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</si>
  <si>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</si>
  <si>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</si>
  <si>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</si>
  <si>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</si>
  <si>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</si>
  <si>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</si>
  <si>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</si>
  <si>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</si>
  <si>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</si>
  <si>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</si>
  <si>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</si>
  <si>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</si>
  <si>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</si>
  <si>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</si>
  <si>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</si>
  <si>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</si>
  <si>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</si>
  <si>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</si>
  <si>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</si>
  <si>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</si>
  <si>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</si>
  <si>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</si>
  <si>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</si>
  <si>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</si>
  <si>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</si>
  <si>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</si>
  <si>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</si>
  <si>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</si>
  <si>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</si>
  <si>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</si>
  <si>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</si>
  <si>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</si>
  <si>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</si>
  <si>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</si>
  <si>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</si>
  <si>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</si>
  <si>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</si>
  <si>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</si>
  <si>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</si>
  <si>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</si>
  <si>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</si>
  <si>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</si>
  <si>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</si>
  <si>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</si>
  <si>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</si>
  <si>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</si>
  <si>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</si>
  <si>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</si>
  <si>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</si>
  <si>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</si>
  <si>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</si>
  <si>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</si>
  <si>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</si>
  <si>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</si>
  <si>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</si>
  <si>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</si>
  <si>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</si>
  <si>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</si>
  <si>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</si>
  <si>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</si>
  <si>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</si>
  <si>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</si>
  <si>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</si>
  <si>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</si>
  <si>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</si>
  <si>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</si>
  <si>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</si>
  <si>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</si>
  <si>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</si>
  <si>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</si>
  <si>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</si>
  <si>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</si>
  <si>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</si>
  <si>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</si>
  <si>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</si>
  <si>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</si>
  <si>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</si>
  <si>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</si>
  <si>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</si>
  <si>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</si>
  <si>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</si>
  <si>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</si>
  <si>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</si>
  <si>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</si>
  <si>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</si>
  <si>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</si>
  <si>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</si>
  <si>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</si>
  <si>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</si>
  <si>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</si>
  <si>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</si>
  <si>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</si>
  <si>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</si>
  <si>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</si>
  <si>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</si>
  <si>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</si>
  <si>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</si>
  <si>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</si>
  <si>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</si>
  <si>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</si>
  <si>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</si>
  <si>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</si>
  <si>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</si>
  <si>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</si>
  <si>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</si>
  <si>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</si>
  <si>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</si>
  <si>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</si>
  <si>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</si>
  <si>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</si>
  <si>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</si>
  <si>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</si>
  <si>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</si>
  <si>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</si>
  <si>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</si>
  <si>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</si>
  <si>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</si>
  <si>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</si>
  <si>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</si>
  <si>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</si>
  <si>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</si>
  <si>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</si>
  <si>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</si>
  <si>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</si>
  <si>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</si>
  <si>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</si>
  <si>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</si>
  <si>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</si>
  <si>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</si>
  <si>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</si>
  <si>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</si>
  <si>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</si>
  <si>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</si>
  <si>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</si>
  <si>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</si>
  <si>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</si>
  <si>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</si>
  <si>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</si>
  <si>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</si>
  <si>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</si>
  <si>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</si>
  <si>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</si>
  <si>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</si>
  <si>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</si>
  <si>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</si>
  <si>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</si>
  <si>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</si>
  <si>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</si>
  <si>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</si>
  <si>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</si>
  <si>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</si>
  <si>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</si>
  <si>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</si>
  <si>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</si>
  <si>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</si>
  <si>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</si>
  <si>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</si>
  <si>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</si>
  <si>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</si>
  <si>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</si>
  <si>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</si>
  <si>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</si>
  <si>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</si>
  <si>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</si>
  <si>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</si>
  <si>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</si>
  <si>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</si>
  <si>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</si>
  <si>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</si>
  <si>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</si>
  <si>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</si>
  <si>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</si>
  <si>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</si>
  <si>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</si>
  <si>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</si>
  <si>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</si>
  <si>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</si>
  <si>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</si>
  <si>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</si>
  <si>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</si>
  <si>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</si>
  <si>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</si>
  <si>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</si>
  <si>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</si>
  <si>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</si>
  <si>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</si>
  <si>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</si>
  <si>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</si>
  <si>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</si>
  <si>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</si>
  <si>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</si>
  <si>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</si>
  <si>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</si>
  <si>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</si>
  <si>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</si>
  <si>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</si>
  <si>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</si>
  <si>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</si>
  <si>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</si>
  <si>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</si>
  <si>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</si>
  <si>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</si>
  <si>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</si>
  <si>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</si>
  <si>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</si>
  <si>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</si>
  <si>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</si>
  <si>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</si>
  <si>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</si>
  <si>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</si>
  <si>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</si>
  <si>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</si>
  <si>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</si>
  <si>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</si>
  <si>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</si>
  <si>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</si>
  <si>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</si>
  <si>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</si>
  <si>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</si>
  <si>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</si>
  <si>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</si>
  <si>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</si>
  <si>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</si>
  <si>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</si>
  <si>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</si>
  <si>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</si>
  <si>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</si>
  <si>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</si>
  <si>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</si>
  <si>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</si>
  <si>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</si>
  <si>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</si>
  <si>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</si>
  <si>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</si>
  <si>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</si>
  <si>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</si>
  <si>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</si>
  <si>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</si>
  <si>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</si>
  <si>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</si>
  <si>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</si>
  <si>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</si>
  <si>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</si>
  <si>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</si>
  <si>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</si>
  <si>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</si>
  <si>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</si>
  <si>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</si>
  <si>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</si>
  <si>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</si>
  <si>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</si>
  <si>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</si>
  <si>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</si>
  <si>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</si>
  <si>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</si>
  <si>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</si>
  <si>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</si>
  <si>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</si>
  <si>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</si>
  <si>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</si>
  <si>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</si>
  <si>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</si>
  <si>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</si>
  <si>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</si>
  <si>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</si>
  <si>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</si>
  <si>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</si>
  <si>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</si>
  <si>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</si>
  <si>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</si>
  <si>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</si>
  <si>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</si>
  <si>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</si>
  <si>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</si>
  <si>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</si>
  <si>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</si>
  <si>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</si>
  <si>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</si>
  <si>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</si>
  <si>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</si>
  <si>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</si>
  <si>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</si>
  <si>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</si>
  <si>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</si>
  <si>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</si>
  <si>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</si>
  <si>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</si>
  <si>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</si>
  <si>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</si>
  <si>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</si>
  <si>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</si>
  <si>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</si>
  <si>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</si>
  <si>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</si>
  <si>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</si>
  <si>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</si>
  <si>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</si>
  <si>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</si>
  <si>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</si>
  <si>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</si>
  <si>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</si>
  <si>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</si>
  <si>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</si>
  <si>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</si>
  <si>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</si>
  <si>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</si>
  <si>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</si>
  <si>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</si>
  <si>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</si>
  <si>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</si>
  <si>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</si>
  <si>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</si>
  <si>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</si>
  <si>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</si>
  <si>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</si>
  <si>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</si>
  <si>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</si>
  <si>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</si>
  <si>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</si>
  <si>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</si>
  <si>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</si>
  <si>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</si>
  <si>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</si>
  <si>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</si>
  <si>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</si>
  <si>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</si>
  <si>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</si>
  <si>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</si>
  <si>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</si>
  <si>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</si>
  <si>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</si>
  <si>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</si>
  <si>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</si>
  <si>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</si>
  <si>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</si>
  <si>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</si>
  <si>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</si>
  <si>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</si>
  <si>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</si>
  <si>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</si>
  <si>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</si>
  <si>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</si>
  <si>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</si>
  <si>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</si>
  <si>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</si>
  <si>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</si>
  <si>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</si>
  <si>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</si>
  <si>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</si>
  <si>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</si>
  <si>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</si>
  <si>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</si>
  <si>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</si>
  <si>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</si>
  <si>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</si>
  <si>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</si>
  <si>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</si>
  <si>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</si>
  <si>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</si>
  <si>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</si>
  <si>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</si>
  <si>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</si>
  <si>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</si>
  <si>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</si>
  <si>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</si>
  <si>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</si>
  <si>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</si>
  <si>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</si>
  <si>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</si>
  <si>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</si>
  <si>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</si>
  <si>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</si>
  <si>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</si>
  <si>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</si>
  <si>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</si>
  <si>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</si>
  <si>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</si>
  <si>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</si>
  <si>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</si>
  <si>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</si>
  <si>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</si>
  <si>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</si>
  <si>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</si>
  <si>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</si>
  <si>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</si>
  <si>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</si>
  <si>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</si>
  <si>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</si>
  <si>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</si>
  <si>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</si>
  <si>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</si>
  <si>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</si>
  <si>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</si>
  <si>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</si>
  <si>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</si>
  <si>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</si>
  <si>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</si>
  <si>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</si>
  <si>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</si>
  <si>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</si>
  <si>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</si>
  <si>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</si>
  <si>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</si>
  <si>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</si>
  <si>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</si>
  <si>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</si>
  <si>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</si>
  <si>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</si>
  <si>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</si>
  <si>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</si>
  <si>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</si>
  <si>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</si>
  <si>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</si>
  <si>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</si>
  <si>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</si>
  <si>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</si>
  <si>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</si>
  <si>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</si>
  <si>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</si>
  <si>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</si>
  <si>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</si>
  <si>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</si>
  <si>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</si>
  <si>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</si>
  <si>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</si>
  <si>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</si>
  <si>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</si>
  <si>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</si>
  <si>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</si>
  <si>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</si>
  <si>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</si>
  <si>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</si>
  <si>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</si>
  <si>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</si>
  <si>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</si>
  <si>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</si>
  <si>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</si>
  <si>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</si>
  <si>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</si>
  <si>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</si>
  <si>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</si>
  <si>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</si>
  <si>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</si>
  <si>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</si>
  <si>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</si>
  <si>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</si>
  <si>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</si>
  <si>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</si>
  <si>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</si>
  <si>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</si>
  <si>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</si>
  <si>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</si>
  <si>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</si>
  <si>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</si>
  <si>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</si>
  <si>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</si>
  <si>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</si>
  <si>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</si>
  <si>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</si>
  <si>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</si>
  <si>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</si>
  <si>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</si>
  <si>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</si>
  <si>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</si>
  <si>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</si>
  <si>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</si>
  <si>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</si>
  <si>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</si>
  <si>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</si>
  <si>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</si>
  <si>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</si>
  <si>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</si>
  <si>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</si>
  <si>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</si>
  <si>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</si>
  <si>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</si>
  <si>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</si>
  <si>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</si>
  <si>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</si>
  <si>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</si>
  <si>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</si>
  <si>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</si>
  <si>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</si>
  <si>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</si>
  <si>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</si>
  <si>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</si>
  <si>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</si>
  <si>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</si>
  <si>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</si>
  <si>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</si>
  <si>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</si>
  <si>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</si>
  <si>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</si>
  <si>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</si>
  <si>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</si>
  <si>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</si>
  <si>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</si>
  <si>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</si>
  <si>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</si>
  <si>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</si>
  <si>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</si>
  <si>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</si>
  <si>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</si>
  <si>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</si>
  <si>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</si>
  <si>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</si>
  <si>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</si>
  <si>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</si>
  <si>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</si>
  <si>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</si>
  <si>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</si>
  <si>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</si>
  <si>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</si>
  <si>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</si>
  <si>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</si>
  <si>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</si>
  <si>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</si>
  <si>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</si>
  <si>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</si>
  <si>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</si>
  <si>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</si>
  <si>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</si>
  <si>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</si>
  <si>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</si>
  <si>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</si>
  <si>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</si>
  <si>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</si>
  <si>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</si>
  <si>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</si>
  <si>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</si>
  <si>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</si>
  <si>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</si>
  <si>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</si>
  <si>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</si>
  <si>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</si>
  <si>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</si>
  <si>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</si>
  <si>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</si>
  <si>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</si>
  <si>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</si>
  <si>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</si>
  <si>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</si>
  <si>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</si>
  <si>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</si>
  <si>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</si>
  <si>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</si>
  <si>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</si>
  <si>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</si>
  <si>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</si>
  <si>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</si>
  <si>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</si>
  <si>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</si>
  <si>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</si>
  <si>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</si>
  <si>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</si>
  <si>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</si>
  <si>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</si>
  <si>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</si>
  <si>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</si>
  <si>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</si>
  <si>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</si>
  <si>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</si>
  <si>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</si>
  <si>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</si>
  <si>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</si>
  <si>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</si>
  <si>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</si>
  <si>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</si>
  <si>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</si>
  <si>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</si>
  <si>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</si>
  <si>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</si>
  <si>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</si>
  <si>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</si>
  <si>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</si>
  <si>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</si>
  <si>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</si>
  <si>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</si>
  <si>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</si>
  <si>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</si>
  <si>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</si>
  <si>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</si>
  <si>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</si>
  <si>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</si>
  <si>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</si>
  <si>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</si>
  <si>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</si>
  <si>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</si>
  <si>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</si>
  <si>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</si>
  <si>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</si>
  <si>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</si>
  <si>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</si>
  <si>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</si>
  <si>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</si>
  <si>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</si>
  <si>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</si>
  <si>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</si>
  <si>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</si>
  <si>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</si>
  <si>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</si>
  <si>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</si>
  <si>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</si>
  <si>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</si>
  <si>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</si>
  <si>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</si>
  <si>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</si>
  <si>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</si>
  <si>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</si>
  <si>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</si>
  <si>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</si>
  <si>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</si>
  <si>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</si>
  <si>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</si>
  <si>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</si>
  <si>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</si>
  <si>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</si>
  <si>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</si>
  <si>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</si>
  <si>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</si>
  <si>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</si>
  <si>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</si>
  <si>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</si>
  <si>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</si>
  <si>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</si>
  <si>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</si>
  <si>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</si>
  <si>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</si>
  <si>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</si>
  <si>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</si>
  <si>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</si>
  <si>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</si>
  <si>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</si>
  <si>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</si>
  <si>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</si>
  <si>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</si>
  <si>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</si>
  <si>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</si>
  <si>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</si>
  <si>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</si>
  <si>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</si>
  <si>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</si>
  <si>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</si>
  <si>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</si>
  <si>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</si>
  <si>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</si>
  <si>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</si>
  <si>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</si>
  <si>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</si>
  <si>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</si>
  <si>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</si>
  <si>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</si>
  <si>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</si>
  <si>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</si>
  <si>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</si>
  <si>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</si>
  <si>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</si>
  <si>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</si>
  <si>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</si>
  <si>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</si>
  <si>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</si>
  <si>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</si>
  <si>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</si>
  <si>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</si>
  <si>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</si>
  <si>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</si>
  <si>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</si>
  <si>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</si>
  <si>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</si>
  <si>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</si>
  <si>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</si>
  <si>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</si>
  <si>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</si>
  <si>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</si>
  <si>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</si>
  <si>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</si>
  <si>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</si>
  <si>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</si>
  <si>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</si>
  <si>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</si>
  <si>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</si>
  <si>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</si>
  <si>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</si>
  <si>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</si>
  <si>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</si>
  <si>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</si>
  <si>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</si>
  <si>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</si>
  <si>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</si>
  <si>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</si>
  <si>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</si>
  <si>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</si>
  <si>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</si>
  <si>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</si>
  <si>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</si>
  <si>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</si>
  <si>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</si>
  <si>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</si>
  <si>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</si>
  <si>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</si>
  <si>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</si>
  <si>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</si>
  <si>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</si>
  <si>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</si>
  <si>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</si>
  <si>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</si>
  <si>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</si>
  <si>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</si>
  <si>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</si>
  <si>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</si>
  <si>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</si>
  <si>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</si>
  <si>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</si>
  <si>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</si>
  <si>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</si>
  <si>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</si>
  <si>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</si>
  <si>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</si>
  <si>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</si>
  <si>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</si>
  <si>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</si>
  <si>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</si>
  <si>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</si>
  <si>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</si>
  <si>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</si>
  <si>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</si>
  <si>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</si>
  <si>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</si>
  <si>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</si>
  <si>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</si>
  <si>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</si>
  <si>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</si>
  <si>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</si>
  <si>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</si>
  <si>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</si>
  <si>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</si>
  <si>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</si>
  <si>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</si>
  <si>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</si>
  <si>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</si>
  <si>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</si>
  <si>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</si>
  <si>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</si>
  <si>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</si>
  <si>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</si>
  <si>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</si>
  <si>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</si>
  <si>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</si>
  <si>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</si>
  <si>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</si>
  <si>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</si>
  <si>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</si>
  <si>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</si>
  <si>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</si>
  <si>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</si>
  <si>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</si>
  <si>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</si>
  <si>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</si>
  <si>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</si>
  <si>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</si>
  <si>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</si>
  <si>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</si>
  <si>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</si>
  <si>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</si>
  <si>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</si>
  <si>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</si>
  <si>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</si>
  <si>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</si>
  <si>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</si>
  <si>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</si>
  <si>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</si>
  <si>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</si>
  <si>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</si>
  <si>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</si>
  <si>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</si>
  <si>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</si>
  <si>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</si>
  <si>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</si>
  <si>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</si>
  <si>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</si>
  <si>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</si>
  <si>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</si>
  <si>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</si>
  <si>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</si>
  <si>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</si>
  <si>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</si>
  <si>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</si>
  <si>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</si>
  <si>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</si>
  <si>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</si>
  <si>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</si>
  <si>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</si>
  <si>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</si>
  <si>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</si>
  <si>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</si>
  <si>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</si>
  <si>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</si>
  <si>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</si>
  <si>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</si>
  <si>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</si>
  <si>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</si>
  <si>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</si>
  <si>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</si>
  <si>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</si>
  <si>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</si>
  <si>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</si>
  <si>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</si>
  <si>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</si>
  <si>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</si>
  <si>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</si>
  <si>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</si>
  <si>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</si>
  <si>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</si>
  <si>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</si>
  <si>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</si>
  <si>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</si>
  <si>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</si>
  <si>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</si>
  <si>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</si>
  <si>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</si>
  <si>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</si>
  <si>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</si>
  <si>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</si>
  <si>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</si>
  <si>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</si>
  <si>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</si>
  <si>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Brinshore Development L.L.C.</t>
  </si>
  <si>
    <t>219-221 5th Street</t>
  </si>
  <si>
    <t>West Sacramento</t>
  </si>
  <si>
    <t>Aaron Laurel</t>
  </si>
  <si>
    <t>1110 West Capitol Avenue</t>
  </si>
  <si>
    <t xml:space="preserve">(916) 617-4500	</t>
  </si>
  <si>
    <t>(916) 372-8765</t>
  </si>
  <si>
    <t xml:space="preserve">	aaronl@cityofwestsacramento.org</t>
  </si>
  <si>
    <t xml:space="preserve">N/A	</t>
  </si>
  <si>
    <t>219-221 5th Street, West Sacramento CA 95605</t>
  </si>
  <si>
    <t>6113010101 (101.01)</t>
  </si>
  <si>
    <t xml:space="preserve"> 010-495-023 and  010-495-024</t>
  </si>
  <si>
    <t>Low Resource</t>
  </si>
  <si>
    <t>$500M</t>
  </si>
  <si>
    <t>20%/50%</t>
  </si>
  <si>
    <t>1603 Orrington Avenue</t>
  </si>
  <si>
    <t>Evanston</t>
  </si>
  <si>
    <t>IL</t>
  </si>
  <si>
    <t>Whitney Weller</t>
  </si>
  <si>
    <t>312.505.0108</t>
  </si>
  <si>
    <t>whitneyw@brinshore.com</t>
  </si>
  <si>
    <t>Administrative GP</t>
  </si>
  <si>
    <t xml:space="preserve">60201		</t>
  </si>
  <si>
    <t>Raise the Barr</t>
  </si>
  <si>
    <t>Managing GP</t>
  </si>
  <si>
    <t>2851 W. 120TH STREET, STE E 339</t>
  </si>
  <si>
    <t>HAWTHORNE</t>
  </si>
  <si>
    <t>Lori Frances Barr</t>
  </si>
  <si>
    <t>310.938.7231</t>
  </si>
  <si>
    <t>lori@raisethebarr.org</t>
  </si>
  <si>
    <t>CA</t>
  </si>
  <si>
    <t xml:space="preserve">IL	</t>
  </si>
  <si>
    <t xml:space="preserve">312.505.0108					</t>
  </si>
  <si>
    <t xml:space="preserve">Developer/Applicant/Guarantor + AGP by way of 5 Sacramento LLC																		</t>
  </si>
  <si>
    <t>Operative Office</t>
  </si>
  <si>
    <t>Evanston, IL 60201</t>
  </si>
  <si>
    <t xml:space="preserve">Whitney Weller </t>
  </si>
  <si>
    <t xml:space="preserve">whitneyw@brinshore.com										</t>
  </si>
  <si>
    <t xml:space="preserve">4329 Marmion Way </t>
  </si>
  <si>
    <t>Los Angeles, CA 90065</t>
  </si>
  <si>
    <t>Michael den Hartog</t>
  </si>
  <si>
    <t>(209) 224-7412</t>
  </si>
  <si>
    <t>michael@operativeoffice.com</t>
  </si>
  <si>
    <t>Katten Muchin Rosenman LLP</t>
  </si>
  <si>
    <t xml:space="preserve">525 W. Monroe Street </t>
  </si>
  <si>
    <t>Chicago, IL 60661</t>
  </si>
  <si>
    <t>David P. Cohen</t>
  </si>
  <si>
    <t>312.902.5284</t>
  </si>
  <si>
    <t>david.cohen@katten.com</t>
  </si>
  <si>
    <t>Sunseri &amp; Associates</t>
  </si>
  <si>
    <t xml:space="preserve">1930 G Street </t>
  </si>
  <si>
    <t>Sacramento, CA 95811</t>
  </si>
  <si>
    <t xml:space="preserve">Niche Sunseri </t>
  </si>
  <si>
    <t xml:space="preserve">916-455-8200  </t>
  </si>
  <si>
    <t>pnsunseri@sunseriassociates.com</t>
  </si>
  <si>
    <t>Dauby O’Connor &amp; Zaleski, LLC</t>
  </si>
  <si>
    <t>501 Congressional Blvd</t>
  </si>
  <si>
    <t>Carmel, IN 46032</t>
  </si>
  <si>
    <t>Thomas Wilson</t>
  </si>
  <si>
    <t>Partner Energy</t>
  </si>
  <si>
    <t>680 Knox St., Ste 150</t>
  </si>
  <si>
    <t>Los Angeles, CA 90502</t>
  </si>
  <si>
    <t>Tushar Dutta</t>
  </si>
  <si>
    <t>317 848 5700</t>
  </si>
  <si>
    <t>twilson@dozllc.com</t>
  </si>
  <si>
    <t>310-765-7287</t>
  </si>
  <si>
    <t xml:space="preserve">tdutta@ptrenergy.com </t>
  </si>
  <si>
    <t>R4 Capital</t>
  </si>
  <si>
    <t>895 Dove St, Suite 475</t>
  </si>
  <si>
    <t>Newport Beach</t>
  </si>
  <si>
    <t>Cory Bannister</t>
  </si>
  <si>
    <t>602-793-2256</t>
  </si>
  <si>
    <t>Cbannister@r4cap.com</t>
  </si>
  <si>
    <t>Novogradac</t>
  </si>
  <si>
    <t>11044 Research Blvd, Bldg C, Ste 400</t>
  </si>
  <si>
    <t>Austin, TX 78759</t>
  </si>
  <si>
    <t>Rebecca Arthur</t>
  </si>
  <si>
    <t>816.213.2959</t>
  </si>
  <si>
    <t xml:space="preserve">rebecca.arthur@novoco.com										</t>
  </si>
  <si>
    <t>4329 Marmion Way</t>
  </si>
  <si>
    <t>Emily Ware</t>
  </si>
  <si>
    <t>626-696-9924</t>
  </si>
  <si>
    <t>emily@operativeoffice.com</t>
  </si>
  <si>
    <t>California Municipal Finance Authority</t>
  </si>
  <si>
    <t>2111 Palomar Airport Rd, Ste 320</t>
  </si>
  <si>
    <t>Carlsbad, CA 92011</t>
  </si>
  <si>
    <t>Anthony Stubbs</t>
  </si>
  <si>
    <t xml:space="preserve">FPI Management, Inc. </t>
  </si>
  <si>
    <t>3187 Red Hill Avenue, Suite 220</t>
  </si>
  <si>
    <t>Costa Mesa, CA 92626</t>
  </si>
  <si>
    <t xml:space="preserve">June C. Valle </t>
  </si>
  <si>
    <t>760-930-1333</t>
  </si>
  <si>
    <t>astubbs@cmfa-ca.com</t>
  </si>
  <si>
    <t>714-641-5110</t>
  </si>
  <si>
    <t>june.valle@fpimgt.com</t>
  </si>
  <si>
    <t>HAWTHORNE, CA 90250</t>
  </si>
  <si>
    <t xml:space="preserve">N/A			
N/A			</t>
  </si>
  <si>
    <t>221 5th Street LLC</t>
  </si>
  <si>
    <t>Sole Member</t>
  </si>
  <si>
    <t>4329 Marmion Way, Los Angeles CA 90065</t>
  </si>
  <si>
    <t>Secured by Fee Interest</t>
  </si>
  <si>
    <t>One or Two Story Garden</t>
  </si>
  <si>
    <t>Washington Specific Plan - Residential-Multifamily (R-3) - 70 dwelling units per acre</t>
  </si>
  <si>
    <t>65 feet</t>
  </si>
  <si>
    <t>Project Based Vouchers</t>
  </si>
  <si>
    <t>Infill Infrastructure Grant</t>
  </si>
  <si>
    <t>R4 Tax-exempt construction-to-perm loan</t>
  </si>
  <si>
    <t>Fixed</t>
  </si>
  <si>
    <t>Deferred Reserves</t>
  </si>
  <si>
    <t>R4 Gross Tax Credit Equity</t>
  </si>
  <si>
    <t>10 S. Dearborn St., Code IL1-0953</t>
  </si>
  <si>
    <t>Chicago, IL 60603</t>
  </si>
  <si>
    <t>Dell McCoy - JPMorgan Chase Bank, N.A.</t>
  </si>
  <si>
    <t>312-325-3038</t>
  </si>
  <si>
    <t>Hard Debt</t>
  </si>
  <si>
    <t>Whitney Weller - Brinshore Development L.L.C.</t>
  </si>
  <si>
    <t>Deferred Fee</t>
  </si>
  <si>
    <t xml:space="preserve">777 West Putnam Avenue </t>
  </si>
  <si>
    <t>Greenwich, CT 06830</t>
  </si>
  <si>
    <t>Jason Wilber - The Richman Group Affordable Housing Corporation</t>
  </si>
  <si>
    <t>(203) 869 0900</t>
  </si>
  <si>
    <t>Equity</t>
  </si>
  <si>
    <t>Infill Infrastructure Grant Program (IIG) - Grant</t>
  </si>
  <si>
    <t>2020 W. El Camino Avenue, Suite 650</t>
  </si>
  <si>
    <t>Sacramento, CA 95833</t>
  </si>
  <si>
    <t>Lynn Jones - California Department of Housing &amp; Community Development</t>
  </si>
  <si>
    <t xml:space="preserve">916.695.6071 </t>
  </si>
  <si>
    <t>Yolo County Housing</t>
  </si>
  <si>
    <t>Project-based vouchers (PBVs)</t>
  </si>
  <si>
    <t>FPI Management, Inc.</t>
  </si>
  <si>
    <t>2 bedroom</t>
  </si>
  <si>
    <t xml:space="preserve">Other: </t>
  </si>
  <si>
    <t>Other: Developer Legal</t>
  </si>
  <si>
    <t>Other: Developer Insurance</t>
  </si>
  <si>
    <t xml:space="preserve">R4 Tax-exempt </t>
  </si>
  <si>
    <t>Project-based vouchers</t>
  </si>
  <si>
    <t>Other: Prevailing Wage Monitoring</t>
  </si>
  <si>
    <t>Other: Public Works Inspections</t>
  </si>
  <si>
    <t>R4 Taxable</t>
  </si>
  <si>
    <t>Variable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</si>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</sst>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12" fillId="43" borderId="3" xfId="0" applyNumberFormat="1" applyFon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2"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wrapText="1"/>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3" borderId="4" xfId="0" applyFont="1" applyFill="1" applyBorder="1" applyAlignment="1" applyProtection="1">
      <alignment horizontal="left"/>
      <protection locked="0"/>
    </xf>
    <xf numFmtId="0" fontId="12" fillId="53" borderId="5"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12"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2" fillId="53" borderId="6" xfId="0"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12" fillId="53" borderId="3" xfId="0" applyNumberFormat="1" applyFont="1" applyFill="1" applyBorder="1" applyAlignment="1" applyProtection="1">
      <alignment horizontal="right"/>
      <protection locked="0"/>
    </xf>
    <xf numFmtId="168" fontId="12" fillId="53" borderId="4" xfId="0" applyNumberFormat="1" applyFont="1" applyFill="1" applyBorder="1" applyAlignment="1" applyProtection="1">
      <alignment horizontal="right"/>
      <protection locked="0"/>
    </xf>
    <xf numFmtId="168" fontId="12" fillId="53" borderId="5" xfId="0" applyNumberFormat="1" applyFont="1" applyFill="1" applyBorder="1" applyAlignment="1" applyProtection="1">
      <alignment horizontal="righ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erativeoffice.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perativeoffice.sharepoint.com/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94" zoomScaleNormal="100" zoomScaleSheetLayoutView="100" workbookViewId="0">
      <selection activeCell="F326" sqref="F326"/>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662</v>
      </c>
      <c r="F42" s="1260" t="s">
        <v>1307</v>
      </c>
    </row>
    <row r="43" spans="1:38" s="1260" customFormat="1" ht="13.2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2442</v>
      </c>
      <c r="F140" s="2"/>
      <c r="G140" s="2"/>
      <c r="H140" s="2"/>
    </row>
    <row r="141" spans="4:37">
      <c r="E141" t="s">
        <v>113</v>
      </c>
      <c r="F141" t="s">
        <v>52</v>
      </c>
    </row>
    <row r="142" spans="4:37">
      <c r="E142" t="s">
        <v>114</v>
      </c>
      <c r="F142" t="s">
        <v>475</v>
      </c>
    </row>
    <row r="143" spans="4:37"/>
    <row r="144" spans="4:37">
      <c r="D144" s="2" t="s">
        <v>430</v>
      </c>
      <c r="E144" s="2" t="s">
        <v>2443</v>
      </c>
    </row>
    <row r="145" spans="3:7">
      <c r="E145" s="218" t="s">
        <v>2444</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2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67" t="s">
        <v>2521</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9"/>
    </row>
    <row r="2" spans="1:65" ht="15.75" customHeight="1">
      <c r="A2" s="2170" t="s">
        <v>2569</v>
      </c>
      <c r="B2" s="2171"/>
      <c r="C2" s="2171"/>
      <c r="D2" s="2171"/>
      <c r="E2" s="2171"/>
      <c r="F2" s="2171"/>
      <c r="G2" s="2171"/>
      <c r="H2" s="2171"/>
      <c r="I2" s="2171"/>
      <c r="J2" s="2171"/>
      <c r="K2" s="2171"/>
      <c r="L2" s="2171"/>
      <c r="M2" s="2171"/>
      <c r="N2" s="2171"/>
      <c r="O2" s="2171"/>
      <c r="P2" s="2171"/>
      <c r="Q2" s="2171"/>
      <c r="R2" s="2171"/>
      <c r="S2" s="2171"/>
      <c r="T2" s="2171"/>
      <c r="U2" s="2171"/>
      <c r="V2" s="2171"/>
      <c r="W2" s="2171"/>
      <c r="X2" s="2171"/>
      <c r="Y2" s="2171"/>
      <c r="Z2" s="2171"/>
      <c r="AA2" s="2171"/>
      <c r="AB2" s="2171"/>
      <c r="AC2" s="2171"/>
      <c r="AD2" s="2171"/>
      <c r="AE2" s="2171"/>
      <c r="AF2" s="2171"/>
      <c r="AG2" s="2171"/>
      <c r="AH2" s="2171"/>
      <c r="AI2" s="2171"/>
      <c r="AJ2" s="2171"/>
      <c r="AK2" s="2171"/>
      <c r="AL2" s="2171"/>
      <c r="AM2" s="2171"/>
      <c r="AN2" s="2171"/>
      <c r="AO2" s="2171"/>
      <c r="AP2" s="2171"/>
      <c r="AQ2" s="2171"/>
      <c r="AR2" s="2171"/>
      <c r="AS2" s="2171"/>
      <c r="AT2" s="2171"/>
      <c r="AU2" s="2171"/>
      <c r="AV2" s="2171"/>
      <c r="AW2" s="2171"/>
      <c r="AX2" s="2171"/>
      <c r="AY2" s="2171"/>
      <c r="AZ2" s="2171"/>
      <c r="BA2" s="2171"/>
      <c r="BB2" s="2171"/>
      <c r="BC2" s="2171"/>
      <c r="BD2" s="2171"/>
      <c r="BE2" s="217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9" t="str">
        <f>IF(Application!H18="","",Application!H18)</f>
        <v>219-221 5th Street</v>
      </c>
      <c r="M4" s="2160"/>
      <c r="N4" s="2160"/>
      <c r="O4" s="2160"/>
      <c r="P4" s="2160"/>
      <c r="Q4" s="2160"/>
      <c r="R4" s="2160"/>
      <c r="S4" s="2160"/>
      <c r="T4" s="2160"/>
      <c r="U4" s="2160"/>
      <c r="V4" s="2160"/>
      <c r="W4" s="2160"/>
      <c r="X4" s="2160"/>
      <c r="Y4" s="2160"/>
      <c r="Z4" s="2160"/>
      <c r="AA4" s="2160"/>
      <c r="AB4" s="2160"/>
      <c r="AC4" s="2161"/>
      <c r="AD4" s="1207"/>
      <c r="AE4" s="1207"/>
      <c r="AF4" s="2173" t="s">
        <v>2570</v>
      </c>
      <c r="AG4" s="2173"/>
      <c r="AH4" s="2173"/>
      <c r="AI4" s="2173"/>
      <c r="AJ4" s="2173"/>
      <c r="AK4" s="2173"/>
      <c r="AL4" s="2173"/>
      <c r="AM4" s="2173"/>
      <c r="AN4" s="2173"/>
      <c r="AO4" s="2173"/>
      <c r="AP4" s="2174"/>
      <c r="AQ4" s="2175"/>
      <c r="AR4" s="2175"/>
      <c r="AS4" s="2175"/>
      <c r="AT4" s="2175"/>
      <c r="AU4" s="217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3" t="s">
        <v>2571</v>
      </c>
      <c r="AG5" s="2173"/>
      <c r="AH5" s="2173"/>
      <c r="AI5" s="2173"/>
      <c r="AJ5" s="2173"/>
      <c r="AK5" s="2173"/>
      <c r="AL5" s="2173"/>
      <c r="AM5" s="2173"/>
      <c r="AN5" s="2173"/>
      <c r="AO5" s="2173"/>
      <c r="AP5" s="2174"/>
      <c r="AQ5" s="2175"/>
      <c r="AR5" s="2175"/>
      <c r="AS5" s="2175"/>
      <c r="AT5" s="2175"/>
      <c r="AU5" s="2175"/>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9" t="str">
        <f>IF(Application!H16="","",Application!H16)</f>
        <v>Brinshore Development L.L.C.</v>
      </c>
      <c r="M6" s="2160"/>
      <c r="N6" s="2160"/>
      <c r="O6" s="2160"/>
      <c r="P6" s="2160"/>
      <c r="Q6" s="2160"/>
      <c r="R6" s="2160"/>
      <c r="S6" s="2160"/>
      <c r="T6" s="2160"/>
      <c r="U6" s="2160"/>
      <c r="V6" s="2160"/>
      <c r="W6" s="2160"/>
      <c r="X6" s="2160"/>
      <c r="Y6" s="2160"/>
      <c r="Z6" s="2160"/>
      <c r="AA6" s="2160"/>
      <c r="AB6" s="2160"/>
      <c r="AC6" s="2161"/>
      <c r="AD6" s="1207"/>
      <c r="AE6" s="1207"/>
      <c r="AF6" s="2162" t="s">
        <v>2572</v>
      </c>
      <c r="AG6" s="2162"/>
      <c r="AH6" s="2162"/>
      <c r="AI6" s="2162"/>
      <c r="AJ6" s="2162"/>
      <c r="AK6" s="2162"/>
      <c r="AL6" s="2162"/>
      <c r="AM6" s="2162"/>
      <c r="AN6" s="2162"/>
      <c r="AO6" s="2162"/>
      <c r="AP6" s="2163">
        <v>0</v>
      </c>
      <c r="AQ6" s="2163"/>
      <c r="AR6" s="2163"/>
      <c r="AS6" s="2163"/>
      <c r="AT6" s="2163"/>
      <c r="AU6" s="2163"/>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2" t="s">
        <v>2573</v>
      </c>
      <c r="AG7" s="2162"/>
      <c r="AH7" s="2162"/>
      <c r="AI7" s="2162"/>
      <c r="AJ7" s="2162"/>
      <c r="AK7" s="2162"/>
      <c r="AL7" s="2162"/>
      <c r="AM7" s="2162"/>
      <c r="AN7" s="2162"/>
      <c r="AO7" s="2162"/>
      <c r="AP7" s="2163">
        <v>0</v>
      </c>
      <c r="AQ7" s="2163"/>
      <c r="AR7" s="2163"/>
      <c r="AS7" s="2163"/>
      <c r="AT7" s="2163"/>
      <c r="AU7" s="2163"/>
      <c r="AV7" s="1207"/>
      <c r="AW7" s="1207"/>
      <c r="AX7" s="1207"/>
      <c r="AY7" s="1207"/>
      <c r="AZ7" s="1207"/>
      <c r="BA7" s="1207"/>
      <c r="BB7" s="1207"/>
      <c r="BC7" s="1207"/>
      <c r="BD7" s="1207"/>
      <c r="BE7" s="1208"/>
    </row>
    <row r="8" spans="1:65" ht="16"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4" t="str">
        <f>Application!T196</f>
        <v>No</v>
      </c>
      <c r="AC8" s="2165"/>
      <c r="AD8" s="2166"/>
      <c r="AE8" s="1207"/>
      <c r="AF8" s="2162" t="s">
        <v>2574</v>
      </c>
      <c r="AG8" s="2162"/>
      <c r="AH8" s="2162"/>
      <c r="AI8" s="2162"/>
      <c r="AJ8" s="2162"/>
      <c r="AK8" s="2162"/>
      <c r="AL8" s="2162"/>
      <c r="AM8" s="2162"/>
      <c r="AN8" s="2162"/>
      <c r="AO8" s="2162"/>
      <c r="AP8" s="2163" t="s">
        <v>2526</v>
      </c>
      <c r="AQ8" s="2163"/>
      <c r="AR8" s="2163"/>
      <c r="AS8" s="2163"/>
      <c r="AT8" s="2163"/>
      <c r="AU8" s="2163"/>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90">
        <f>Application!AO623</f>
        <v>3218274</v>
      </c>
      <c r="O10" s="2190"/>
      <c r="P10" s="2190"/>
      <c r="Q10" s="2190"/>
      <c r="R10" s="2190"/>
      <c r="S10" s="2190"/>
      <c r="T10" s="2190"/>
      <c r="U10" s="1207"/>
      <c r="V10" s="1207"/>
      <c r="W10" s="1207"/>
      <c r="X10" s="2176" t="s">
        <v>2576</v>
      </c>
      <c r="Y10" s="2176"/>
      <c r="Z10" s="2176"/>
      <c r="AA10" s="2176"/>
      <c r="AB10" s="2176"/>
      <c r="AC10" s="2176"/>
      <c r="AD10" s="2176"/>
      <c r="AE10" s="2176"/>
      <c r="AF10" s="2176"/>
      <c r="AG10" s="2176"/>
      <c r="AH10" s="2176"/>
      <c r="AI10" s="2176"/>
      <c r="AJ10" s="2176"/>
      <c r="AK10" s="2176"/>
      <c r="AL10" s="2191">
        <f>Application!W471</f>
        <v>0</v>
      </c>
      <c r="AM10" s="2192"/>
      <c r="AN10" s="2192"/>
      <c r="AO10" s="2192"/>
      <c r="AP10" s="2192"/>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90">
        <f>Application!AA911</f>
        <v>0</v>
      </c>
      <c r="O11" s="2190"/>
      <c r="P11" s="2190"/>
      <c r="Q11" s="2190"/>
      <c r="R11" s="2190"/>
      <c r="S11" s="2190"/>
      <c r="T11" s="2190"/>
      <c r="U11" s="1207"/>
      <c r="V11" s="1207"/>
      <c r="W11" s="1207"/>
      <c r="X11" s="2193" t="s">
        <v>2578</v>
      </c>
      <c r="Y11" s="2193"/>
      <c r="Z11" s="2193"/>
      <c r="AA11" s="2193"/>
      <c r="AB11" s="2193"/>
      <c r="AC11" s="2193"/>
      <c r="AD11" s="2193"/>
      <c r="AE11" s="2193"/>
      <c r="AF11" s="2193"/>
      <c r="AG11" s="2193"/>
      <c r="AH11" s="2193"/>
      <c r="AI11" s="2193"/>
      <c r="AJ11" s="2193"/>
      <c r="AK11" s="2193"/>
      <c r="AL11" s="2177"/>
      <c r="AM11" s="2178"/>
      <c r="AN11" s="2178"/>
      <c r="AO11" s="2178"/>
      <c r="AP11" s="2178"/>
      <c r="AQ11" s="1211"/>
      <c r="AR11" s="1212"/>
      <c r="AS11" s="1210"/>
      <c r="AT11" s="1210"/>
      <c r="AU11" s="1210"/>
      <c r="AV11" s="1210"/>
      <c r="AW11" s="1210"/>
      <c r="AX11" s="1207"/>
      <c r="AY11" s="1207"/>
      <c r="AZ11" s="1207"/>
      <c r="BA11" s="1207"/>
      <c r="BB11" s="1207"/>
      <c r="BC11" s="1207"/>
      <c r="BD11" s="1207"/>
      <c r="BE11" s="1208"/>
      <c r="BM11" s="1204" t="s">
        <v>2526</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6" t="s">
        <v>2579</v>
      </c>
      <c r="Y12" s="2176"/>
      <c r="Z12" s="2176"/>
      <c r="AA12" s="2176"/>
      <c r="AB12" s="2176"/>
      <c r="AC12" s="2176"/>
      <c r="AD12" s="2176"/>
      <c r="AE12" s="2176"/>
      <c r="AF12" s="2176"/>
      <c r="AG12" s="2176"/>
      <c r="AH12" s="2176"/>
      <c r="AI12" s="2176"/>
      <c r="AJ12" s="2176"/>
      <c r="AK12" s="2176"/>
      <c r="AL12" s="2177"/>
      <c r="AM12" s="2178"/>
      <c r="AN12" s="2178"/>
      <c r="AO12" s="2178"/>
      <c r="AP12" s="2178"/>
      <c r="AQ12" s="1210"/>
      <c r="AR12" s="1210"/>
      <c r="AS12" s="1210"/>
      <c r="AT12" s="1210"/>
      <c r="AU12" s="1210"/>
      <c r="AV12" s="1207"/>
      <c r="AW12" s="1207"/>
      <c r="AX12" s="1207"/>
      <c r="AY12" s="1207"/>
      <c r="AZ12" s="1207"/>
      <c r="BA12" s="1207"/>
      <c r="BB12" s="1207"/>
      <c r="BC12" s="1207"/>
      <c r="BD12" s="1207"/>
      <c r="BE12" s="1213"/>
      <c r="BM12" s="1204" t="s">
        <v>2580</v>
      </c>
    </row>
    <row r="13" spans="1:65" ht="16" thickBot="1">
      <c r="A13" s="1207"/>
      <c r="B13" s="2179" t="s">
        <v>1862</v>
      </c>
      <c r="C13" s="2180"/>
      <c r="D13" s="2180"/>
      <c r="E13" s="2180"/>
      <c r="F13" s="2180"/>
      <c r="G13" s="2180"/>
      <c r="H13" s="2180"/>
      <c r="I13" s="2180"/>
      <c r="J13" s="2180"/>
      <c r="K13" s="2180"/>
      <c r="L13" s="2180"/>
      <c r="M13" s="2180"/>
      <c r="N13" s="2180"/>
      <c r="O13" s="2180"/>
      <c r="P13" s="2181"/>
      <c r="Q13" s="2182" t="s">
        <v>678</v>
      </c>
      <c r="R13" s="2183"/>
      <c r="S13" s="2183"/>
      <c r="T13" s="218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85" t="s">
        <v>1863</v>
      </c>
      <c r="C15" s="2186"/>
      <c r="D15" s="2186"/>
      <c r="E15" s="2186"/>
      <c r="F15" s="2186"/>
      <c r="G15" s="2186"/>
      <c r="H15" s="2186"/>
      <c r="I15" s="2186"/>
      <c r="J15" s="2186"/>
      <c r="K15" s="2186"/>
      <c r="L15" s="2186"/>
      <c r="M15" s="2186"/>
      <c r="N15" s="2186"/>
      <c r="O15" s="2186"/>
      <c r="P15" s="2186"/>
      <c r="Q15" s="2186"/>
      <c r="R15" s="2187"/>
      <c r="S15" s="2188" t="str">
        <f>IF(Application!AB214="","",Application!AB214)</f>
        <v/>
      </c>
      <c r="T15" s="2188"/>
      <c r="U15" s="2188"/>
      <c r="V15" s="2188"/>
      <c r="W15" s="218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4" t="s">
        <v>1864</v>
      </c>
      <c r="C17" s="2195"/>
      <c r="D17" s="2195"/>
      <c r="E17" s="2195"/>
      <c r="F17" s="2195"/>
      <c r="G17" s="2195"/>
      <c r="H17" s="2195"/>
      <c r="I17" s="2195"/>
      <c r="J17" s="2195"/>
      <c r="K17" s="2195"/>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c r="AS17" s="2195"/>
      <c r="AT17" s="2195"/>
      <c r="AU17" s="2195"/>
      <c r="AV17" s="2195"/>
      <c r="AW17" s="2195"/>
      <c r="AX17" s="2195"/>
      <c r="AY17" s="2196"/>
      <c r="AZ17" s="1207"/>
      <c r="BA17" s="1207"/>
      <c r="BB17" s="1207"/>
      <c r="BC17" s="1207"/>
      <c r="BD17" s="1207"/>
      <c r="BE17" s="1213"/>
      <c r="BF17" s="1205"/>
    </row>
    <row r="18" spans="1:58" ht="15.75" customHeight="1">
      <c r="A18" s="1207"/>
      <c r="B18" s="2197" t="s">
        <v>1865</v>
      </c>
      <c r="C18" s="2198"/>
      <c r="D18" s="2198"/>
      <c r="E18" s="2198"/>
      <c r="F18" s="2198"/>
      <c r="G18" s="2198"/>
      <c r="H18" s="2198"/>
      <c r="I18" s="2199"/>
      <c r="J18" s="2200" t="s">
        <v>1764</v>
      </c>
      <c r="K18" s="2201"/>
      <c r="L18" s="2201"/>
      <c r="M18" s="2201"/>
      <c r="N18" s="2201"/>
      <c r="O18" s="2202"/>
      <c r="P18" s="2200" t="s">
        <v>325</v>
      </c>
      <c r="Q18" s="2201"/>
      <c r="R18" s="2201"/>
      <c r="S18" s="2201"/>
      <c r="T18" s="2201"/>
      <c r="U18" s="2202"/>
      <c r="V18" s="2200" t="s">
        <v>326</v>
      </c>
      <c r="W18" s="2201"/>
      <c r="X18" s="2201"/>
      <c r="Y18" s="2201"/>
      <c r="Z18" s="2201"/>
      <c r="AA18" s="2202"/>
      <c r="AB18" s="2200" t="s">
        <v>164</v>
      </c>
      <c r="AC18" s="2201"/>
      <c r="AD18" s="2201"/>
      <c r="AE18" s="2201"/>
      <c r="AF18" s="2201"/>
      <c r="AG18" s="2202"/>
      <c r="AH18" s="2200" t="s">
        <v>165</v>
      </c>
      <c r="AI18" s="2201"/>
      <c r="AJ18" s="2201"/>
      <c r="AK18" s="2201"/>
      <c r="AL18" s="2201"/>
      <c r="AM18" s="2202"/>
      <c r="AN18" s="2200" t="s">
        <v>166</v>
      </c>
      <c r="AO18" s="2201"/>
      <c r="AP18" s="2201"/>
      <c r="AQ18" s="2201"/>
      <c r="AR18" s="2201"/>
      <c r="AS18" s="2202"/>
      <c r="AT18" s="2200" t="s">
        <v>1866</v>
      </c>
      <c r="AU18" s="2201"/>
      <c r="AV18" s="2201"/>
      <c r="AW18" s="2201"/>
      <c r="AX18" s="2201"/>
      <c r="AY18" s="2203"/>
      <c r="AZ18" s="1207"/>
      <c r="BA18" s="1207"/>
      <c r="BB18" s="1207"/>
      <c r="BC18" s="1207"/>
      <c r="BD18" s="1207"/>
      <c r="BE18" s="1213"/>
    </row>
    <row r="19" spans="1:58" ht="15">
      <c r="A19" s="1207"/>
      <c r="B19" s="2210">
        <v>0.3</v>
      </c>
      <c r="C19" s="2211"/>
      <c r="D19" s="2211"/>
      <c r="E19" s="2211"/>
      <c r="F19" s="2211"/>
      <c r="G19" s="2211"/>
      <c r="H19" s="2211"/>
      <c r="I19" s="2212"/>
      <c r="J19" s="2204">
        <f>SUM(P19:AS19)</f>
        <v>17</v>
      </c>
      <c r="K19" s="2205"/>
      <c r="L19" s="2205"/>
      <c r="M19" s="2205"/>
      <c r="N19" s="2205"/>
      <c r="O19" s="2206"/>
      <c r="P19" s="2204" cm="1">
        <f t="array" ref="P19">SUMPRODUCT((Application!$B$714:$B$738 = 'CalHFA Addendum'!P$18)*(Application!$AC$714:$AC$738 = 'CalHFA Addendum'!$B19),Application!$G$714:$G$738)</f>
        <v>0</v>
      </c>
      <c r="Q19" s="2205"/>
      <c r="R19" s="2205"/>
      <c r="S19" s="2205"/>
      <c r="T19" s="2205"/>
      <c r="U19" s="2206"/>
      <c r="V19" s="2204" cm="1">
        <f t="array" ref="V19">SUMPRODUCT((Application!$B$714:$B$738 = 'CalHFA Addendum'!V$18)*(Application!$AC$714:$AC$738 = 'CalHFA Addendum'!$B19),Application!$G$714:$G$738)</f>
        <v>0</v>
      </c>
      <c r="W19" s="2205"/>
      <c r="X19" s="2205"/>
      <c r="Y19" s="2205"/>
      <c r="Z19" s="2205"/>
      <c r="AA19" s="2206"/>
      <c r="AB19" s="2204" cm="1">
        <f t="array" ref="AB19">SUMPRODUCT((Application!$B$714:$B$738 = 'CalHFA Addendum'!AB$18)*(Application!$AC$714:$AC$738 = 'CalHFA Addendum'!$B19),Application!$G$714:$G$738)</f>
        <v>17</v>
      </c>
      <c r="AC19" s="2205"/>
      <c r="AD19" s="2205"/>
      <c r="AE19" s="2205"/>
      <c r="AF19" s="2205"/>
      <c r="AG19" s="2206"/>
      <c r="AH19" s="2204" cm="1">
        <f t="array" ref="AH19">SUMPRODUCT((Application!$B$714:$B$738 = 'CalHFA Addendum'!AH$18)*(Application!$AC$714:$AC$738 = 'CalHFA Addendum'!$B19),Application!$G$714:$G$738)</f>
        <v>0</v>
      </c>
      <c r="AI19" s="2205"/>
      <c r="AJ19" s="2205"/>
      <c r="AK19" s="2205"/>
      <c r="AL19" s="2205"/>
      <c r="AM19" s="2206"/>
      <c r="AN19" s="2204" cm="1">
        <f t="array" ref="AN19">SUMPRODUCT((Application!$B$714:$B$738 = 'CalHFA Addendum'!AN$18)*(Application!$AC$714:$AC$738 = 'CalHFA Addendum'!$B19),Application!$G$714:$G$738)</f>
        <v>0</v>
      </c>
      <c r="AO19" s="2205"/>
      <c r="AP19" s="2205"/>
      <c r="AQ19" s="2205"/>
      <c r="AR19" s="2205"/>
      <c r="AS19" s="2206"/>
      <c r="AT19" s="2207">
        <f t="shared" ref="AT19:AT28" si="0">J19/$J$29</f>
        <v>0.94444444444444442</v>
      </c>
      <c r="AU19" s="2208"/>
      <c r="AV19" s="2208"/>
      <c r="AW19" s="2208"/>
      <c r="AX19" s="2208"/>
      <c r="AY19" s="2209"/>
      <c r="AZ19" s="1214"/>
      <c r="BA19" s="1207"/>
      <c r="BB19" s="1207"/>
      <c r="BC19" s="1207"/>
      <c r="BD19" s="1207"/>
      <c r="BE19" s="1213"/>
    </row>
    <row r="20" spans="1:58" ht="15" customHeight="1">
      <c r="A20" s="1207"/>
      <c r="B20" s="2210">
        <v>0.4</v>
      </c>
      <c r="C20" s="2211"/>
      <c r="D20" s="2211"/>
      <c r="E20" s="2211"/>
      <c r="F20" s="2211"/>
      <c r="G20" s="2211"/>
      <c r="H20" s="2211"/>
      <c r="I20" s="2212"/>
      <c r="J20" s="2204">
        <f t="shared" ref="J20:J28" si="1">SUM(P20:AS20)</f>
        <v>0</v>
      </c>
      <c r="K20" s="2205"/>
      <c r="L20" s="2205"/>
      <c r="M20" s="2205"/>
      <c r="N20" s="2205"/>
      <c r="O20" s="2206"/>
      <c r="P20" s="2204" cm="1">
        <f t="array" ref="P20">SUMPRODUCT((Application!$B$714:$B$738 = 'CalHFA Addendum'!P$18)*(Application!$AC$714:$AC$738 = 'CalHFA Addendum'!$B20),Application!$G$714:$G$738)</f>
        <v>0</v>
      </c>
      <c r="Q20" s="2205"/>
      <c r="R20" s="2205"/>
      <c r="S20" s="2205"/>
      <c r="T20" s="2205"/>
      <c r="U20" s="2206"/>
      <c r="V20" s="2204" cm="1">
        <f t="array" ref="V20">SUMPRODUCT((Application!$B$714:$B$738 = 'CalHFA Addendum'!V$18)*(Application!$AC$714:$AC$738 = 'CalHFA Addendum'!$B20),Application!$G$714:$G$738)</f>
        <v>0</v>
      </c>
      <c r="W20" s="2205"/>
      <c r="X20" s="2205"/>
      <c r="Y20" s="2205"/>
      <c r="Z20" s="2205"/>
      <c r="AA20" s="2206"/>
      <c r="AB20" s="2204" cm="1">
        <f t="array" ref="AB20">SUMPRODUCT((Application!$B$714:$B$738 = 'CalHFA Addendum'!AB$18)*(Application!$AC$714:$AC$738 = 'CalHFA Addendum'!$B20),Application!$G$714:$G$738)</f>
        <v>0</v>
      </c>
      <c r="AC20" s="2205"/>
      <c r="AD20" s="2205"/>
      <c r="AE20" s="2205"/>
      <c r="AF20" s="2205"/>
      <c r="AG20" s="2206"/>
      <c r="AH20" s="2204" cm="1">
        <f t="array" ref="AH20">SUMPRODUCT((Application!$B$714:$B$738 = 'CalHFA Addendum'!AH$18)*(Application!$AC$714:$AC$738 = 'CalHFA Addendum'!$B20),Application!$G$714:$G$738)</f>
        <v>0</v>
      </c>
      <c r="AI20" s="2205"/>
      <c r="AJ20" s="2205"/>
      <c r="AK20" s="2205"/>
      <c r="AL20" s="2205"/>
      <c r="AM20" s="2206"/>
      <c r="AN20" s="2204" cm="1">
        <f t="array" ref="AN20">SUMPRODUCT((Application!$B$714:$B$738 = 'CalHFA Addendum'!AN$18)*(Application!$AC$714:$AC$738 = 'CalHFA Addendum'!$B20),Application!$G$714:$G$738)</f>
        <v>0</v>
      </c>
      <c r="AO20" s="2205"/>
      <c r="AP20" s="2205"/>
      <c r="AQ20" s="2205"/>
      <c r="AR20" s="2205"/>
      <c r="AS20" s="2206"/>
      <c r="AT20" s="2207">
        <f t="shared" si="0"/>
        <v>0</v>
      </c>
      <c r="AU20" s="2208"/>
      <c r="AV20" s="2208"/>
      <c r="AW20" s="2208"/>
      <c r="AX20" s="2208"/>
      <c r="AY20" s="2209"/>
      <c r="AZ20" s="1207"/>
      <c r="BA20" s="1207"/>
      <c r="BB20" s="1207"/>
      <c r="BC20" s="1207"/>
      <c r="BD20" s="1207"/>
      <c r="BE20" s="1213"/>
    </row>
    <row r="21" spans="1:58" ht="15">
      <c r="A21" s="1207"/>
      <c r="B21" s="2210">
        <v>0.5</v>
      </c>
      <c r="C21" s="2211"/>
      <c r="D21" s="2211"/>
      <c r="E21" s="2211"/>
      <c r="F21" s="2211"/>
      <c r="G21" s="2211"/>
      <c r="H21" s="2211"/>
      <c r="I21" s="2212"/>
      <c r="J21" s="2204">
        <f t="shared" si="1"/>
        <v>0</v>
      </c>
      <c r="K21" s="2205"/>
      <c r="L21" s="2205"/>
      <c r="M21" s="2205"/>
      <c r="N21" s="2205"/>
      <c r="O21" s="2206"/>
      <c r="P21" s="2204" cm="1">
        <f t="array" ref="P21">SUMPRODUCT((Application!$B$714:$B$738 = 'CalHFA Addendum'!P$18)*(Application!$AC$714:$AC$738 = 'CalHFA Addendum'!$B21),Application!$G$714:$G$738)</f>
        <v>0</v>
      </c>
      <c r="Q21" s="2205"/>
      <c r="R21" s="2205"/>
      <c r="S21" s="2205"/>
      <c r="T21" s="2205"/>
      <c r="U21" s="2206"/>
      <c r="V21" s="2204" cm="1">
        <f t="array" ref="V21">SUMPRODUCT((Application!$B$714:$B$738 = 'CalHFA Addendum'!V$18)*(Application!$AC$714:$AC$738 = 'CalHFA Addendum'!$B21),Application!$G$714:$G$738)</f>
        <v>0</v>
      </c>
      <c r="W21" s="2205"/>
      <c r="X21" s="2205"/>
      <c r="Y21" s="2205"/>
      <c r="Z21" s="2205"/>
      <c r="AA21" s="2206"/>
      <c r="AB21" s="2204" cm="1">
        <f t="array" ref="AB21">SUMPRODUCT((Application!$B$714:$B$738 = 'CalHFA Addendum'!AB$18)*(Application!$AC$714:$AC$738 = 'CalHFA Addendum'!$B21),Application!$G$714:$G$738)</f>
        <v>0</v>
      </c>
      <c r="AC21" s="2205"/>
      <c r="AD21" s="2205"/>
      <c r="AE21" s="2205"/>
      <c r="AF21" s="2205"/>
      <c r="AG21" s="2206"/>
      <c r="AH21" s="2204" cm="1">
        <f t="array" ref="AH21">SUMPRODUCT((Application!$B$714:$B$738 = 'CalHFA Addendum'!AH$18)*(Application!$AC$714:$AC$738 = 'CalHFA Addendum'!$B21),Application!$G$714:$G$738)</f>
        <v>0</v>
      </c>
      <c r="AI21" s="2205"/>
      <c r="AJ21" s="2205"/>
      <c r="AK21" s="2205"/>
      <c r="AL21" s="2205"/>
      <c r="AM21" s="2206"/>
      <c r="AN21" s="2204" cm="1">
        <f t="array" ref="AN21">SUMPRODUCT((Application!$B$714:$B$738 = 'CalHFA Addendum'!AN$18)*(Application!$AC$714:$AC$738 = 'CalHFA Addendum'!$B21),Application!$G$714:$G$738)</f>
        <v>0</v>
      </c>
      <c r="AO21" s="2205"/>
      <c r="AP21" s="2205"/>
      <c r="AQ21" s="2205"/>
      <c r="AR21" s="2205"/>
      <c r="AS21" s="2206"/>
      <c r="AT21" s="2207">
        <f t="shared" si="0"/>
        <v>0</v>
      </c>
      <c r="AU21" s="2208"/>
      <c r="AV21" s="2208"/>
      <c r="AW21" s="2208"/>
      <c r="AX21" s="2208"/>
      <c r="AY21" s="2209"/>
      <c r="AZ21" s="1207"/>
      <c r="BA21" s="1207"/>
      <c r="BB21" s="1207"/>
      <c r="BC21" s="1207"/>
      <c r="BD21" s="1207"/>
      <c r="BE21" s="1213"/>
    </row>
    <row r="22" spans="1:58" ht="15">
      <c r="A22" s="1207"/>
      <c r="B22" s="2210">
        <v>0.6</v>
      </c>
      <c r="C22" s="2211"/>
      <c r="D22" s="2211"/>
      <c r="E22" s="2211"/>
      <c r="F22" s="2211"/>
      <c r="G22" s="2211"/>
      <c r="H22" s="2211"/>
      <c r="I22" s="2212"/>
      <c r="J22" s="2204">
        <f t="shared" si="1"/>
        <v>0</v>
      </c>
      <c r="K22" s="2205"/>
      <c r="L22" s="2205"/>
      <c r="M22" s="2205"/>
      <c r="N22" s="2205"/>
      <c r="O22" s="2206"/>
      <c r="P22" s="2204" cm="1">
        <f t="array" ref="P22">SUMPRODUCT((Application!$B$714:$B$738 = 'CalHFA Addendum'!P$18)*(Application!$AC$714:$AC$738 = 'CalHFA Addendum'!$B22),Application!$G$714:$G$738)</f>
        <v>0</v>
      </c>
      <c r="Q22" s="2205"/>
      <c r="R22" s="2205"/>
      <c r="S22" s="2205"/>
      <c r="T22" s="2205"/>
      <c r="U22" s="2206"/>
      <c r="V22" s="2204" cm="1">
        <f t="array" ref="V22">SUMPRODUCT((Application!$B$714:$B$738 = 'CalHFA Addendum'!V$18)*(Application!$AC$714:$AC$738 = 'CalHFA Addendum'!$B22),Application!$G$714:$G$738)</f>
        <v>0</v>
      </c>
      <c r="W22" s="2205"/>
      <c r="X22" s="2205"/>
      <c r="Y22" s="2205"/>
      <c r="Z22" s="2205"/>
      <c r="AA22" s="2206"/>
      <c r="AB22" s="2204" cm="1">
        <f t="array" ref="AB22">SUMPRODUCT((Application!$B$714:$B$738 = 'CalHFA Addendum'!AB$18)*(Application!$AC$714:$AC$738 = 'CalHFA Addendum'!$B22),Application!$G$714:$G$738)</f>
        <v>0</v>
      </c>
      <c r="AC22" s="2205"/>
      <c r="AD22" s="2205"/>
      <c r="AE22" s="2205"/>
      <c r="AF22" s="2205"/>
      <c r="AG22" s="2206"/>
      <c r="AH22" s="2204" cm="1">
        <f t="array" ref="AH22">SUMPRODUCT((Application!$B$714:$B$738 = 'CalHFA Addendum'!AH$18)*(Application!$AC$714:$AC$738 = 'CalHFA Addendum'!$B22),Application!$G$714:$G$738)</f>
        <v>0</v>
      </c>
      <c r="AI22" s="2205"/>
      <c r="AJ22" s="2205"/>
      <c r="AK22" s="2205"/>
      <c r="AL22" s="2205"/>
      <c r="AM22" s="2206"/>
      <c r="AN22" s="2204" cm="1">
        <f t="array" ref="AN22">SUMPRODUCT((Application!$B$714:$B$738 = 'CalHFA Addendum'!AN$18)*(Application!$AC$714:$AC$738 = 'CalHFA Addendum'!$B22),Application!$G$714:$G$738)</f>
        <v>0</v>
      </c>
      <c r="AO22" s="2205"/>
      <c r="AP22" s="2205"/>
      <c r="AQ22" s="2205"/>
      <c r="AR22" s="2205"/>
      <c r="AS22" s="2206"/>
      <c r="AT22" s="2207">
        <f t="shared" si="0"/>
        <v>0</v>
      </c>
      <c r="AU22" s="2208"/>
      <c r="AV22" s="2208"/>
      <c r="AW22" s="2208"/>
      <c r="AX22" s="2208"/>
      <c r="AY22" s="2209"/>
      <c r="AZ22" s="1207"/>
      <c r="BA22" s="1207"/>
      <c r="BB22" s="1207"/>
      <c r="BC22" s="1207"/>
      <c r="BD22" s="1207"/>
      <c r="BE22" s="1213"/>
    </row>
    <row r="23" spans="1:58" ht="15">
      <c r="A23" s="1207"/>
      <c r="B23" s="2210">
        <v>0.7</v>
      </c>
      <c r="C23" s="2211"/>
      <c r="D23" s="2211"/>
      <c r="E23" s="2211"/>
      <c r="F23" s="2211"/>
      <c r="G23" s="2211"/>
      <c r="H23" s="2211"/>
      <c r="I23" s="2212"/>
      <c r="J23" s="2204">
        <f t="shared" si="1"/>
        <v>0</v>
      </c>
      <c r="K23" s="2205"/>
      <c r="L23" s="2205"/>
      <c r="M23" s="2205"/>
      <c r="N23" s="2205"/>
      <c r="O23" s="2206"/>
      <c r="P23" s="2204" cm="1">
        <f t="array" ref="P23">SUMPRODUCT((Application!$B$714:$B$738 = 'CalHFA Addendum'!P$18)*(Application!$AC$714:$AC$738 = 'CalHFA Addendum'!$B23),Application!$G$714:$G$738)</f>
        <v>0</v>
      </c>
      <c r="Q23" s="2205"/>
      <c r="R23" s="2205"/>
      <c r="S23" s="2205"/>
      <c r="T23" s="2205"/>
      <c r="U23" s="2206"/>
      <c r="V23" s="2204" cm="1">
        <f t="array" ref="V23">SUMPRODUCT((Application!$B$714:$B$738 = 'CalHFA Addendum'!V$18)*(Application!$AC$714:$AC$738 = 'CalHFA Addendum'!$B23),Application!$G$714:$G$738)</f>
        <v>0</v>
      </c>
      <c r="W23" s="2205"/>
      <c r="X23" s="2205"/>
      <c r="Y23" s="2205"/>
      <c r="Z23" s="2205"/>
      <c r="AA23" s="2206"/>
      <c r="AB23" s="2204" cm="1">
        <f t="array" ref="AB23">SUMPRODUCT((Application!$B$714:$B$738 = 'CalHFA Addendum'!AB$18)*(Application!$AC$714:$AC$738 = 'CalHFA Addendum'!$B23),Application!$G$714:$G$738)</f>
        <v>0</v>
      </c>
      <c r="AC23" s="2205"/>
      <c r="AD23" s="2205"/>
      <c r="AE23" s="2205"/>
      <c r="AF23" s="2205"/>
      <c r="AG23" s="2206"/>
      <c r="AH23" s="2204" cm="1">
        <f t="array" ref="AH23">SUMPRODUCT((Application!$B$714:$B$738 = 'CalHFA Addendum'!AH$18)*(Application!$AC$714:$AC$738 = 'CalHFA Addendum'!$B23),Application!$G$714:$G$738)</f>
        <v>0</v>
      </c>
      <c r="AI23" s="2205"/>
      <c r="AJ23" s="2205"/>
      <c r="AK23" s="2205"/>
      <c r="AL23" s="2205"/>
      <c r="AM23" s="2206"/>
      <c r="AN23" s="2204" cm="1">
        <f t="array" ref="AN23">SUMPRODUCT((Application!$B$714:$B$738 = 'CalHFA Addendum'!AN$18)*(Application!$AC$714:$AC$738 = 'CalHFA Addendum'!$B23),Application!$G$714:$G$738)</f>
        <v>0</v>
      </c>
      <c r="AO23" s="2205"/>
      <c r="AP23" s="2205"/>
      <c r="AQ23" s="2205"/>
      <c r="AR23" s="2205"/>
      <c r="AS23" s="2206"/>
      <c r="AT23" s="2207">
        <f t="shared" si="0"/>
        <v>0</v>
      </c>
      <c r="AU23" s="2208"/>
      <c r="AV23" s="2208"/>
      <c r="AW23" s="2208"/>
      <c r="AX23" s="2208"/>
      <c r="AY23" s="2209"/>
      <c r="AZ23" s="1207"/>
      <c r="BA23" s="1207"/>
      <c r="BB23" s="1207"/>
      <c r="BC23" s="1207"/>
      <c r="BD23" s="1207"/>
      <c r="BE23" s="1213"/>
    </row>
    <row r="24" spans="1:58" ht="15">
      <c r="A24" s="1207"/>
      <c r="B24" s="2210">
        <v>0.8</v>
      </c>
      <c r="C24" s="2211"/>
      <c r="D24" s="2211"/>
      <c r="E24" s="2211"/>
      <c r="F24" s="2211"/>
      <c r="G24" s="2211"/>
      <c r="H24" s="2211"/>
      <c r="I24" s="2212"/>
      <c r="J24" s="2204">
        <f t="shared" si="1"/>
        <v>0</v>
      </c>
      <c r="K24" s="2205"/>
      <c r="L24" s="2205"/>
      <c r="M24" s="2205"/>
      <c r="N24" s="2205"/>
      <c r="O24" s="2206"/>
      <c r="P24" s="2204" cm="1">
        <f t="array" ref="P24">SUMPRODUCT((Application!$B$714:$B$738 = 'CalHFA Addendum'!P$18)*(Application!$AC$714:$AC$738 = 'CalHFA Addendum'!$B24),Application!$G$714:$G$738)</f>
        <v>0</v>
      </c>
      <c r="Q24" s="2205"/>
      <c r="R24" s="2205"/>
      <c r="S24" s="2205"/>
      <c r="T24" s="2205"/>
      <c r="U24" s="2206"/>
      <c r="V24" s="2204" cm="1">
        <f t="array" ref="V24">SUMPRODUCT((Application!$B$714:$B$738 = 'CalHFA Addendum'!V$18)*(Application!$AC$714:$AC$738 = 'CalHFA Addendum'!$B24),Application!$G$714:$G$738)</f>
        <v>0</v>
      </c>
      <c r="W24" s="2205"/>
      <c r="X24" s="2205"/>
      <c r="Y24" s="2205"/>
      <c r="Z24" s="2205"/>
      <c r="AA24" s="2206"/>
      <c r="AB24" s="2204" cm="1">
        <f t="array" ref="AB24">SUMPRODUCT((Application!$B$714:$B$738 = 'CalHFA Addendum'!AB$18)*(Application!$AC$714:$AC$738 = 'CalHFA Addendum'!$B24),Application!$G$714:$G$738)</f>
        <v>0</v>
      </c>
      <c r="AC24" s="2205"/>
      <c r="AD24" s="2205"/>
      <c r="AE24" s="2205"/>
      <c r="AF24" s="2205"/>
      <c r="AG24" s="2206"/>
      <c r="AH24" s="2204" cm="1">
        <f t="array" ref="AH24">SUMPRODUCT((Application!$B$714:$B$738 = 'CalHFA Addendum'!AH$18)*(Application!$AC$714:$AC$738 = 'CalHFA Addendum'!$B24),Application!$G$714:$G$738)</f>
        <v>0</v>
      </c>
      <c r="AI24" s="2205"/>
      <c r="AJ24" s="2205"/>
      <c r="AK24" s="2205"/>
      <c r="AL24" s="2205"/>
      <c r="AM24" s="2206"/>
      <c r="AN24" s="2204" cm="1">
        <f t="array" ref="AN24">SUMPRODUCT((Application!$B$714:$B$738 = 'CalHFA Addendum'!AN$18)*(Application!$AC$714:$AC$738 = 'CalHFA Addendum'!$B24),Application!$G$714:$G$738)</f>
        <v>0</v>
      </c>
      <c r="AO24" s="2205"/>
      <c r="AP24" s="2205"/>
      <c r="AQ24" s="2205"/>
      <c r="AR24" s="2205"/>
      <c r="AS24" s="2206"/>
      <c r="AT24" s="2207">
        <f t="shared" si="0"/>
        <v>0</v>
      </c>
      <c r="AU24" s="2208"/>
      <c r="AV24" s="2208"/>
      <c r="AW24" s="2208"/>
      <c r="AX24" s="2208"/>
      <c r="AY24" s="2209"/>
      <c r="AZ24" s="1207"/>
      <c r="BA24" s="1207"/>
      <c r="BB24" s="1207"/>
      <c r="BC24" s="1207"/>
      <c r="BD24" s="1207"/>
      <c r="BE24" s="1213"/>
    </row>
    <row r="25" spans="1:58" ht="15">
      <c r="A25" s="1207"/>
      <c r="B25" s="2210">
        <v>0.9</v>
      </c>
      <c r="C25" s="2211"/>
      <c r="D25" s="2211"/>
      <c r="E25" s="2211"/>
      <c r="F25" s="2211"/>
      <c r="G25" s="2211"/>
      <c r="H25" s="2211"/>
      <c r="I25" s="2212"/>
      <c r="J25" s="2204">
        <f t="shared" si="1"/>
        <v>0</v>
      </c>
      <c r="K25" s="2205"/>
      <c r="L25" s="2205"/>
      <c r="M25" s="2205"/>
      <c r="N25" s="2205"/>
      <c r="O25" s="2206"/>
      <c r="P25" s="2204" cm="1">
        <f t="array" ref="P25">SUMPRODUCT((Application!$B$714:$B$738 = 'CalHFA Addendum'!P$18)*(Application!$AC$714:$AC$738 = 'CalHFA Addendum'!$B25),Application!$G$714:$G$738)</f>
        <v>0</v>
      </c>
      <c r="Q25" s="2205"/>
      <c r="R25" s="2205"/>
      <c r="S25" s="2205"/>
      <c r="T25" s="2205"/>
      <c r="U25" s="2206"/>
      <c r="V25" s="2204" cm="1">
        <f t="array" ref="V25">SUMPRODUCT((Application!$B$714:$B$738 = 'CalHFA Addendum'!V$18)*(Application!$AC$714:$AC$738 = 'CalHFA Addendum'!$B25),Application!$G$714:$G$738)</f>
        <v>0</v>
      </c>
      <c r="W25" s="2205"/>
      <c r="X25" s="2205"/>
      <c r="Y25" s="2205"/>
      <c r="Z25" s="2205"/>
      <c r="AA25" s="2206"/>
      <c r="AB25" s="2204" cm="1">
        <f t="array" ref="AB25">SUMPRODUCT((Application!$B$714:$B$738 = 'CalHFA Addendum'!AB$18)*(Application!$AC$714:$AC$738 = 'CalHFA Addendum'!$B25),Application!$G$714:$G$738)</f>
        <v>0</v>
      </c>
      <c r="AC25" s="2205"/>
      <c r="AD25" s="2205"/>
      <c r="AE25" s="2205"/>
      <c r="AF25" s="2205"/>
      <c r="AG25" s="2206"/>
      <c r="AH25" s="2204" cm="1">
        <f t="array" ref="AH25">SUMPRODUCT((Application!$B$714:$B$738 = 'CalHFA Addendum'!AH$18)*(Application!$AC$714:$AC$738 = 'CalHFA Addendum'!$B25),Application!$G$714:$G$738)</f>
        <v>0</v>
      </c>
      <c r="AI25" s="2205"/>
      <c r="AJ25" s="2205"/>
      <c r="AK25" s="2205"/>
      <c r="AL25" s="2205"/>
      <c r="AM25" s="2206"/>
      <c r="AN25" s="2204" cm="1">
        <f t="array" ref="AN25">SUMPRODUCT((Application!$B$714:$B$738 = 'CalHFA Addendum'!AN$18)*(Application!$AC$714:$AC$738 = 'CalHFA Addendum'!$B25),Application!$G$714:$G$738)</f>
        <v>0</v>
      </c>
      <c r="AO25" s="2205"/>
      <c r="AP25" s="2205"/>
      <c r="AQ25" s="2205"/>
      <c r="AR25" s="2205"/>
      <c r="AS25" s="2206"/>
      <c r="AT25" s="2207">
        <f t="shared" si="0"/>
        <v>0</v>
      </c>
      <c r="AU25" s="2208"/>
      <c r="AV25" s="2208"/>
      <c r="AW25" s="2208"/>
      <c r="AX25" s="2208"/>
      <c r="AY25" s="2209"/>
      <c r="AZ25" s="1207"/>
      <c r="BA25" s="1207"/>
      <c r="BB25" s="1207"/>
      <c r="BC25" s="1207"/>
      <c r="BD25" s="1207"/>
      <c r="BE25" s="1213"/>
    </row>
    <row r="26" spans="1:58" ht="15">
      <c r="A26" s="1207"/>
      <c r="B26" s="2210">
        <v>1</v>
      </c>
      <c r="C26" s="2211"/>
      <c r="D26" s="2211"/>
      <c r="E26" s="2211"/>
      <c r="F26" s="2211"/>
      <c r="G26" s="2211"/>
      <c r="H26" s="2211"/>
      <c r="I26" s="2212"/>
      <c r="J26" s="2204">
        <f t="shared" si="1"/>
        <v>0</v>
      </c>
      <c r="K26" s="2205"/>
      <c r="L26" s="2205"/>
      <c r="M26" s="2205"/>
      <c r="N26" s="2205"/>
      <c r="O26" s="2206"/>
      <c r="P26" s="2204" cm="1">
        <f t="array" ref="P26">SUMPRODUCT((Application!$B$714:$B$738 = 'CalHFA Addendum'!P$18)*(Application!$AC$714:$AC$738 = 'CalHFA Addendum'!$B26),Application!$G$714:$G$738)</f>
        <v>0</v>
      </c>
      <c r="Q26" s="2205"/>
      <c r="R26" s="2205"/>
      <c r="S26" s="2205"/>
      <c r="T26" s="2205"/>
      <c r="U26" s="2206"/>
      <c r="V26" s="2204" cm="1">
        <f t="array" ref="V26">SUMPRODUCT((Application!$B$714:$B$738 = 'CalHFA Addendum'!V$18)*(Application!$AC$714:$AC$738 = 'CalHFA Addendum'!$B26),Application!$G$714:$G$738)</f>
        <v>0</v>
      </c>
      <c r="W26" s="2205"/>
      <c r="X26" s="2205"/>
      <c r="Y26" s="2205"/>
      <c r="Z26" s="2205"/>
      <c r="AA26" s="2206"/>
      <c r="AB26" s="2204" cm="1">
        <f t="array" ref="AB26">SUMPRODUCT((Application!$B$714:$B$738 = 'CalHFA Addendum'!AB$18)*(Application!$AC$714:$AC$738 = 'CalHFA Addendum'!$B26),Application!$G$714:$G$738)</f>
        <v>0</v>
      </c>
      <c r="AC26" s="2205"/>
      <c r="AD26" s="2205"/>
      <c r="AE26" s="2205"/>
      <c r="AF26" s="2205"/>
      <c r="AG26" s="2206"/>
      <c r="AH26" s="2204" cm="1">
        <f t="array" ref="AH26">SUMPRODUCT((Application!$B$714:$B$738 = 'CalHFA Addendum'!AH$18)*(Application!$AC$714:$AC$738 = 'CalHFA Addendum'!$B26),Application!$G$714:$G$738)</f>
        <v>0</v>
      </c>
      <c r="AI26" s="2205"/>
      <c r="AJ26" s="2205"/>
      <c r="AK26" s="2205"/>
      <c r="AL26" s="2205"/>
      <c r="AM26" s="2206"/>
      <c r="AN26" s="2204" cm="1">
        <f t="array" ref="AN26">SUMPRODUCT((Application!$B$714:$B$738 = 'CalHFA Addendum'!AN$18)*(Application!$AC$714:$AC$738 = 'CalHFA Addendum'!$B26),Application!$G$714:$G$738)</f>
        <v>0</v>
      </c>
      <c r="AO26" s="2205"/>
      <c r="AP26" s="2205"/>
      <c r="AQ26" s="2205"/>
      <c r="AR26" s="2205"/>
      <c r="AS26" s="2206"/>
      <c r="AT26" s="2207">
        <f t="shared" si="0"/>
        <v>0</v>
      </c>
      <c r="AU26" s="2208"/>
      <c r="AV26" s="2208"/>
      <c r="AW26" s="2208"/>
      <c r="AX26" s="2208"/>
      <c r="AY26" s="2209"/>
      <c r="AZ26" s="1207"/>
      <c r="BA26" s="1207"/>
      <c r="BB26" s="1207"/>
      <c r="BC26" s="1207"/>
      <c r="BD26" s="1207"/>
      <c r="BE26" s="1213"/>
    </row>
    <row r="27" spans="1:58" ht="15">
      <c r="A27" s="1207"/>
      <c r="B27" s="2210">
        <v>1.1000000000000001</v>
      </c>
      <c r="C27" s="2211"/>
      <c r="D27" s="2211"/>
      <c r="E27" s="2211"/>
      <c r="F27" s="2211"/>
      <c r="G27" s="2211"/>
      <c r="H27" s="2211"/>
      <c r="I27" s="2212"/>
      <c r="J27" s="2204">
        <f t="shared" si="1"/>
        <v>0</v>
      </c>
      <c r="K27" s="2205"/>
      <c r="L27" s="2205"/>
      <c r="M27" s="2205"/>
      <c r="N27" s="2205"/>
      <c r="O27" s="2206"/>
      <c r="P27" s="2204" cm="1">
        <f t="array" ref="P27">SUMPRODUCT((Application!$B$714:$B$738 = 'CalHFA Addendum'!P$18)*(Application!$AC$714:$AC$738 = 'CalHFA Addendum'!$B27),Application!$G$714:$G$738)</f>
        <v>0</v>
      </c>
      <c r="Q27" s="2205"/>
      <c r="R27" s="2205"/>
      <c r="S27" s="2205"/>
      <c r="T27" s="2205"/>
      <c r="U27" s="2206"/>
      <c r="V27" s="2204" cm="1">
        <f t="array" ref="V27">SUMPRODUCT((Application!$B$714:$B$738 = 'CalHFA Addendum'!V$18)*(Application!$AC$714:$AC$738 = 'CalHFA Addendum'!$B27),Application!$G$714:$G$738)</f>
        <v>0</v>
      </c>
      <c r="W27" s="2205"/>
      <c r="X27" s="2205"/>
      <c r="Y27" s="2205"/>
      <c r="Z27" s="2205"/>
      <c r="AA27" s="2206"/>
      <c r="AB27" s="2204" cm="1">
        <f t="array" ref="AB27">SUMPRODUCT((Application!$B$714:$B$738 = 'CalHFA Addendum'!AB$18)*(Application!$AC$714:$AC$738 = 'CalHFA Addendum'!$B27),Application!$G$714:$G$738)</f>
        <v>0</v>
      </c>
      <c r="AC27" s="2205"/>
      <c r="AD27" s="2205"/>
      <c r="AE27" s="2205"/>
      <c r="AF27" s="2205"/>
      <c r="AG27" s="2206"/>
      <c r="AH27" s="2204" cm="1">
        <f t="array" ref="AH27">SUMPRODUCT((Application!$B$714:$B$738 = 'CalHFA Addendum'!AH$18)*(Application!$AC$714:$AC$738 = 'CalHFA Addendum'!$B27),Application!$G$714:$G$738)</f>
        <v>0</v>
      </c>
      <c r="AI27" s="2205"/>
      <c r="AJ27" s="2205"/>
      <c r="AK27" s="2205"/>
      <c r="AL27" s="2205"/>
      <c r="AM27" s="2206"/>
      <c r="AN27" s="2204" cm="1">
        <f t="array" ref="AN27">SUMPRODUCT((Application!$B$714:$B$738 = 'CalHFA Addendum'!AN$18)*(Application!$AC$714:$AC$738 = 'CalHFA Addendum'!$B27),Application!$G$714:$G$738)</f>
        <v>0</v>
      </c>
      <c r="AO27" s="2205"/>
      <c r="AP27" s="2205"/>
      <c r="AQ27" s="2205"/>
      <c r="AR27" s="2205"/>
      <c r="AS27" s="2206"/>
      <c r="AT27" s="2207">
        <f t="shared" si="0"/>
        <v>0</v>
      </c>
      <c r="AU27" s="2208"/>
      <c r="AV27" s="2208"/>
      <c r="AW27" s="2208"/>
      <c r="AX27" s="2208"/>
      <c r="AY27" s="2209"/>
      <c r="AZ27" s="1207"/>
      <c r="BA27" s="1207"/>
      <c r="BB27" s="1207"/>
      <c r="BC27" s="1207"/>
      <c r="BD27" s="1207"/>
      <c r="BE27" s="1213"/>
    </row>
    <row r="28" spans="1:58" ht="16" thickBot="1">
      <c r="A28" s="1207"/>
      <c r="B28" s="2213" t="s">
        <v>1867</v>
      </c>
      <c r="C28" s="2214"/>
      <c r="D28" s="2214"/>
      <c r="E28" s="2214"/>
      <c r="F28" s="2214"/>
      <c r="G28" s="2214"/>
      <c r="H28" s="2214"/>
      <c r="I28" s="2215"/>
      <c r="J28" s="2216">
        <f t="shared" si="1"/>
        <v>1</v>
      </c>
      <c r="K28" s="2217"/>
      <c r="L28" s="2217"/>
      <c r="M28" s="2217"/>
      <c r="N28" s="2217"/>
      <c r="O28" s="2218"/>
      <c r="P28" s="2216">
        <f>_xlfn.IFNA(VLOOKUP(P$18,Application!$J$758:$S$761,6,FALSE), 0)</f>
        <v>0</v>
      </c>
      <c r="Q28" s="2217"/>
      <c r="R28" s="2217"/>
      <c r="S28" s="2217"/>
      <c r="T28" s="2217"/>
      <c r="U28" s="2218"/>
      <c r="V28" s="2216">
        <f>_xlfn.IFNA(VLOOKUP(V$18,Application!$J$758:$S$761,6,FALSE), 0)</f>
        <v>1</v>
      </c>
      <c r="W28" s="2217"/>
      <c r="X28" s="2217"/>
      <c r="Y28" s="2217"/>
      <c r="Z28" s="2217"/>
      <c r="AA28" s="2218"/>
      <c r="AB28" s="2216">
        <f>_xlfn.IFNA(VLOOKUP(AB$18,Application!$J$758:$S$761,6,FALSE), 0)</f>
        <v>0</v>
      </c>
      <c r="AC28" s="2217"/>
      <c r="AD28" s="2217"/>
      <c r="AE28" s="2217"/>
      <c r="AF28" s="2217"/>
      <c r="AG28" s="2218"/>
      <c r="AH28" s="2216">
        <f>_xlfn.IFNA(VLOOKUP(AH$18,Application!$J$758:$S$761,6,FALSE), 0)</f>
        <v>0</v>
      </c>
      <c r="AI28" s="2217"/>
      <c r="AJ28" s="2217"/>
      <c r="AK28" s="2217"/>
      <c r="AL28" s="2217"/>
      <c r="AM28" s="2218"/>
      <c r="AN28" s="2216">
        <f>_xlfn.IFNA(VLOOKUP(AN$18,Application!$J$758:$S$761,6,FALSE), 0)</f>
        <v>0</v>
      </c>
      <c r="AO28" s="2217"/>
      <c r="AP28" s="2217"/>
      <c r="AQ28" s="2217"/>
      <c r="AR28" s="2217"/>
      <c r="AS28" s="2218"/>
      <c r="AT28" s="2219">
        <f t="shared" si="0"/>
        <v>5.5555555555555552E-2</v>
      </c>
      <c r="AU28" s="2220"/>
      <c r="AV28" s="2220"/>
      <c r="AW28" s="2220"/>
      <c r="AX28" s="2220"/>
      <c r="AY28" s="2221"/>
      <c r="AZ28" s="1207"/>
      <c r="BA28" s="1207"/>
      <c r="BB28" s="1207"/>
      <c r="BC28" s="1207"/>
      <c r="BD28" s="1207"/>
      <c r="BE28" s="1213"/>
    </row>
    <row r="29" spans="1:58" ht="16" thickBot="1">
      <c r="A29" s="1207"/>
      <c r="B29" s="2244" t="s">
        <v>1764</v>
      </c>
      <c r="C29" s="2227"/>
      <c r="D29" s="2227"/>
      <c r="E29" s="2227"/>
      <c r="F29" s="2227"/>
      <c r="G29" s="2227"/>
      <c r="H29" s="2227"/>
      <c r="I29" s="2228"/>
      <c r="J29" s="2226">
        <f>SUM(J19:O28)</f>
        <v>18</v>
      </c>
      <c r="K29" s="2227"/>
      <c r="L29" s="2227"/>
      <c r="M29" s="2227"/>
      <c r="N29" s="2227"/>
      <c r="O29" s="2228"/>
      <c r="P29" s="2226">
        <f>SUM(P19:U28)</f>
        <v>0</v>
      </c>
      <c r="Q29" s="2227"/>
      <c r="R29" s="2227"/>
      <c r="S29" s="2227"/>
      <c r="T29" s="2227"/>
      <c r="U29" s="2228"/>
      <c r="V29" s="2226">
        <f>SUM(V19:AA28)</f>
        <v>1</v>
      </c>
      <c r="W29" s="2227"/>
      <c r="X29" s="2227"/>
      <c r="Y29" s="2227"/>
      <c r="Z29" s="2227"/>
      <c r="AA29" s="2228"/>
      <c r="AB29" s="2226">
        <f>SUM(AB19:AG28)</f>
        <v>17</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J29/$J$29</f>
        <v>1</v>
      </c>
      <c r="AU29" s="2230"/>
      <c r="AV29" s="2230"/>
      <c r="AW29" s="2230"/>
      <c r="AX29" s="2230"/>
      <c r="AY29" s="2231"/>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2" t="s">
        <v>1868</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4"/>
      <c r="BA31" s="1207"/>
      <c r="BB31" s="1207"/>
      <c r="BC31" s="1207"/>
      <c r="BD31" s="1207"/>
      <c r="BE31" s="1213"/>
    </row>
    <row r="32" spans="1:58" ht="15">
      <c r="A32" s="1207"/>
      <c r="B32" s="2235" t="s">
        <v>2582</v>
      </c>
      <c r="C32" s="2236"/>
      <c r="D32" s="2236"/>
      <c r="E32" s="2236"/>
      <c r="F32" s="2236"/>
      <c r="G32" s="2236"/>
      <c r="H32" s="2236"/>
      <c r="I32" s="2236"/>
      <c r="J32" s="2238" t="s">
        <v>2583</v>
      </c>
      <c r="K32" s="2239"/>
      <c r="L32" s="2239"/>
      <c r="M32" s="2239"/>
      <c r="N32" s="2238" t="s">
        <v>1869</v>
      </c>
      <c r="O32" s="2239"/>
      <c r="P32" s="2239"/>
      <c r="Q32" s="2239"/>
      <c r="R32" s="2240" t="s">
        <v>1870</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1"/>
      <c r="BA32" s="1207"/>
      <c r="BB32" s="1207"/>
      <c r="BC32" s="1207"/>
      <c r="BD32" s="1207"/>
      <c r="BE32" s="1213"/>
    </row>
    <row r="33" spans="1:58" ht="15" customHeight="1">
      <c r="A33" s="1207"/>
      <c r="B33" s="2237"/>
      <c r="C33" s="2236"/>
      <c r="D33" s="2236"/>
      <c r="E33" s="2236"/>
      <c r="F33" s="2236"/>
      <c r="G33" s="2236"/>
      <c r="H33" s="2236"/>
      <c r="I33" s="2236"/>
      <c r="J33" s="2239"/>
      <c r="K33" s="2239"/>
      <c r="L33" s="2239"/>
      <c r="M33" s="2239"/>
      <c r="N33" s="2239"/>
      <c r="O33" s="2239"/>
      <c r="P33" s="2239"/>
      <c r="Q33" s="2239"/>
      <c r="R33" s="2242" t="s">
        <v>1871</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43"/>
      <c r="BA33" s="1214"/>
      <c r="BB33" s="1207"/>
      <c r="BC33" s="1207"/>
      <c r="BD33" s="1207"/>
      <c r="BE33" s="1213"/>
    </row>
    <row r="34" spans="1:58" ht="15.75" customHeight="1">
      <c r="A34" s="1207"/>
      <c r="B34" s="2237"/>
      <c r="C34" s="2236"/>
      <c r="D34" s="2236"/>
      <c r="E34" s="2236"/>
      <c r="F34" s="2236"/>
      <c r="G34" s="2236"/>
      <c r="H34" s="2236"/>
      <c r="I34" s="2236"/>
      <c r="J34" s="2239"/>
      <c r="K34" s="2239"/>
      <c r="L34" s="2239"/>
      <c r="M34" s="2239"/>
      <c r="N34" s="2239"/>
      <c r="O34" s="2239"/>
      <c r="P34" s="2239"/>
      <c r="Q34" s="2239"/>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38"/>
      <c r="AT34" s="2238"/>
      <c r="AU34" s="2238"/>
      <c r="AV34" s="2238"/>
      <c r="AW34" s="2238"/>
      <c r="AX34" s="2238"/>
      <c r="AY34" s="2238"/>
      <c r="AZ34" s="2243"/>
      <c r="BA34" s="1214"/>
      <c r="BB34" s="1207"/>
      <c r="BC34" s="1207"/>
      <c r="BD34" s="1207"/>
      <c r="BE34" s="1213"/>
    </row>
    <row r="35" spans="1:58" ht="15.75" customHeight="1">
      <c r="A35" s="1207"/>
      <c r="B35" s="2237"/>
      <c r="C35" s="2236"/>
      <c r="D35" s="2236"/>
      <c r="E35" s="2236"/>
      <c r="F35" s="2236"/>
      <c r="G35" s="2236"/>
      <c r="H35" s="2236"/>
      <c r="I35" s="2236"/>
      <c r="J35" s="2239"/>
      <c r="K35" s="2239"/>
      <c r="L35" s="2239"/>
      <c r="M35" s="2239"/>
      <c r="N35" s="2239"/>
      <c r="O35" s="2239"/>
      <c r="P35" s="2239"/>
      <c r="Q35" s="2239"/>
      <c r="R35" s="2222">
        <v>0.3</v>
      </c>
      <c r="S35" s="2222"/>
      <c r="T35" s="2222"/>
      <c r="U35" s="2222"/>
      <c r="V35" s="2222">
        <v>0.4</v>
      </c>
      <c r="W35" s="2222"/>
      <c r="X35" s="2222"/>
      <c r="Y35" s="2222"/>
      <c r="Z35" s="2222">
        <v>0.5</v>
      </c>
      <c r="AA35" s="2222"/>
      <c r="AB35" s="2222"/>
      <c r="AC35" s="2222"/>
      <c r="AD35" s="2222">
        <v>0.6</v>
      </c>
      <c r="AE35" s="2222"/>
      <c r="AF35" s="2222"/>
      <c r="AG35" s="2222"/>
      <c r="AH35" s="2222">
        <v>0.8</v>
      </c>
      <c r="AI35" s="2222"/>
      <c r="AJ35" s="2222"/>
      <c r="AK35" s="2222"/>
      <c r="AL35" s="2223">
        <v>1</v>
      </c>
      <c r="AM35" s="2223"/>
      <c r="AN35" s="2223"/>
      <c r="AO35" s="2224" t="s">
        <v>1872</v>
      </c>
      <c r="AP35" s="2224"/>
      <c r="AQ35" s="2224"/>
      <c r="AR35" s="2224"/>
      <c r="AS35" s="2224"/>
      <c r="AT35" s="2224"/>
      <c r="AU35" s="2224" t="s">
        <v>1873</v>
      </c>
      <c r="AV35" s="2224"/>
      <c r="AW35" s="2224"/>
      <c r="AX35" s="2224"/>
      <c r="AY35" s="2224"/>
      <c r="AZ35" s="2225"/>
      <c r="BA35" s="1214"/>
      <c r="BB35" s="1207"/>
      <c r="BC35" s="1207"/>
      <c r="BD35" s="1207"/>
      <c r="BE35" s="1213"/>
      <c r="BF35" s="1205"/>
    </row>
    <row r="36" spans="1:58" ht="15.75" customHeight="1">
      <c r="A36" s="1207"/>
      <c r="B36" s="2245" t="s">
        <v>1874</v>
      </c>
      <c r="C36" s="2246"/>
      <c r="D36" s="2246"/>
      <c r="E36" s="2246"/>
      <c r="F36" s="2246"/>
      <c r="G36" s="2246"/>
      <c r="H36" s="2246"/>
      <c r="I36" s="2246"/>
      <c r="J36" s="2247" t="s">
        <v>1875</v>
      </c>
      <c r="K36" s="2247"/>
      <c r="L36" s="2247"/>
      <c r="M36" s="2247"/>
      <c r="N36" s="2247">
        <v>55</v>
      </c>
      <c r="O36" s="2247"/>
      <c r="P36" s="2247"/>
      <c r="Q36" s="2247"/>
      <c r="R36" s="2248">
        <v>0</v>
      </c>
      <c r="S36" s="2248"/>
      <c r="T36" s="2248"/>
      <c r="U36" s="2248"/>
      <c r="V36" s="2248">
        <v>0</v>
      </c>
      <c r="W36" s="2248"/>
      <c r="X36" s="2248"/>
      <c r="Y36" s="2248"/>
      <c r="Z36" s="2248">
        <v>10</v>
      </c>
      <c r="AA36" s="2248"/>
      <c r="AB36" s="2248"/>
      <c r="AC36" s="2248"/>
      <c r="AD36" s="2248">
        <v>30</v>
      </c>
      <c r="AE36" s="2248"/>
      <c r="AF36" s="2248"/>
      <c r="AG36" s="2248"/>
      <c r="AH36" s="2248">
        <v>0</v>
      </c>
      <c r="AI36" s="2248"/>
      <c r="AJ36" s="2248"/>
      <c r="AK36" s="2248"/>
      <c r="AL36" s="2248">
        <v>0</v>
      </c>
      <c r="AM36" s="2248"/>
      <c r="AN36" s="2248"/>
      <c r="AO36" s="2249">
        <f>SUM(R36:AN36)</f>
        <v>40</v>
      </c>
      <c r="AP36" s="2249"/>
      <c r="AQ36" s="2249"/>
      <c r="AR36" s="2249"/>
      <c r="AS36" s="2249"/>
      <c r="AT36" s="2249"/>
      <c r="AU36" s="2250">
        <f>AO36/$J$29</f>
        <v>2.2222222222222223</v>
      </c>
      <c r="AV36" s="2250"/>
      <c r="AW36" s="2250"/>
      <c r="AX36" s="2250"/>
      <c r="AY36" s="2250"/>
      <c r="AZ36" s="2251"/>
      <c r="BA36" s="1207"/>
      <c r="BB36" s="1207"/>
      <c r="BC36" s="1207"/>
      <c r="BD36" s="1207"/>
      <c r="BE36" s="1213"/>
      <c r="BF36" s="1205"/>
    </row>
    <row r="37" spans="1:58" ht="15.75" customHeight="1">
      <c r="A37" s="1207"/>
      <c r="B37" s="2245" t="s">
        <v>2584</v>
      </c>
      <c r="C37" s="2246"/>
      <c r="D37" s="2246"/>
      <c r="E37" s="2246"/>
      <c r="F37" s="2246"/>
      <c r="G37" s="2246"/>
      <c r="H37" s="2246"/>
      <c r="I37" s="2246"/>
      <c r="J37" s="2247" t="s">
        <v>1876</v>
      </c>
      <c r="K37" s="2247"/>
      <c r="L37" s="2247"/>
      <c r="M37" s="2247"/>
      <c r="N37" s="2247">
        <v>55</v>
      </c>
      <c r="O37" s="2247"/>
      <c r="P37" s="2247"/>
      <c r="Q37" s="2247"/>
      <c r="R37" s="2248">
        <v>10</v>
      </c>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9">
        <f t="shared" ref="AO37:AO47" si="2">SUM(R37:AN37)</f>
        <v>10</v>
      </c>
      <c r="AP37" s="2249"/>
      <c r="AQ37" s="2249"/>
      <c r="AR37" s="2249"/>
      <c r="AS37" s="2249"/>
      <c r="AT37" s="2249"/>
      <c r="AU37" s="2250">
        <f t="shared" ref="AU37:AU47" si="3">AO37/$J$29</f>
        <v>0.55555555555555558</v>
      </c>
      <c r="AV37" s="2250"/>
      <c r="AW37" s="2250"/>
      <c r="AX37" s="2250"/>
      <c r="AY37" s="2250"/>
      <c r="AZ37" s="2251"/>
      <c r="BA37" s="1207"/>
      <c r="BB37" s="1207"/>
      <c r="BC37" s="1207"/>
      <c r="BD37" s="1207"/>
      <c r="BE37" s="1213"/>
      <c r="BF37" s="1205"/>
    </row>
    <row r="38" spans="1:58" ht="15.75" customHeight="1">
      <c r="A38" s="1207"/>
      <c r="B38" s="2245" t="s">
        <v>2522</v>
      </c>
      <c r="C38" s="2246"/>
      <c r="D38" s="2246"/>
      <c r="E38" s="2246"/>
      <c r="F38" s="2246"/>
      <c r="G38" s="2246"/>
      <c r="H38" s="2246"/>
      <c r="I38" s="2246"/>
      <c r="J38" s="2247" t="s">
        <v>1877</v>
      </c>
      <c r="K38" s="2247"/>
      <c r="L38" s="2247"/>
      <c r="M38" s="2247"/>
      <c r="N38" s="2247">
        <v>55</v>
      </c>
      <c r="O38" s="2247"/>
      <c r="P38" s="2247"/>
      <c r="Q38" s="2247"/>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9">
        <f t="shared" si="2"/>
        <v>0</v>
      </c>
      <c r="AP38" s="2249"/>
      <c r="AQ38" s="2249"/>
      <c r="AR38" s="2249"/>
      <c r="AS38" s="2249"/>
      <c r="AT38" s="2249"/>
      <c r="AU38" s="2250">
        <f t="shared" si="3"/>
        <v>0</v>
      </c>
      <c r="AV38" s="2250"/>
      <c r="AW38" s="2250"/>
      <c r="AX38" s="2250"/>
      <c r="AY38" s="2250"/>
      <c r="AZ38" s="2251"/>
      <c r="BA38" s="1207"/>
      <c r="BB38" s="1207"/>
      <c r="BC38" s="1207"/>
      <c r="BD38" s="1207"/>
      <c r="BE38" s="1213"/>
      <c r="BF38" s="1205"/>
    </row>
    <row r="39" spans="1:58" ht="15.75" customHeight="1">
      <c r="A39" s="1207"/>
      <c r="B39" s="2245" t="s">
        <v>1878</v>
      </c>
      <c r="C39" s="2246"/>
      <c r="D39" s="2246"/>
      <c r="E39" s="2246"/>
      <c r="F39" s="2246"/>
      <c r="G39" s="2246"/>
      <c r="H39" s="2246"/>
      <c r="I39" s="2246"/>
      <c r="J39" s="2247"/>
      <c r="K39" s="2247"/>
      <c r="L39" s="2247"/>
      <c r="M39" s="2247"/>
      <c r="N39" s="2247"/>
      <c r="O39" s="2247"/>
      <c r="P39" s="2247"/>
      <c r="Q39" s="2247"/>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9">
        <f t="shared" si="2"/>
        <v>0</v>
      </c>
      <c r="AP39" s="2249"/>
      <c r="AQ39" s="2249"/>
      <c r="AR39" s="2249"/>
      <c r="AS39" s="2249"/>
      <c r="AT39" s="2249"/>
      <c r="AU39" s="2250">
        <f t="shared" si="3"/>
        <v>0</v>
      </c>
      <c r="AV39" s="2250"/>
      <c r="AW39" s="2250"/>
      <c r="AX39" s="2250"/>
      <c r="AY39" s="2250"/>
      <c r="AZ39" s="2251"/>
      <c r="BA39" s="1207"/>
      <c r="BB39" s="1207"/>
      <c r="BC39" s="1207"/>
      <c r="BD39" s="1207"/>
      <c r="BE39" s="1213"/>
    </row>
    <row r="40" spans="1:58" ht="15.75" customHeight="1">
      <c r="A40" s="1207"/>
      <c r="B40" s="2245" t="s">
        <v>1878</v>
      </c>
      <c r="C40" s="2246"/>
      <c r="D40" s="2246"/>
      <c r="E40" s="2246"/>
      <c r="F40" s="2246"/>
      <c r="G40" s="2246"/>
      <c r="H40" s="2246"/>
      <c r="I40" s="2246"/>
      <c r="J40" s="2247"/>
      <c r="K40" s="2247"/>
      <c r="L40" s="2247"/>
      <c r="M40" s="2247"/>
      <c r="N40" s="2247"/>
      <c r="O40" s="2247"/>
      <c r="P40" s="2247"/>
      <c r="Q40" s="2247"/>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9">
        <f t="shared" si="2"/>
        <v>0</v>
      </c>
      <c r="AP40" s="2249"/>
      <c r="AQ40" s="2249"/>
      <c r="AR40" s="2249"/>
      <c r="AS40" s="2249"/>
      <c r="AT40" s="2249"/>
      <c r="AU40" s="2250">
        <f t="shared" si="3"/>
        <v>0</v>
      </c>
      <c r="AV40" s="2250"/>
      <c r="AW40" s="2250"/>
      <c r="AX40" s="2250"/>
      <c r="AY40" s="2250"/>
      <c r="AZ40" s="2251"/>
      <c r="BA40" s="1207"/>
      <c r="BB40" s="1207"/>
      <c r="BC40" s="1207"/>
      <c r="BD40" s="1207"/>
      <c r="BE40" s="1213"/>
    </row>
    <row r="41" spans="1:58" ht="15.75" customHeight="1">
      <c r="A41" s="1207"/>
      <c r="B41" s="2245" t="s">
        <v>1879</v>
      </c>
      <c r="C41" s="2246"/>
      <c r="D41" s="2246"/>
      <c r="E41" s="2246"/>
      <c r="F41" s="2246"/>
      <c r="G41" s="2246"/>
      <c r="H41" s="2246"/>
      <c r="I41" s="2246"/>
      <c r="J41" s="2247"/>
      <c r="K41" s="2247"/>
      <c r="L41" s="2247"/>
      <c r="M41" s="2247"/>
      <c r="N41" s="2247"/>
      <c r="O41" s="2247"/>
      <c r="P41" s="2247"/>
      <c r="Q41" s="2247"/>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9">
        <f t="shared" si="2"/>
        <v>0</v>
      </c>
      <c r="AP41" s="2249"/>
      <c r="AQ41" s="2249"/>
      <c r="AR41" s="2249"/>
      <c r="AS41" s="2249"/>
      <c r="AT41" s="2249"/>
      <c r="AU41" s="2250">
        <f t="shared" si="3"/>
        <v>0</v>
      </c>
      <c r="AV41" s="2250"/>
      <c r="AW41" s="2250"/>
      <c r="AX41" s="2250"/>
      <c r="AY41" s="2250"/>
      <c r="AZ41" s="2251"/>
      <c r="BA41" s="1207"/>
      <c r="BB41" s="1207"/>
      <c r="BC41" s="1207"/>
      <c r="BD41" s="1207"/>
      <c r="BE41" s="1213"/>
    </row>
    <row r="42" spans="1:58" ht="15.75" customHeight="1">
      <c r="A42" s="1207"/>
      <c r="B42" s="2245" t="s">
        <v>1879</v>
      </c>
      <c r="C42" s="2246"/>
      <c r="D42" s="2246"/>
      <c r="E42" s="2246"/>
      <c r="F42" s="2246"/>
      <c r="G42" s="2246"/>
      <c r="H42" s="2246"/>
      <c r="I42" s="2246"/>
      <c r="J42" s="2247"/>
      <c r="K42" s="2247"/>
      <c r="L42" s="2247"/>
      <c r="M42" s="2247"/>
      <c r="N42" s="2247"/>
      <c r="O42" s="2247"/>
      <c r="P42" s="2247"/>
      <c r="Q42" s="2247"/>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9">
        <f t="shared" si="2"/>
        <v>0</v>
      </c>
      <c r="AP42" s="2249"/>
      <c r="AQ42" s="2249"/>
      <c r="AR42" s="2249"/>
      <c r="AS42" s="2249"/>
      <c r="AT42" s="2249"/>
      <c r="AU42" s="2250">
        <f t="shared" si="3"/>
        <v>0</v>
      </c>
      <c r="AV42" s="2250"/>
      <c r="AW42" s="2250"/>
      <c r="AX42" s="2250"/>
      <c r="AY42" s="2250"/>
      <c r="AZ42" s="2251"/>
      <c r="BA42" s="1207"/>
      <c r="BB42" s="1207"/>
      <c r="BC42" s="1207"/>
      <c r="BD42" s="1207"/>
      <c r="BE42" s="1213"/>
    </row>
    <row r="43" spans="1:58" ht="15.75" customHeight="1">
      <c r="A43" s="1207"/>
      <c r="B43" s="2252" t="s">
        <v>1880</v>
      </c>
      <c r="C43" s="2253"/>
      <c r="D43" s="2253"/>
      <c r="E43" s="2253"/>
      <c r="F43" s="2253"/>
      <c r="G43" s="2253"/>
      <c r="H43" s="2253"/>
      <c r="I43" s="2253"/>
      <c r="J43" s="2247"/>
      <c r="K43" s="2247"/>
      <c r="L43" s="2247"/>
      <c r="M43" s="2247"/>
      <c r="N43" s="2247"/>
      <c r="O43" s="2247"/>
      <c r="P43" s="2247"/>
      <c r="Q43" s="2247"/>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9">
        <f t="shared" si="2"/>
        <v>0</v>
      </c>
      <c r="AP43" s="2249"/>
      <c r="AQ43" s="2249"/>
      <c r="AR43" s="2249"/>
      <c r="AS43" s="2249"/>
      <c r="AT43" s="2249"/>
      <c r="AU43" s="2250">
        <f t="shared" si="3"/>
        <v>0</v>
      </c>
      <c r="AV43" s="2250"/>
      <c r="AW43" s="2250"/>
      <c r="AX43" s="2250"/>
      <c r="AY43" s="2250"/>
      <c r="AZ43" s="2251"/>
      <c r="BA43" s="1207"/>
      <c r="BB43" s="1207"/>
      <c r="BC43" s="1207"/>
      <c r="BD43" s="1207"/>
      <c r="BE43" s="1213"/>
    </row>
    <row r="44" spans="1:58" ht="15.75" customHeight="1">
      <c r="A44" s="1207"/>
      <c r="B44" s="2252" t="s">
        <v>1881</v>
      </c>
      <c r="C44" s="2253"/>
      <c r="D44" s="2253"/>
      <c r="E44" s="2253"/>
      <c r="F44" s="2253"/>
      <c r="G44" s="2253"/>
      <c r="H44" s="2253"/>
      <c r="I44" s="2253"/>
      <c r="J44" s="2247"/>
      <c r="K44" s="2247"/>
      <c r="L44" s="2247"/>
      <c r="M44" s="2247"/>
      <c r="N44" s="2247"/>
      <c r="O44" s="2247"/>
      <c r="P44" s="2247"/>
      <c r="Q44" s="2247"/>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9">
        <f t="shared" si="2"/>
        <v>0</v>
      </c>
      <c r="AP44" s="2249"/>
      <c r="AQ44" s="2249"/>
      <c r="AR44" s="2249"/>
      <c r="AS44" s="2249"/>
      <c r="AT44" s="2249"/>
      <c r="AU44" s="2250">
        <f t="shared" si="3"/>
        <v>0</v>
      </c>
      <c r="AV44" s="2250"/>
      <c r="AW44" s="2250"/>
      <c r="AX44" s="2250"/>
      <c r="AY44" s="2250"/>
      <c r="AZ44" s="2251"/>
      <c r="BA44" s="1207"/>
      <c r="BB44" s="1207"/>
      <c r="BC44" s="1207"/>
      <c r="BD44" s="1207"/>
      <c r="BE44" s="1213"/>
    </row>
    <row r="45" spans="1:58" ht="15.75" customHeight="1">
      <c r="A45" s="1207"/>
      <c r="B45" s="2252" t="s">
        <v>1882</v>
      </c>
      <c r="C45" s="2253"/>
      <c r="D45" s="2253"/>
      <c r="E45" s="2253"/>
      <c r="F45" s="2253"/>
      <c r="G45" s="2253"/>
      <c r="H45" s="2253"/>
      <c r="I45" s="2253"/>
      <c r="J45" s="2247"/>
      <c r="K45" s="2247"/>
      <c r="L45" s="2247"/>
      <c r="M45" s="2247"/>
      <c r="N45" s="2247"/>
      <c r="O45" s="2247"/>
      <c r="P45" s="2247"/>
      <c r="Q45" s="2247"/>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9">
        <f t="shared" si="2"/>
        <v>0</v>
      </c>
      <c r="AP45" s="2249"/>
      <c r="AQ45" s="2249"/>
      <c r="AR45" s="2249"/>
      <c r="AS45" s="2249"/>
      <c r="AT45" s="2249"/>
      <c r="AU45" s="2250">
        <f t="shared" si="3"/>
        <v>0</v>
      </c>
      <c r="AV45" s="2250"/>
      <c r="AW45" s="2250"/>
      <c r="AX45" s="2250"/>
      <c r="AY45" s="2250"/>
      <c r="AZ45" s="2251"/>
      <c r="BA45" s="1207"/>
      <c r="BB45" s="1207"/>
      <c r="BC45" s="1207"/>
      <c r="BD45" s="1207"/>
      <c r="BE45" s="1213"/>
    </row>
    <row r="46" spans="1:58" ht="15.75" customHeight="1">
      <c r="A46" s="1207"/>
      <c r="B46" s="2252" t="s">
        <v>1883</v>
      </c>
      <c r="C46" s="2253"/>
      <c r="D46" s="2253"/>
      <c r="E46" s="2253"/>
      <c r="F46" s="2253"/>
      <c r="G46" s="2253"/>
      <c r="H46" s="2253"/>
      <c r="I46" s="2253"/>
      <c r="J46" s="2247"/>
      <c r="K46" s="2247"/>
      <c r="L46" s="2247"/>
      <c r="M46" s="2247"/>
      <c r="N46" s="2247">
        <v>99</v>
      </c>
      <c r="O46" s="2247"/>
      <c r="P46" s="2247"/>
      <c r="Q46" s="2247"/>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9">
        <f t="shared" si="2"/>
        <v>0</v>
      </c>
      <c r="AP46" s="2249"/>
      <c r="AQ46" s="2249"/>
      <c r="AR46" s="2249"/>
      <c r="AS46" s="2249"/>
      <c r="AT46" s="2249"/>
      <c r="AU46" s="2250">
        <f t="shared" si="3"/>
        <v>0</v>
      </c>
      <c r="AV46" s="2250"/>
      <c r="AW46" s="2250"/>
      <c r="AX46" s="2250"/>
      <c r="AY46" s="2250"/>
      <c r="AZ46" s="2251"/>
      <c r="BA46" s="1207"/>
      <c r="BB46" s="1207"/>
      <c r="BC46" s="1207"/>
      <c r="BD46" s="1207"/>
      <c r="BE46" s="1213"/>
    </row>
    <row r="47" spans="1:58" ht="15.75" customHeight="1" thickBot="1">
      <c r="A47" s="1207"/>
      <c r="B47" s="2256" t="s">
        <v>301</v>
      </c>
      <c r="C47" s="2257"/>
      <c r="D47" s="2257"/>
      <c r="E47" s="2257"/>
      <c r="F47" s="2257"/>
      <c r="G47" s="2257"/>
      <c r="H47" s="2257"/>
      <c r="I47" s="2257"/>
      <c r="J47" s="2258"/>
      <c r="K47" s="2258"/>
      <c r="L47" s="2258"/>
      <c r="M47" s="2258"/>
      <c r="N47" s="2258"/>
      <c r="O47" s="2258"/>
      <c r="P47" s="2258"/>
      <c r="Q47" s="2258"/>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63">
        <f t="shared" si="2"/>
        <v>0</v>
      </c>
      <c r="AP47" s="2263"/>
      <c r="AQ47" s="2263"/>
      <c r="AR47" s="2263"/>
      <c r="AS47" s="2263"/>
      <c r="AT47" s="2263"/>
      <c r="AU47" s="2254">
        <f t="shared" si="3"/>
        <v>0</v>
      </c>
      <c r="AV47" s="2254"/>
      <c r="AW47" s="2254"/>
      <c r="AX47" s="2254"/>
      <c r="AY47" s="2254"/>
      <c r="AZ47" s="2255"/>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2" t="s">
        <v>1884</v>
      </c>
      <c r="C50" s="2233"/>
      <c r="D50" s="2233"/>
      <c r="E50" s="2233"/>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60" t="s">
        <v>1885</v>
      </c>
      <c r="C51" s="2261"/>
      <c r="D51" s="2261"/>
      <c r="E51" s="2261"/>
      <c r="F51" s="2261"/>
      <c r="G51" s="2261"/>
      <c r="H51" s="2261"/>
      <c r="I51" s="2261"/>
      <c r="J51" s="2261" t="s">
        <v>2586</v>
      </c>
      <c r="K51" s="2261"/>
      <c r="L51" s="2261"/>
      <c r="M51" s="2261"/>
      <c r="N51" s="2261"/>
      <c r="O51" s="2261"/>
      <c r="P51" s="2261"/>
      <c r="Q51" s="2261"/>
      <c r="R51" s="2242" t="s">
        <v>2587</v>
      </c>
      <c r="S51" s="2242"/>
      <c r="T51" s="2242"/>
      <c r="U51" s="2242"/>
      <c r="V51" s="2242"/>
      <c r="W51" s="2242"/>
      <c r="X51" s="2242"/>
      <c r="Y51" s="2242"/>
      <c r="Z51" s="2242" t="s">
        <v>1886</v>
      </c>
      <c r="AA51" s="2242"/>
      <c r="AB51" s="2242"/>
      <c r="AC51" s="2242"/>
      <c r="AD51" s="2242"/>
      <c r="AE51" s="2242"/>
      <c r="AF51" s="2242"/>
      <c r="AG51" s="2242"/>
      <c r="AH51" s="2242" t="s">
        <v>1887</v>
      </c>
      <c r="AI51" s="2242"/>
      <c r="AJ51" s="2242"/>
      <c r="AK51" s="2242"/>
      <c r="AL51" s="2242"/>
      <c r="AM51" s="2242"/>
      <c r="AN51" s="2242"/>
      <c r="AO51" s="226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2" t="s">
        <v>2260</v>
      </c>
      <c r="C52" s="2253"/>
      <c r="D52" s="2253"/>
      <c r="E52" s="2253"/>
      <c r="F52" s="2253"/>
      <c r="G52" s="2253"/>
      <c r="H52" s="2253"/>
      <c r="I52" s="2253"/>
      <c r="J52" s="2264">
        <v>0</v>
      </c>
      <c r="K52" s="2264"/>
      <c r="L52" s="2264"/>
      <c r="M52" s="2264"/>
      <c r="N52" s="2264"/>
      <c r="O52" s="2264"/>
      <c r="P52" s="2264"/>
      <c r="Q52" s="2264"/>
      <c r="R52" s="2265">
        <v>0</v>
      </c>
      <c r="S52" s="2265"/>
      <c r="T52" s="2265"/>
      <c r="U52" s="2265"/>
      <c r="V52" s="2265"/>
      <c r="W52" s="2265"/>
      <c r="X52" s="2265"/>
      <c r="Y52" s="2265"/>
      <c r="Z52" s="2266">
        <v>0</v>
      </c>
      <c r="AA52" s="2266"/>
      <c r="AB52" s="2266"/>
      <c r="AC52" s="2266"/>
      <c r="AD52" s="2266"/>
      <c r="AE52" s="2266"/>
      <c r="AF52" s="2266"/>
      <c r="AG52" s="2266"/>
      <c r="AH52" s="2267"/>
      <c r="AI52" s="2267"/>
      <c r="AJ52" s="2267"/>
      <c r="AK52" s="2267"/>
      <c r="AL52" s="2267"/>
      <c r="AM52" s="2267"/>
      <c r="AN52" s="2267"/>
      <c r="AO52" s="226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2" t="s">
        <v>2261</v>
      </c>
      <c r="C53" s="2253"/>
      <c r="D53" s="2253"/>
      <c r="E53" s="2253"/>
      <c r="F53" s="2253"/>
      <c r="G53" s="2253"/>
      <c r="H53" s="2253"/>
      <c r="I53" s="2253"/>
      <c r="J53" s="2264">
        <v>0</v>
      </c>
      <c r="K53" s="2264"/>
      <c r="L53" s="2264"/>
      <c r="M53" s="2264"/>
      <c r="N53" s="2264"/>
      <c r="O53" s="2264"/>
      <c r="P53" s="2264"/>
      <c r="Q53" s="2264"/>
      <c r="R53" s="2265">
        <v>0</v>
      </c>
      <c r="S53" s="2265"/>
      <c r="T53" s="2265"/>
      <c r="U53" s="2265"/>
      <c r="V53" s="2265"/>
      <c r="W53" s="2265"/>
      <c r="X53" s="2265"/>
      <c r="Y53" s="2265"/>
      <c r="Z53" s="2266">
        <v>0</v>
      </c>
      <c r="AA53" s="2266"/>
      <c r="AB53" s="2266"/>
      <c r="AC53" s="2266"/>
      <c r="AD53" s="2266"/>
      <c r="AE53" s="2266"/>
      <c r="AF53" s="2266"/>
      <c r="AG53" s="2266"/>
      <c r="AH53" s="2267"/>
      <c r="AI53" s="2267"/>
      <c r="AJ53" s="2267"/>
      <c r="AK53" s="2267"/>
      <c r="AL53" s="2267"/>
      <c r="AM53" s="2267"/>
      <c r="AN53" s="2267"/>
      <c r="AO53" s="226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2"/>
      <c r="C54" s="2253"/>
      <c r="D54" s="2253"/>
      <c r="E54" s="2253"/>
      <c r="F54" s="2253"/>
      <c r="G54" s="2253"/>
      <c r="H54" s="2253"/>
      <c r="I54" s="2253"/>
      <c r="J54" s="2264"/>
      <c r="K54" s="2264"/>
      <c r="L54" s="2264"/>
      <c r="M54" s="2264"/>
      <c r="N54" s="2264"/>
      <c r="O54" s="2264"/>
      <c r="P54" s="2264"/>
      <c r="Q54" s="2264"/>
      <c r="R54" s="2265"/>
      <c r="S54" s="2265"/>
      <c r="T54" s="2265"/>
      <c r="U54" s="2265"/>
      <c r="V54" s="2265"/>
      <c r="W54" s="2265"/>
      <c r="X54" s="2265"/>
      <c r="Y54" s="2265"/>
      <c r="Z54" s="2266"/>
      <c r="AA54" s="2266"/>
      <c r="AB54" s="2266"/>
      <c r="AC54" s="2266"/>
      <c r="AD54" s="2266"/>
      <c r="AE54" s="2266"/>
      <c r="AF54" s="2266"/>
      <c r="AG54" s="2266"/>
      <c r="AH54" s="2267"/>
      <c r="AI54" s="2267"/>
      <c r="AJ54" s="2267"/>
      <c r="AK54" s="2267"/>
      <c r="AL54" s="2267"/>
      <c r="AM54" s="2267"/>
      <c r="AN54" s="2267"/>
      <c r="AO54" s="226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2"/>
      <c r="C55" s="2253"/>
      <c r="D55" s="2253"/>
      <c r="E55" s="2253"/>
      <c r="F55" s="2253"/>
      <c r="G55" s="2253"/>
      <c r="H55" s="2253"/>
      <c r="I55" s="2253"/>
      <c r="J55" s="2264"/>
      <c r="K55" s="2264"/>
      <c r="L55" s="2264"/>
      <c r="M55" s="2264"/>
      <c r="N55" s="2264"/>
      <c r="O55" s="2264"/>
      <c r="P55" s="2264"/>
      <c r="Q55" s="2264"/>
      <c r="R55" s="2265"/>
      <c r="S55" s="2265"/>
      <c r="T55" s="2265"/>
      <c r="U55" s="2265"/>
      <c r="V55" s="2265"/>
      <c r="W55" s="2265"/>
      <c r="X55" s="2265"/>
      <c r="Y55" s="2265"/>
      <c r="Z55" s="2266"/>
      <c r="AA55" s="2266"/>
      <c r="AB55" s="2266"/>
      <c r="AC55" s="2266"/>
      <c r="AD55" s="2266"/>
      <c r="AE55" s="2266"/>
      <c r="AF55" s="2266"/>
      <c r="AG55" s="2266"/>
      <c r="AH55" s="2267"/>
      <c r="AI55" s="2267"/>
      <c r="AJ55" s="2267"/>
      <c r="AK55" s="2267"/>
      <c r="AL55" s="2267"/>
      <c r="AM55" s="2267"/>
      <c r="AN55" s="2267"/>
      <c r="AO55" s="2268"/>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52"/>
      <c r="C56" s="2253"/>
      <c r="D56" s="2253"/>
      <c r="E56" s="2253"/>
      <c r="F56" s="2253"/>
      <c r="G56" s="2253"/>
      <c r="H56" s="2253"/>
      <c r="I56" s="2253"/>
      <c r="J56" s="2264"/>
      <c r="K56" s="2264"/>
      <c r="L56" s="2264"/>
      <c r="M56" s="2264"/>
      <c r="N56" s="2264"/>
      <c r="O56" s="2264"/>
      <c r="P56" s="2264"/>
      <c r="Q56" s="2264"/>
      <c r="R56" s="2265"/>
      <c r="S56" s="2265"/>
      <c r="T56" s="2265"/>
      <c r="U56" s="2265"/>
      <c r="V56" s="2265"/>
      <c r="W56" s="2265"/>
      <c r="X56" s="2265"/>
      <c r="Y56" s="2265"/>
      <c r="Z56" s="2266"/>
      <c r="AA56" s="2266"/>
      <c r="AB56" s="2266"/>
      <c r="AC56" s="2266"/>
      <c r="AD56" s="2266"/>
      <c r="AE56" s="2266"/>
      <c r="AF56" s="2266"/>
      <c r="AG56" s="2266"/>
      <c r="AH56" s="2267"/>
      <c r="AI56" s="2267"/>
      <c r="AJ56" s="2267"/>
      <c r="AK56" s="2267"/>
      <c r="AL56" s="2267"/>
      <c r="AM56" s="2267"/>
      <c r="AN56" s="2267"/>
      <c r="AO56" s="226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8" t="s">
        <v>1764</v>
      </c>
      <c r="C57" s="2279"/>
      <c r="D57" s="2279"/>
      <c r="E57" s="2279"/>
      <c r="F57" s="2279"/>
      <c r="G57" s="2279"/>
      <c r="H57" s="2279"/>
      <c r="I57" s="2279"/>
      <c r="J57" s="2279"/>
      <c r="K57" s="2279"/>
      <c r="L57" s="2279"/>
      <c r="M57" s="2279"/>
      <c r="N57" s="2279"/>
      <c r="O57" s="2279"/>
      <c r="P57" s="2279"/>
      <c r="Q57" s="2279"/>
      <c r="R57" s="2280">
        <f>SUM(R52:Y56)</f>
        <v>0</v>
      </c>
      <c r="S57" s="2280"/>
      <c r="T57" s="2280"/>
      <c r="U57" s="2280"/>
      <c r="V57" s="2280"/>
      <c r="W57" s="2280"/>
      <c r="X57" s="2280"/>
      <c r="Y57" s="2280"/>
      <c r="Z57" s="2281">
        <f>SUM(Z52:AG56)</f>
        <v>0</v>
      </c>
      <c r="AA57" s="2281"/>
      <c r="AB57" s="2281"/>
      <c r="AC57" s="2281"/>
      <c r="AD57" s="2281"/>
      <c r="AE57" s="2281"/>
      <c r="AF57" s="2281"/>
      <c r="AG57" s="2281"/>
      <c r="AH57" s="2282"/>
      <c r="AI57" s="2282"/>
      <c r="AJ57" s="2282"/>
      <c r="AK57" s="2282"/>
      <c r="AL57" s="2282"/>
      <c r="AM57" s="2282"/>
      <c r="AN57" s="2282"/>
      <c r="AO57" s="228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9" t="s">
        <v>1885</v>
      </c>
      <c r="C59" s="2270"/>
      <c r="D59" s="2270"/>
      <c r="E59" s="2270"/>
      <c r="F59" s="2270"/>
      <c r="G59" s="2270"/>
      <c r="H59" s="2270"/>
      <c r="I59" s="2271"/>
      <c r="J59" s="2195" t="s">
        <v>2588</v>
      </c>
      <c r="K59" s="2195"/>
      <c r="L59" s="2195"/>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c r="AS59" s="2195"/>
      <c r="AT59" s="2195"/>
      <c r="AU59" s="2195"/>
      <c r="AV59" s="2195"/>
      <c r="AW59" s="2196"/>
      <c r="AX59" s="1207"/>
      <c r="AY59" s="1207"/>
      <c r="AZ59" s="1207"/>
      <c r="BA59" s="1207"/>
      <c r="BB59" s="1207"/>
      <c r="BC59" s="1207"/>
      <c r="BD59" s="1207"/>
      <c r="BE59" s="1213"/>
    </row>
    <row r="60" spans="1:58" ht="15.75" customHeight="1">
      <c r="A60" s="1207"/>
      <c r="B60" s="2272" t="str">
        <f>IF(B52="", "", B52)</f>
        <v>Services Company 1</v>
      </c>
      <c r="C60" s="2273"/>
      <c r="D60" s="2273"/>
      <c r="E60" s="2273"/>
      <c r="F60" s="2273"/>
      <c r="G60" s="2273"/>
      <c r="H60" s="2273"/>
      <c r="I60" s="2274"/>
      <c r="J60" s="2275"/>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1207"/>
      <c r="AY60" s="1207"/>
      <c r="AZ60" s="1207"/>
      <c r="BA60" s="1207"/>
      <c r="BB60" s="1207"/>
      <c r="BC60" s="1207"/>
      <c r="BD60" s="1207"/>
      <c r="BE60" s="1213"/>
    </row>
    <row r="61" spans="1:58" ht="15.75" customHeight="1">
      <c r="A61" s="1207"/>
      <c r="B61" s="2272" t="str">
        <f>IF(B53="", "", B53)</f>
        <v>Services Company 2</v>
      </c>
      <c r="C61" s="2273"/>
      <c r="D61" s="2273"/>
      <c r="E61" s="2273"/>
      <c r="F61" s="2273"/>
      <c r="G61" s="2273"/>
      <c r="H61" s="2273"/>
      <c r="I61" s="2274"/>
      <c r="J61" s="2275"/>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1207"/>
      <c r="AY61" s="1207"/>
      <c r="AZ61" s="1207"/>
      <c r="BA61" s="1207"/>
      <c r="BB61" s="1207"/>
      <c r="BC61" s="1207"/>
      <c r="BD61" s="1207"/>
      <c r="BE61" s="1213"/>
    </row>
    <row r="62" spans="1:58" ht="15.75" customHeight="1">
      <c r="A62" s="1207"/>
      <c r="B62" s="2272" t="str">
        <f>IF(B54="", "", B54)</f>
        <v/>
      </c>
      <c r="C62" s="2273"/>
      <c r="D62" s="2273"/>
      <c r="E62" s="2273"/>
      <c r="F62" s="2273"/>
      <c r="G62" s="2273"/>
      <c r="H62" s="2273"/>
      <c r="I62" s="2274"/>
      <c r="J62" s="2275"/>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1207"/>
      <c r="AY62" s="1207"/>
      <c r="AZ62" s="1207"/>
      <c r="BA62" s="1207"/>
      <c r="BB62" s="1207"/>
      <c r="BC62" s="1207"/>
      <c r="BD62" s="1207"/>
      <c r="BE62" s="1213"/>
    </row>
    <row r="63" spans="1:58" ht="15.75" customHeight="1">
      <c r="A63" s="1207"/>
      <c r="B63" s="2272" t="str">
        <f>IF(B55="", "", B55)</f>
        <v/>
      </c>
      <c r="C63" s="2273"/>
      <c r="D63" s="2273"/>
      <c r="E63" s="2273"/>
      <c r="F63" s="2273"/>
      <c r="G63" s="2273"/>
      <c r="H63" s="2273"/>
      <c r="I63" s="2274"/>
      <c r="J63" s="2275"/>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1207"/>
      <c r="AY63" s="1207"/>
      <c r="AZ63" s="1207"/>
      <c r="BA63" s="1207"/>
      <c r="BB63" s="1207"/>
      <c r="BC63" s="1207"/>
      <c r="BD63" s="1207"/>
      <c r="BE63" s="1213"/>
    </row>
    <row r="64" spans="1:58" ht="15.75" customHeight="1" thickBot="1">
      <c r="A64" s="1207"/>
      <c r="B64" s="2297" t="str">
        <f>IF(B56="", "", B56)</f>
        <v/>
      </c>
      <c r="C64" s="2298"/>
      <c r="D64" s="2298"/>
      <c r="E64" s="2298"/>
      <c r="F64" s="2298"/>
      <c r="G64" s="2298"/>
      <c r="H64" s="2298"/>
      <c r="I64" s="2299"/>
      <c r="J64" s="2300"/>
      <c r="K64" s="2301"/>
      <c r="L64" s="2301"/>
      <c r="M64" s="2301"/>
      <c r="N64" s="2301"/>
      <c r="O64" s="2301"/>
      <c r="P64" s="2301"/>
      <c r="Q64" s="2301"/>
      <c r="R64" s="2301"/>
      <c r="S64" s="2301"/>
      <c r="T64" s="2301"/>
      <c r="U64" s="2301"/>
      <c r="V64" s="2301"/>
      <c r="W64" s="2301"/>
      <c r="X64" s="2301"/>
      <c r="Y64" s="2301"/>
      <c r="Z64" s="2301"/>
      <c r="AA64" s="2301"/>
      <c r="AB64" s="2301"/>
      <c r="AC64" s="2301"/>
      <c r="AD64" s="2301"/>
      <c r="AE64" s="2301"/>
      <c r="AF64" s="2301"/>
      <c r="AG64" s="2301"/>
      <c r="AH64" s="2301"/>
      <c r="AI64" s="2301"/>
      <c r="AJ64" s="2301"/>
      <c r="AK64" s="2301"/>
      <c r="AL64" s="2301"/>
      <c r="AM64" s="2301"/>
      <c r="AN64" s="2301"/>
      <c r="AO64" s="2301"/>
      <c r="AP64" s="2301"/>
      <c r="AQ64" s="2301"/>
      <c r="AR64" s="2301"/>
      <c r="AS64" s="2301"/>
      <c r="AT64" s="2301"/>
      <c r="AU64" s="2301"/>
      <c r="AV64" s="2301"/>
      <c r="AW64" s="230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4" t="s">
        <v>1889</v>
      </c>
      <c r="C68" s="2195"/>
      <c r="D68" s="2195"/>
      <c r="E68" s="2195"/>
      <c r="F68" s="2195"/>
      <c r="G68" s="2195"/>
      <c r="H68" s="2195"/>
      <c r="I68" s="2195"/>
      <c r="J68" s="2195"/>
      <c r="K68" s="2195"/>
      <c r="L68" s="2195"/>
      <c r="M68" s="2195"/>
      <c r="N68" s="2195"/>
      <c r="O68" s="2195"/>
      <c r="P68" s="2195"/>
      <c r="Q68" s="2195"/>
      <c r="R68" s="2195"/>
      <c r="S68" s="2195"/>
      <c r="T68" s="2195"/>
      <c r="U68" s="2195"/>
      <c r="V68" s="2195"/>
      <c r="W68" s="2195"/>
      <c r="X68" s="2195"/>
      <c r="Y68" s="2195"/>
      <c r="Z68" s="2195"/>
      <c r="AA68" s="2196"/>
      <c r="AB68" s="1207"/>
      <c r="AC68" s="2309" t="s">
        <v>1890</v>
      </c>
      <c r="AD68" s="2310"/>
      <c r="AE68" s="2310"/>
      <c r="AF68" s="2310"/>
      <c r="AG68" s="2310"/>
      <c r="AH68" s="2310"/>
      <c r="AI68" s="2310"/>
      <c r="AJ68" s="2310"/>
      <c r="AK68" s="2310"/>
      <c r="AL68" s="2310"/>
      <c r="AM68" s="2310"/>
      <c r="AN68" s="2310"/>
      <c r="AO68" s="2310"/>
      <c r="AP68" s="2310"/>
      <c r="AQ68" s="2310"/>
      <c r="AR68" s="2310"/>
      <c r="AS68" s="2310"/>
      <c r="AT68" s="2310"/>
      <c r="AU68" s="2310"/>
      <c r="AV68" s="2284" t="s">
        <v>678</v>
      </c>
      <c r="AW68" s="2285"/>
      <c r="AX68" s="2285"/>
      <c r="AY68" s="2285"/>
      <c r="AZ68" s="2285"/>
      <c r="BA68" s="2285"/>
      <c r="BB68" s="2285"/>
      <c r="BC68" s="2286"/>
      <c r="BD68" s="1207"/>
      <c r="BE68" s="1213"/>
      <c r="BM68" s="1218" t="s">
        <v>2589</v>
      </c>
    </row>
    <row r="69" spans="1:65" ht="15.75" customHeight="1" thickTop="1" thickBot="1">
      <c r="A69" s="1207"/>
      <c r="B69" s="2287" t="s">
        <v>1891</v>
      </c>
      <c r="C69" s="2288"/>
      <c r="D69" s="2288"/>
      <c r="E69" s="2288"/>
      <c r="F69" s="2288"/>
      <c r="G69" s="2288"/>
      <c r="H69" s="2288"/>
      <c r="I69" s="2288"/>
      <c r="J69" s="2288"/>
      <c r="K69" s="2288"/>
      <c r="L69" s="2288"/>
      <c r="M69" s="2288"/>
      <c r="N69" s="2288"/>
      <c r="O69" s="2289" t="s">
        <v>1892</v>
      </c>
      <c r="P69" s="2290"/>
      <c r="Q69" s="2290"/>
      <c r="R69" s="2290"/>
      <c r="S69" s="2290"/>
      <c r="T69" s="2290"/>
      <c r="U69" s="2290"/>
      <c r="V69" s="2290"/>
      <c r="W69" s="2290"/>
      <c r="X69" s="2290"/>
      <c r="Y69" s="2290"/>
      <c r="Z69" s="2290"/>
      <c r="AA69" s="2291"/>
      <c r="AB69" s="1207"/>
      <c r="AC69" s="2292" t="s">
        <v>1893</v>
      </c>
      <c r="AD69" s="2293"/>
      <c r="AE69" s="2293"/>
      <c r="AF69" s="2293"/>
      <c r="AG69" s="2293"/>
      <c r="AH69" s="2293"/>
      <c r="AI69" s="2293"/>
      <c r="AJ69" s="2293"/>
      <c r="AK69" s="2293"/>
      <c r="AL69" s="2293"/>
      <c r="AM69" s="2293"/>
      <c r="AN69" s="2293"/>
      <c r="AO69" s="2293"/>
      <c r="AP69" s="2293"/>
      <c r="AQ69" s="2293"/>
      <c r="AR69" s="2293"/>
      <c r="AS69" s="2293"/>
      <c r="AT69" s="2293"/>
      <c r="AU69" s="2293"/>
      <c r="AV69" s="2294"/>
      <c r="AW69" s="2295"/>
      <c r="AX69" s="2295"/>
      <c r="AY69" s="2295"/>
      <c r="AZ69" s="2295"/>
      <c r="BA69" s="2295"/>
      <c r="BB69" s="2295"/>
      <c r="BC69" s="2296"/>
      <c r="BD69" s="1207"/>
      <c r="BE69" s="1213"/>
      <c r="BM69" s="1219" t="s">
        <v>554</v>
      </c>
    </row>
    <row r="70" spans="1:65" ht="15.75" customHeight="1">
      <c r="A70" s="1207"/>
      <c r="B70" s="2245" t="s">
        <v>2590</v>
      </c>
      <c r="C70" s="2246"/>
      <c r="D70" s="2246"/>
      <c r="E70" s="2246"/>
      <c r="F70" s="2246"/>
      <c r="G70" s="2246"/>
      <c r="H70" s="2246"/>
      <c r="I70" s="2246"/>
      <c r="J70" s="2246"/>
      <c r="K70" s="2246"/>
      <c r="L70" s="2246"/>
      <c r="M70" s="2246"/>
      <c r="N70" s="2246"/>
      <c r="O70" s="2303">
        <v>0</v>
      </c>
      <c r="P70" s="2303"/>
      <c r="Q70" s="2303"/>
      <c r="R70" s="2303"/>
      <c r="S70" s="2303"/>
      <c r="T70" s="2303"/>
      <c r="U70" s="2303"/>
      <c r="V70" s="2303"/>
      <c r="W70" s="2303"/>
      <c r="X70" s="2303"/>
      <c r="Y70" s="2303"/>
      <c r="Z70" s="2303"/>
      <c r="AA70" s="2304"/>
      <c r="AB70" s="1207"/>
      <c r="AC70" s="2232" t="s">
        <v>1894</v>
      </c>
      <c r="AD70" s="2233"/>
      <c r="AE70" s="2233"/>
      <c r="AF70" s="2305"/>
      <c r="AG70" s="2305"/>
      <c r="AH70" s="2305"/>
      <c r="AI70" s="2305"/>
      <c r="AJ70" s="2305"/>
      <c r="AK70" s="2305"/>
      <c r="AL70" s="2305"/>
      <c r="AM70" s="2305"/>
      <c r="AN70" s="2305"/>
      <c r="AO70" s="2305"/>
      <c r="AP70" s="2305"/>
      <c r="AQ70" s="2305"/>
      <c r="AR70" s="2305"/>
      <c r="AS70" s="2305"/>
      <c r="AT70" s="2305"/>
      <c r="AU70" s="2306"/>
      <c r="AV70" s="1207"/>
      <c r="AW70" s="1207"/>
      <c r="AX70" s="1207"/>
      <c r="AY70" s="1207"/>
      <c r="AZ70" s="1207"/>
      <c r="BA70" s="1207"/>
      <c r="BB70" s="1207"/>
      <c r="BC70" s="1207"/>
      <c r="BD70" s="1207"/>
      <c r="BE70" s="1213"/>
      <c r="BM70" s="1220" t="s">
        <v>678</v>
      </c>
    </row>
    <row r="71" spans="1:65" ht="15.75" customHeight="1" thickBot="1">
      <c r="A71" s="1207"/>
      <c r="B71" s="2245" t="s">
        <v>2591</v>
      </c>
      <c r="C71" s="2246"/>
      <c r="D71" s="2246"/>
      <c r="E71" s="2246"/>
      <c r="F71" s="2246"/>
      <c r="G71" s="2246"/>
      <c r="H71" s="2246"/>
      <c r="I71" s="2246"/>
      <c r="J71" s="2246"/>
      <c r="K71" s="2246"/>
      <c r="L71" s="2246"/>
      <c r="M71" s="2246"/>
      <c r="N71" s="2246"/>
      <c r="O71" s="2303">
        <v>0</v>
      </c>
      <c r="P71" s="2303"/>
      <c r="Q71" s="2303"/>
      <c r="R71" s="2303"/>
      <c r="S71" s="2303"/>
      <c r="T71" s="2303"/>
      <c r="U71" s="2303"/>
      <c r="V71" s="2303"/>
      <c r="W71" s="2303"/>
      <c r="X71" s="2303"/>
      <c r="Y71" s="2303"/>
      <c r="Z71" s="2303"/>
      <c r="AA71" s="2304"/>
      <c r="AB71" s="1207"/>
      <c r="AC71" s="2307" t="s">
        <v>1895</v>
      </c>
      <c r="AD71" s="2308"/>
      <c r="AE71" s="2308"/>
      <c r="AF71" s="2301"/>
      <c r="AG71" s="2301"/>
      <c r="AH71" s="2301"/>
      <c r="AI71" s="2301"/>
      <c r="AJ71" s="2301"/>
      <c r="AK71" s="2301"/>
      <c r="AL71" s="2301"/>
      <c r="AM71" s="2301"/>
      <c r="AN71" s="2301"/>
      <c r="AO71" s="2301"/>
      <c r="AP71" s="2301"/>
      <c r="AQ71" s="2301"/>
      <c r="AR71" s="2301"/>
      <c r="AS71" s="2301"/>
      <c r="AT71" s="2301"/>
      <c r="AU71" s="2302"/>
      <c r="AV71" s="1207"/>
      <c r="AW71" s="1207"/>
      <c r="AX71" s="1207"/>
      <c r="AY71" s="1207"/>
      <c r="AZ71" s="1207"/>
      <c r="BA71" s="1207"/>
      <c r="BB71" s="1207"/>
      <c r="BC71" s="1207"/>
      <c r="BD71" s="1207"/>
      <c r="BE71" s="1213"/>
      <c r="BM71" s="1204" t="s">
        <v>2592</v>
      </c>
    </row>
    <row r="72" spans="1:65" ht="15.75" customHeight="1">
      <c r="A72" s="1207"/>
      <c r="B72" s="2245" t="s">
        <v>2593</v>
      </c>
      <c r="C72" s="2246"/>
      <c r="D72" s="2246"/>
      <c r="E72" s="2246"/>
      <c r="F72" s="2246"/>
      <c r="G72" s="2246"/>
      <c r="H72" s="2246"/>
      <c r="I72" s="2246"/>
      <c r="J72" s="2246"/>
      <c r="K72" s="2246"/>
      <c r="L72" s="2246"/>
      <c r="M72" s="2246"/>
      <c r="N72" s="2246"/>
      <c r="O72" s="2303">
        <v>0</v>
      </c>
      <c r="P72" s="2303"/>
      <c r="Q72" s="2303"/>
      <c r="R72" s="2303"/>
      <c r="S72" s="2303"/>
      <c r="T72" s="2303"/>
      <c r="U72" s="2303"/>
      <c r="V72" s="2303"/>
      <c r="W72" s="2303"/>
      <c r="X72" s="2303"/>
      <c r="Y72" s="2303"/>
      <c r="Z72" s="2303"/>
      <c r="AA72" s="2304"/>
      <c r="AB72" s="1207"/>
      <c r="AC72" s="2311" t="s">
        <v>2594</v>
      </c>
      <c r="AD72" s="2312"/>
      <c r="AE72" s="2312"/>
      <c r="AF72" s="2312"/>
      <c r="AG72" s="2312"/>
      <c r="AH72" s="2312"/>
      <c r="AI72" s="2312"/>
      <c r="AJ72" s="2312"/>
      <c r="AK72" s="2312"/>
      <c r="AL72" s="2312"/>
      <c r="AM72" s="2312"/>
      <c r="AN72" s="2312"/>
      <c r="AO72" s="2312"/>
      <c r="AP72" s="2312"/>
      <c r="AQ72" s="2312"/>
      <c r="AR72" s="2312"/>
      <c r="AS72" s="2312"/>
      <c r="AT72" s="2312"/>
      <c r="AU72" s="2312"/>
      <c r="AV72" s="2233"/>
      <c r="AW72" s="2233"/>
      <c r="AX72" s="2233"/>
      <c r="AY72" s="2233"/>
      <c r="AZ72" s="2233"/>
      <c r="BA72" s="2233"/>
      <c r="BB72" s="2233"/>
      <c r="BC72" s="2234"/>
      <c r="BD72" s="1207"/>
      <c r="BE72" s="1213"/>
    </row>
    <row r="73" spans="1:65" ht="15.75" customHeight="1">
      <c r="A73" s="1207"/>
      <c r="B73" s="2252" t="s">
        <v>2595</v>
      </c>
      <c r="C73" s="2253"/>
      <c r="D73" s="2253"/>
      <c r="E73" s="2253"/>
      <c r="F73" s="2253"/>
      <c r="G73" s="2253"/>
      <c r="H73" s="2253"/>
      <c r="I73" s="2253"/>
      <c r="J73" s="2253"/>
      <c r="K73" s="2253"/>
      <c r="L73" s="2253"/>
      <c r="M73" s="2253"/>
      <c r="N73" s="2253"/>
      <c r="O73" s="2303">
        <v>0</v>
      </c>
      <c r="P73" s="2303"/>
      <c r="Q73" s="2303"/>
      <c r="R73" s="2303"/>
      <c r="S73" s="2303"/>
      <c r="T73" s="2303"/>
      <c r="U73" s="2303"/>
      <c r="V73" s="2303"/>
      <c r="W73" s="2303"/>
      <c r="X73" s="2303"/>
      <c r="Y73" s="2303"/>
      <c r="Z73" s="2303"/>
      <c r="AA73" s="2304"/>
      <c r="AB73" s="1207"/>
      <c r="AC73" s="2313" t="s">
        <v>2262</v>
      </c>
      <c r="AD73" s="2314"/>
      <c r="AE73" s="2314"/>
      <c r="AF73" s="2314"/>
      <c r="AG73" s="2314"/>
      <c r="AH73" s="2314"/>
      <c r="AI73" s="2314"/>
      <c r="AJ73" s="2314"/>
      <c r="AK73" s="2314"/>
      <c r="AL73" s="2314"/>
      <c r="AM73" s="2314"/>
      <c r="AN73" s="2314"/>
      <c r="AO73" s="2314"/>
      <c r="AP73" s="2314"/>
      <c r="AQ73" s="2314"/>
      <c r="AR73" s="2314"/>
      <c r="AS73" s="2314"/>
      <c r="AT73" s="2314"/>
      <c r="AU73" s="2314"/>
      <c r="AV73" s="2314"/>
      <c r="AW73" s="2314"/>
      <c r="AX73" s="2314"/>
      <c r="AY73" s="2314"/>
      <c r="AZ73" s="2314"/>
      <c r="BA73" s="2314"/>
      <c r="BB73" s="2314"/>
      <c r="BC73" s="2315"/>
      <c r="BD73" s="1207"/>
      <c r="BE73" s="1213"/>
    </row>
    <row r="74" spans="1:65" ht="15.75" customHeight="1">
      <c r="A74" s="1207"/>
      <c r="B74" s="2319"/>
      <c r="C74" s="2264"/>
      <c r="D74" s="2264"/>
      <c r="E74" s="2264"/>
      <c r="F74" s="2264"/>
      <c r="G74" s="2264"/>
      <c r="H74" s="2264"/>
      <c r="I74" s="2264"/>
      <c r="J74" s="2264"/>
      <c r="K74" s="2264"/>
      <c r="L74" s="2264"/>
      <c r="M74" s="2264"/>
      <c r="N74" s="2264"/>
      <c r="O74" s="2303"/>
      <c r="P74" s="2303"/>
      <c r="Q74" s="2303"/>
      <c r="R74" s="2303"/>
      <c r="S74" s="2303"/>
      <c r="T74" s="2303"/>
      <c r="U74" s="2303"/>
      <c r="V74" s="2303"/>
      <c r="W74" s="2303"/>
      <c r="X74" s="2303"/>
      <c r="Y74" s="2303"/>
      <c r="Z74" s="2303"/>
      <c r="AA74" s="2304"/>
      <c r="AB74" s="1207"/>
      <c r="AC74" s="2313"/>
      <c r="AD74" s="2314"/>
      <c r="AE74" s="2314"/>
      <c r="AF74" s="2314"/>
      <c r="AG74" s="2314"/>
      <c r="AH74" s="2314"/>
      <c r="AI74" s="2314"/>
      <c r="AJ74" s="2314"/>
      <c r="AK74" s="2314"/>
      <c r="AL74" s="2314"/>
      <c r="AM74" s="2314"/>
      <c r="AN74" s="2314"/>
      <c r="AO74" s="2314"/>
      <c r="AP74" s="2314"/>
      <c r="AQ74" s="2314"/>
      <c r="AR74" s="2314"/>
      <c r="AS74" s="2314"/>
      <c r="AT74" s="2314"/>
      <c r="AU74" s="2314"/>
      <c r="AV74" s="2314"/>
      <c r="AW74" s="2314"/>
      <c r="AX74" s="2314"/>
      <c r="AY74" s="2314"/>
      <c r="AZ74" s="2314"/>
      <c r="BA74" s="2314"/>
      <c r="BB74" s="2314"/>
      <c r="BC74" s="2315"/>
      <c r="BD74" s="1207"/>
      <c r="BE74" s="1213"/>
    </row>
    <row r="75" spans="1:65" ht="15.75" customHeight="1" thickBot="1">
      <c r="A75" s="1207"/>
      <c r="B75" s="2320" t="s">
        <v>125</v>
      </c>
      <c r="C75" s="2321"/>
      <c r="D75" s="2321"/>
      <c r="E75" s="2321"/>
      <c r="F75" s="2321"/>
      <c r="G75" s="2321"/>
      <c r="H75" s="2321"/>
      <c r="I75" s="2321"/>
      <c r="J75" s="2321"/>
      <c r="K75" s="2321"/>
      <c r="L75" s="2321"/>
      <c r="M75" s="2321"/>
      <c r="N75" s="2321"/>
      <c r="O75" s="2322">
        <f>SUM(O70:AA74)</f>
        <v>0</v>
      </c>
      <c r="P75" s="2322"/>
      <c r="Q75" s="2322"/>
      <c r="R75" s="2322"/>
      <c r="S75" s="2322"/>
      <c r="T75" s="2322"/>
      <c r="U75" s="2322"/>
      <c r="V75" s="2322"/>
      <c r="W75" s="2322"/>
      <c r="X75" s="2322"/>
      <c r="Y75" s="2322"/>
      <c r="Z75" s="2322"/>
      <c r="AA75" s="2323"/>
      <c r="AB75" s="1207"/>
      <c r="AC75" s="2313"/>
      <c r="AD75" s="2314"/>
      <c r="AE75" s="2314"/>
      <c r="AF75" s="2314"/>
      <c r="AG75" s="2314"/>
      <c r="AH75" s="2314"/>
      <c r="AI75" s="2314"/>
      <c r="AJ75" s="2314"/>
      <c r="AK75" s="2314"/>
      <c r="AL75" s="2314"/>
      <c r="AM75" s="2314"/>
      <c r="AN75" s="2314"/>
      <c r="AO75" s="2314"/>
      <c r="AP75" s="2314"/>
      <c r="AQ75" s="2314"/>
      <c r="AR75" s="2314"/>
      <c r="AS75" s="2314"/>
      <c r="AT75" s="2314"/>
      <c r="AU75" s="2314"/>
      <c r="AV75" s="2314"/>
      <c r="AW75" s="2314"/>
      <c r="AX75" s="2314"/>
      <c r="AY75" s="2314"/>
      <c r="AZ75" s="2314"/>
      <c r="BA75" s="2314"/>
      <c r="BB75" s="2314"/>
      <c r="BC75" s="231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3"/>
      <c r="AD76" s="2314"/>
      <c r="AE76" s="2314"/>
      <c r="AF76" s="2314"/>
      <c r="AG76" s="2314"/>
      <c r="AH76" s="2314"/>
      <c r="AI76" s="2314"/>
      <c r="AJ76" s="2314"/>
      <c r="AK76" s="2314"/>
      <c r="AL76" s="2314"/>
      <c r="AM76" s="2314"/>
      <c r="AN76" s="2314"/>
      <c r="AO76" s="2314"/>
      <c r="AP76" s="2314"/>
      <c r="AQ76" s="2314"/>
      <c r="AR76" s="2314"/>
      <c r="AS76" s="2314"/>
      <c r="AT76" s="2314"/>
      <c r="AU76" s="2314"/>
      <c r="AV76" s="2314"/>
      <c r="AW76" s="2314"/>
      <c r="AX76" s="2314"/>
      <c r="AY76" s="2314"/>
      <c r="AZ76" s="2314"/>
      <c r="BA76" s="2314"/>
      <c r="BB76" s="2314"/>
      <c r="BC76" s="2315"/>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6"/>
      <c r="AD77" s="2317"/>
      <c r="AE77" s="2317"/>
      <c r="AF77" s="2317"/>
      <c r="AG77" s="2317"/>
      <c r="AH77" s="2317"/>
      <c r="AI77" s="2317"/>
      <c r="AJ77" s="2317"/>
      <c r="AK77" s="2317"/>
      <c r="AL77" s="2317"/>
      <c r="AM77" s="2317"/>
      <c r="AN77" s="2317"/>
      <c r="AO77" s="2317"/>
      <c r="AP77" s="2317"/>
      <c r="AQ77" s="2317"/>
      <c r="AR77" s="2317"/>
      <c r="AS77" s="2317"/>
      <c r="AT77" s="2317"/>
      <c r="AU77" s="2317"/>
      <c r="AV77" s="2317"/>
      <c r="AW77" s="2317"/>
      <c r="AX77" s="2317"/>
      <c r="AY77" s="2317"/>
      <c r="AZ77" s="2317"/>
      <c r="BA77" s="2317"/>
      <c r="BB77" s="2317"/>
      <c r="BC77" s="231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4" t="s">
        <v>2245</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207"/>
      <c r="AJ79" s="2327" t="s">
        <v>2596</v>
      </c>
      <c r="AK79" s="2328"/>
      <c r="AL79" s="2328"/>
      <c r="AM79" s="2328"/>
      <c r="AN79" s="2328"/>
      <c r="AO79" s="2328"/>
      <c r="AP79" s="2328"/>
      <c r="AQ79" s="2328"/>
      <c r="AR79" s="2328"/>
      <c r="AS79" s="2328"/>
      <c r="AT79" s="2328"/>
      <c r="AU79" s="2328"/>
      <c r="AV79" s="2328"/>
      <c r="AW79" s="2328"/>
      <c r="AX79" s="2328"/>
      <c r="AY79" s="2331" t="s">
        <v>554</v>
      </c>
      <c r="AZ79" s="2331"/>
      <c r="BA79" s="2331"/>
      <c r="BB79" s="2332"/>
      <c r="BC79" s="1207"/>
      <c r="BD79" s="1207"/>
      <c r="BE79" s="1213"/>
    </row>
    <row r="80" spans="1:65" ht="15.75" customHeight="1">
      <c r="A80" s="1207"/>
      <c r="B80" s="2260"/>
      <c r="C80" s="2261"/>
      <c r="D80" s="2261"/>
      <c r="E80" s="2261"/>
      <c r="F80" s="2261"/>
      <c r="G80" s="2261"/>
      <c r="H80" s="2261"/>
      <c r="I80" s="2261" t="s">
        <v>1897</v>
      </c>
      <c r="J80" s="2261"/>
      <c r="K80" s="2261"/>
      <c r="L80" s="2261"/>
      <c r="M80" s="2261"/>
      <c r="N80" s="2261"/>
      <c r="O80" s="2261" t="s">
        <v>1898</v>
      </c>
      <c r="P80" s="2261"/>
      <c r="Q80" s="2261"/>
      <c r="R80" s="2261"/>
      <c r="S80" s="2261"/>
      <c r="T80" s="2261"/>
      <c r="U80" s="2261"/>
      <c r="V80" s="2335" t="s">
        <v>2263</v>
      </c>
      <c r="W80" s="2335"/>
      <c r="X80" s="2335"/>
      <c r="Y80" s="2335"/>
      <c r="Z80" s="2335"/>
      <c r="AA80" s="2335"/>
      <c r="AB80" s="2240" t="s">
        <v>1899</v>
      </c>
      <c r="AC80" s="2240"/>
      <c r="AD80" s="2240"/>
      <c r="AE80" s="2240"/>
      <c r="AF80" s="2240"/>
      <c r="AG80" s="2240"/>
      <c r="AH80" s="2241"/>
      <c r="AI80" s="1207"/>
      <c r="AJ80" s="2329"/>
      <c r="AK80" s="2330"/>
      <c r="AL80" s="2330"/>
      <c r="AM80" s="2330"/>
      <c r="AN80" s="2330"/>
      <c r="AO80" s="2330"/>
      <c r="AP80" s="2330"/>
      <c r="AQ80" s="2330"/>
      <c r="AR80" s="2330"/>
      <c r="AS80" s="2330"/>
      <c r="AT80" s="2330"/>
      <c r="AU80" s="2330"/>
      <c r="AV80" s="2330"/>
      <c r="AW80" s="2330"/>
      <c r="AX80" s="2330"/>
      <c r="AY80" s="2333"/>
      <c r="AZ80" s="2333"/>
      <c r="BA80" s="2333"/>
      <c r="BB80" s="2334"/>
      <c r="BC80" s="1207"/>
      <c r="BD80" s="1207"/>
      <c r="BE80" s="1213"/>
    </row>
    <row r="81" spans="1:57" ht="15.75" customHeight="1">
      <c r="A81" s="1207"/>
      <c r="B81" s="2260"/>
      <c r="C81" s="2261"/>
      <c r="D81" s="2261"/>
      <c r="E81" s="2261"/>
      <c r="F81" s="2261"/>
      <c r="G81" s="2261"/>
      <c r="H81" s="2261"/>
      <c r="I81" s="2261"/>
      <c r="J81" s="2261"/>
      <c r="K81" s="2261"/>
      <c r="L81" s="2261"/>
      <c r="M81" s="2261"/>
      <c r="N81" s="2261"/>
      <c r="O81" s="2261"/>
      <c r="P81" s="2261"/>
      <c r="Q81" s="2261"/>
      <c r="R81" s="2261"/>
      <c r="S81" s="2261"/>
      <c r="T81" s="2261"/>
      <c r="U81" s="2261"/>
      <c r="V81" s="2335"/>
      <c r="W81" s="2335"/>
      <c r="X81" s="2335"/>
      <c r="Y81" s="2335"/>
      <c r="Z81" s="2335"/>
      <c r="AA81" s="2335"/>
      <c r="AB81" s="2240"/>
      <c r="AC81" s="2240"/>
      <c r="AD81" s="2240"/>
      <c r="AE81" s="2240"/>
      <c r="AF81" s="2240"/>
      <c r="AG81" s="2240"/>
      <c r="AH81" s="2241"/>
      <c r="AI81" s="1207"/>
      <c r="AJ81" s="2329"/>
      <c r="AK81" s="2330"/>
      <c r="AL81" s="2330"/>
      <c r="AM81" s="2330"/>
      <c r="AN81" s="2330"/>
      <c r="AO81" s="2330"/>
      <c r="AP81" s="2330"/>
      <c r="AQ81" s="2330"/>
      <c r="AR81" s="2330"/>
      <c r="AS81" s="2330"/>
      <c r="AT81" s="2330"/>
      <c r="AU81" s="2330"/>
      <c r="AV81" s="2330"/>
      <c r="AW81" s="2330"/>
      <c r="AX81" s="2330"/>
      <c r="AY81" s="2333"/>
      <c r="AZ81" s="2333"/>
      <c r="BA81" s="2333"/>
      <c r="BB81" s="2334"/>
      <c r="BC81" s="1207"/>
      <c r="BD81" s="1207"/>
      <c r="BE81" s="1213"/>
    </row>
    <row r="82" spans="1:57" ht="15.75" customHeight="1">
      <c r="A82" s="1207"/>
      <c r="B82" s="2260" t="s">
        <v>2246</v>
      </c>
      <c r="C82" s="2261"/>
      <c r="D82" s="2261"/>
      <c r="E82" s="2261"/>
      <c r="F82" s="2261"/>
      <c r="G82" s="2261"/>
      <c r="H82" s="2261"/>
      <c r="I82" s="2336">
        <v>0</v>
      </c>
      <c r="J82" s="2336"/>
      <c r="K82" s="2336"/>
      <c r="L82" s="2336"/>
      <c r="M82" s="2336"/>
      <c r="N82" s="2336"/>
      <c r="O82" s="2336">
        <v>0</v>
      </c>
      <c r="P82" s="2336"/>
      <c r="Q82" s="2336"/>
      <c r="R82" s="2336"/>
      <c r="S82" s="2336"/>
      <c r="T82" s="2336"/>
      <c r="U82" s="2336"/>
      <c r="V82" s="2336">
        <v>0</v>
      </c>
      <c r="W82" s="2336"/>
      <c r="X82" s="2336"/>
      <c r="Y82" s="2336"/>
      <c r="Z82" s="2336"/>
      <c r="AA82" s="2336"/>
      <c r="AB82" s="2336">
        <v>0</v>
      </c>
      <c r="AC82" s="2336"/>
      <c r="AD82" s="2336"/>
      <c r="AE82" s="2336"/>
      <c r="AF82" s="2336"/>
      <c r="AG82" s="2336"/>
      <c r="AH82" s="2345"/>
      <c r="AI82" s="1207"/>
      <c r="AJ82" s="2329"/>
      <c r="AK82" s="2330"/>
      <c r="AL82" s="2330"/>
      <c r="AM82" s="2330"/>
      <c r="AN82" s="2330"/>
      <c r="AO82" s="2330"/>
      <c r="AP82" s="2330"/>
      <c r="AQ82" s="2330"/>
      <c r="AR82" s="2330"/>
      <c r="AS82" s="2330"/>
      <c r="AT82" s="2330"/>
      <c r="AU82" s="2330"/>
      <c r="AV82" s="2330"/>
      <c r="AW82" s="2330"/>
      <c r="AX82" s="2330"/>
      <c r="AY82" s="2333"/>
      <c r="AZ82" s="2333"/>
      <c r="BA82" s="2333"/>
      <c r="BB82" s="2334"/>
      <c r="BC82" s="1207"/>
      <c r="BD82" s="1207"/>
      <c r="BE82" s="1213"/>
    </row>
    <row r="83" spans="1:57" ht="15.75" customHeight="1">
      <c r="A83" s="1207"/>
      <c r="B83" s="2260" t="s">
        <v>2247</v>
      </c>
      <c r="C83" s="2261"/>
      <c r="D83" s="2261"/>
      <c r="E83" s="2261"/>
      <c r="F83" s="2261"/>
      <c r="G83" s="2261"/>
      <c r="H83" s="2261"/>
      <c r="I83" s="2336">
        <v>0</v>
      </c>
      <c r="J83" s="2336"/>
      <c r="K83" s="2336"/>
      <c r="L83" s="2336"/>
      <c r="M83" s="2336"/>
      <c r="N83" s="2336"/>
      <c r="O83" s="2336">
        <v>0</v>
      </c>
      <c r="P83" s="2336"/>
      <c r="Q83" s="2336"/>
      <c r="R83" s="2336"/>
      <c r="S83" s="2336"/>
      <c r="T83" s="2336"/>
      <c r="U83" s="2336"/>
      <c r="V83" s="2336">
        <v>0</v>
      </c>
      <c r="W83" s="2336"/>
      <c r="X83" s="2336"/>
      <c r="Y83" s="2336"/>
      <c r="Z83" s="2336"/>
      <c r="AA83" s="2336"/>
      <c r="AB83" s="2336">
        <v>0</v>
      </c>
      <c r="AC83" s="2336"/>
      <c r="AD83" s="2336"/>
      <c r="AE83" s="2336"/>
      <c r="AF83" s="2336"/>
      <c r="AG83" s="2336"/>
      <c r="AH83" s="2345"/>
      <c r="AI83" s="1207"/>
      <c r="AJ83" s="2337" t="s">
        <v>2597</v>
      </c>
      <c r="AK83" s="2338"/>
      <c r="AL83" s="2338"/>
      <c r="AM83" s="2338"/>
      <c r="AN83" s="2338"/>
      <c r="AO83" s="2338"/>
      <c r="AP83" s="2338"/>
      <c r="AQ83" s="2338"/>
      <c r="AR83" s="2338"/>
      <c r="AS83" s="2338"/>
      <c r="AT83" s="2338"/>
      <c r="AU83" s="2338"/>
      <c r="AV83" s="2338"/>
      <c r="AW83" s="2338"/>
      <c r="AX83" s="2338"/>
      <c r="AY83" s="2338"/>
      <c r="AZ83" s="2338"/>
      <c r="BA83" s="2338"/>
      <c r="BB83" s="2339"/>
      <c r="BC83" s="1207"/>
      <c r="BD83" s="1207"/>
      <c r="BE83" s="1213"/>
    </row>
    <row r="84" spans="1:57" ht="15.75" customHeight="1" thickBot="1">
      <c r="A84" s="1207"/>
      <c r="B84" s="2278" t="s">
        <v>1900</v>
      </c>
      <c r="C84" s="2279"/>
      <c r="D84" s="2279"/>
      <c r="E84" s="2279"/>
      <c r="F84" s="2279"/>
      <c r="G84" s="2279"/>
      <c r="H84" s="2279"/>
      <c r="I84" s="2343">
        <v>0</v>
      </c>
      <c r="J84" s="2343"/>
      <c r="K84" s="2343"/>
      <c r="L84" s="2343"/>
      <c r="M84" s="2343"/>
      <c r="N84" s="2343"/>
      <c r="O84" s="2343">
        <v>0</v>
      </c>
      <c r="P84" s="2343"/>
      <c r="Q84" s="2343"/>
      <c r="R84" s="2343"/>
      <c r="S84" s="2343"/>
      <c r="T84" s="2343"/>
      <c r="U84" s="2343"/>
      <c r="V84" s="2343">
        <v>0</v>
      </c>
      <c r="W84" s="2343"/>
      <c r="X84" s="2343"/>
      <c r="Y84" s="2343"/>
      <c r="Z84" s="2343"/>
      <c r="AA84" s="2343"/>
      <c r="AB84" s="2343">
        <v>0</v>
      </c>
      <c r="AC84" s="2343"/>
      <c r="AD84" s="2343"/>
      <c r="AE84" s="2343"/>
      <c r="AF84" s="2343"/>
      <c r="AG84" s="2343"/>
      <c r="AH84" s="2344"/>
      <c r="AI84" s="1207"/>
      <c r="AJ84" s="2340"/>
      <c r="AK84" s="2341"/>
      <c r="AL84" s="2341"/>
      <c r="AM84" s="2341"/>
      <c r="AN84" s="2341"/>
      <c r="AO84" s="2341"/>
      <c r="AP84" s="2341"/>
      <c r="AQ84" s="2341"/>
      <c r="AR84" s="2341"/>
      <c r="AS84" s="2341"/>
      <c r="AT84" s="2341"/>
      <c r="AU84" s="2341"/>
      <c r="AV84" s="2341"/>
      <c r="AW84" s="2341"/>
      <c r="AX84" s="2341"/>
      <c r="AY84" s="2341"/>
      <c r="AZ84" s="2341"/>
      <c r="BA84" s="2341"/>
      <c r="BB84" s="234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9" t="s">
        <v>1902</v>
      </c>
      <c r="C88" s="2310"/>
      <c r="D88" s="2310"/>
      <c r="E88" s="2310"/>
      <c r="F88" s="2310"/>
      <c r="G88" s="2310"/>
      <c r="H88" s="2310"/>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0"/>
      <c r="AF88" s="2310"/>
      <c r="AG88" s="2310"/>
      <c r="AH88" s="2346"/>
      <c r="AI88" s="1207"/>
      <c r="AJ88" s="2327" t="s">
        <v>2598</v>
      </c>
      <c r="AK88" s="2328"/>
      <c r="AL88" s="2328"/>
      <c r="AM88" s="2328"/>
      <c r="AN88" s="2328"/>
      <c r="AO88" s="2328"/>
      <c r="AP88" s="2328"/>
      <c r="AQ88" s="2328"/>
      <c r="AR88" s="2328"/>
      <c r="AS88" s="2328"/>
      <c r="AT88" s="2328"/>
      <c r="AU88" s="2328"/>
      <c r="AV88" s="2328"/>
      <c r="AW88" s="2328"/>
      <c r="AX88" s="2328"/>
      <c r="AY88" s="2331" t="s">
        <v>554</v>
      </c>
      <c r="AZ88" s="2331"/>
      <c r="BA88" s="2331"/>
      <c r="BB88" s="2332"/>
      <c r="BC88" s="1207"/>
      <c r="BD88" s="1207"/>
      <c r="BE88" s="1213"/>
    </row>
    <row r="89" spans="1:57" ht="16.5" customHeight="1">
      <c r="A89" s="1207"/>
      <c r="B89" s="2260"/>
      <c r="C89" s="2261"/>
      <c r="D89" s="2261"/>
      <c r="E89" s="2261"/>
      <c r="F89" s="2261"/>
      <c r="G89" s="2261"/>
      <c r="H89" s="2261"/>
      <c r="I89" s="2261" t="s">
        <v>1897</v>
      </c>
      <c r="J89" s="2261"/>
      <c r="K89" s="2261"/>
      <c r="L89" s="2261"/>
      <c r="M89" s="2261"/>
      <c r="N89" s="2261"/>
      <c r="O89" s="2261" t="s">
        <v>1898</v>
      </c>
      <c r="P89" s="2261"/>
      <c r="Q89" s="2261"/>
      <c r="R89" s="2261"/>
      <c r="S89" s="2261"/>
      <c r="T89" s="2261"/>
      <c r="U89" s="2261"/>
      <c r="V89" s="2335" t="s">
        <v>2263</v>
      </c>
      <c r="W89" s="2335"/>
      <c r="X89" s="2335"/>
      <c r="Y89" s="2335"/>
      <c r="Z89" s="2335"/>
      <c r="AA89" s="2335"/>
      <c r="AB89" s="2240" t="s">
        <v>1899</v>
      </c>
      <c r="AC89" s="2240"/>
      <c r="AD89" s="2240"/>
      <c r="AE89" s="2240"/>
      <c r="AF89" s="2240"/>
      <c r="AG89" s="2240"/>
      <c r="AH89" s="2241"/>
      <c r="AI89" s="1207"/>
      <c r="AJ89" s="2329"/>
      <c r="AK89" s="2330"/>
      <c r="AL89" s="2330"/>
      <c r="AM89" s="2330"/>
      <c r="AN89" s="2330"/>
      <c r="AO89" s="2330"/>
      <c r="AP89" s="2330"/>
      <c r="AQ89" s="2330"/>
      <c r="AR89" s="2330"/>
      <c r="AS89" s="2330"/>
      <c r="AT89" s="2330"/>
      <c r="AU89" s="2330"/>
      <c r="AV89" s="2330"/>
      <c r="AW89" s="2330"/>
      <c r="AX89" s="2330"/>
      <c r="AY89" s="2333"/>
      <c r="AZ89" s="2333"/>
      <c r="BA89" s="2333"/>
      <c r="BB89" s="2334"/>
      <c r="BC89" s="1207"/>
      <c r="BD89" s="1207"/>
      <c r="BE89" s="1213"/>
    </row>
    <row r="90" spans="1:57" ht="16.5" customHeight="1">
      <c r="A90" s="1207"/>
      <c r="B90" s="2260"/>
      <c r="C90" s="2261"/>
      <c r="D90" s="2261"/>
      <c r="E90" s="2261"/>
      <c r="F90" s="2261"/>
      <c r="G90" s="2261"/>
      <c r="H90" s="2261"/>
      <c r="I90" s="2261"/>
      <c r="J90" s="2261"/>
      <c r="K90" s="2261"/>
      <c r="L90" s="2261"/>
      <c r="M90" s="2261"/>
      <c r="N90" s="2261"/>
      <c r="O90" s="2261"/>
      <c r="P90" s="2261"/>
      <c r="Q90" s="2261"/>
      <c r="R90" s="2261"/>
      <c r="S90" s="2261"/>
      <c r="T90" s="2261"/>
      <c r="U90" s="2261"/>
      <c r="V90" s="2335"/>
      <c r="W90" s="2335"/>
      <c r="X90" s="2335"/>
      <c r="Y90" s="2335"/>
      <c r="Z90" s="2335"/>
      <c r="AA90" s="2335"/>
      <c r="AB90" s="2240"/>
      <c r="AC90" s="2240"/>
      <c r="AD90" s="2240"/>
      <c r="AE90" s="2240"/>
      <c r="AF90" s="2240"/>
      <c r="AG90" s="2240"/>
      <c r="AH90" s="2241"/>
      <c r="AI90" s="1207"/>
      <c r="AJ90" s="2329"/>
      <c r="AK90" s="2330"/>
      <c r="AL90" s="2330"/>
      <c r="AM90" s="2330"/>
      <c r="AN90" s="2330"/>
      <c r="AO90" s="2330"/>
      <c r="AP90" s="2330"/>
      <c r="AQ90" s="2330"/>
      <c r="AR90" s="2330"/>
      <c r="AS90" s="2330"/>
      <c r="AT90" s="2330"/>
      <c r="AU90" s="2330"/>
      <c r="AV90" s="2330"/>
      <c r="AW90" s="2330"/>
      <c r="AX90" s="2330"/>
      <c r="AY90" s="2333"/>
      <c r="AZ90" s="2333"/>
      <c r="BA90" s="2333"/>
      <c r="BB90" s="2334"/>
      <c r="BC90" s="1207"/>
      <c r="BD90" s="1207"/>
      <c r="BE90" s="1213"/>
    </row>
    <row r="91" spans="1:57" ht="15.75" customHeight="1">
      <c r="A91" s="1207"/>
      <c r="B91" s="2260" t="s">
        <v>2246</v>
      </c>
      <c r="C91" s="2261"/>
      <c r="D91" s="2261"/>
      <c r="E91" s="2261"/>
      <c r="F91" s="2261"/>
      <c r="G91" s="2261"/>
      <c r="H91" s="2261"/>
      <c r="I91" s="2336">
        <v>0</v>
      </c>
      <c r="J91" s="2336"/>
      <c r="K91" s="2336"/>
      <c r="L91" s="2336"/>
      <c r="M91" s="2336"/>
      <c r="N91" s="2336"/>
      <c r="O91" s="2336">
        <v>0</v>
      </c>
      <c r="P91" s="2336"/>
      <c r="Q91" s="2336"/>
      <c r="R91" s="2336"/>
      <c r="S91" s="2336"/>
      <c r="T91" s="2336"/>
      <c r="U91" s="2336"/>
      <c r="V91" s="2336">
        <v>0</v>
      </c>
      <c r="W91" s="2336"/>
      <c r="X91" s="2336"/>
      <c r="Y91" s="2336"/>
      <c r="Z91" s="2336"/>
      <c r="AA91" s="2336"/>
      <c r="AB91" s="2336">
        <v>0</v>
      </c>
      <c r="AC91" s="2336"/>
      <c r="AD91" s="2336"/>
      <c r="AE91" s="2336"/>
      <c r="AF91" s="2336"/>
      <c r="AG91" s="2336"/>
      <c r="AH91" s="2345"/>
      <c r="AI91" s="1207"/>
      <c r="AJ91" s="2329"/>
      <c r="AK91" s="2330"/>
      <c r="AL91" s="2330"/>
      <c r="AM91" s="2330"/>
      <c r="AN91" s="2330"/>
      <c r="AO91" s="2330"/>
      <c r="AP91" s="2330"/>
      <c r="AQ91" s="2330"/>
      <c r="AR91" s="2330"/>
      <c r="AS91" s="2330"/>
      <c r="AT91" s="2330"/>
      <c r="AU91" s="2330"/>
      <c r="AV91" s="2330"/>
      <c r="AW91" s="2330"/>
      <c r="AX91" s="2330"/>
      <c r="AY91" s="2333"/>
      <c r="AZ91" s="2333"/>
      <c r="BA91" s="2333"/>
      <c r="BB91" s="2334"/>
      <c r="BC91" s="1207"/>
      <c r="BD91" s="1207"/>
      <c r="BE91" s="1213"/>
    </row>
    <row r="92" spans="1:57" ht="15.75" customHeight="1">
      <c r="A92" s="1207"/>
      <c r="B92" s="2260" t="s">
        <v>2247</v>
      </c>
      <c r="C92" s="2261"/>
      <c r="D92" s="2261"/>
      <c r="E92" s="2261"/>
      <c r="F92" s="2261"/>
      <c r="G92" s="2261"/>
      <c r="H92" s="2261"/>
      <c r="I92" s="2336">
        <v>0</v>
      </c>
      <c r="J92" s="2336"/>
      <c r="K92" s="2336"/>
      <c r="L92" s="2336"/>
      <c r="M92" s="2336"/>
      <c r="N92" s="2336"/>
      <c r="O92" s="2336">
        <v>0</v>
      </c>
      <c r="P92" s="2336"/>
      <c r="Q92" s="2336"/>
      <c r="R92" s="2336"/>
      <c r="S92" s="2336"/>
      <c r="T92" s="2336"/>
      <c r="U92" s="2336"/>
      <c r="V92" s="2336">
        <v>0</v>
      </c>
      <c r="W92" s="2336"/>
      <c r="X92" s="2336"/>
      <c r="Y92" s="2336"/>
      <c r="Z92" s="2336"/>
      <c r="AA92" s="2336"/>
      <c r="AB92" s="2336">
        <v>0</v>
      </c>
      <c r="AC92" s="2336"/>
      <c r="AD92" s="2336"/>
      <c r="AE92" s="2336"/>
      <c r="AF92" s="2336"/>
      <c r="AG92" s="2336"/>
      <c r="AH92" s="2345"/>
      <c r="AI92" s="1207"/>
      <c r="AJ92" s="2337" t="s">
        <v>2264</v>
      </c>
      <c r="AK92" s="2338"/>
      <c r="AL92" s="2338"/>
      <c r="AM92" s="2338"/>
      <c r="AN92" s="2338"/>
      <c r="AO92" s="2338"/>
      <c r="AP92" s="2338"/>
      <c r="AQ92" s="2338"/>
      <c r="AR92" s="2338"/>
      <c r="AS92" s="2338"/>
      <c r="AT92" s="2338"/>
      <c r="AU92" s="2338"/>
      <c r="AV92" s="2338"/>
      <c r="AW92" s="2338"/>
      <c r="AX92" s="2338"/>
      <c r="AY92" s="2338"/>
      <c r="AZ92" s="2338"/>
      <c r="BA92" s="2338"/>
      <c r="BB92" s="2339"/>
      <c r="BC92" s="1207"/>
      <c r="BD92" s="1207"/>
      <c r="BE92" s="1213"/>
    </row>
    <row r="93" spans="1:57" ht="15.75" customHeight="1" thickBot="1">
      <c r="A93" s="1207"/>
      <c r="B93" s="2278" t="s">
        <v>1900</v>
      </c>
      <c r="C93" s="2279"/>
      <c r="D93" s="2279"/>
      <c r="E93" s="2279"/>
      <c r="F93" s="2279"/>
      <c r="G93" s="2279"/>
      <c r="H93" s="2279"/>
      <c r="I93" s="2343">
        <v>0</v>
      </c>
      <c r="J93" s="2343"/>
      <c r="K93" s="2343"/>
      <c r="L93" s="2343"/>
      <c r="M93" s="2343"/>
      <c r="N93" s="2343"/>
      <c r="O93" s="2343">
        <v>0</v>
      </c>
      <c r="P93" s="2343"/>
      <c r="Q93" s="2343"/>
      <c r="R93" s="2343"/>
      <c r="S93" s="2343"/>
      <c r="T93" s="2343"/>
      <c r="U93" s="2343"/>
      <c r="V93" s="2343">
        <v>0</v>
      </c>
      <c r="W93" s="2343"/>
      <c r="X93" s="2343"/>
      <c r="Y93" s="2343"/>
      <c r="Z93" s="2343"/>
      <c r="AA93" s="2343"/>
      <c r="AB93" s="2343">
        <v>0</v>
      </c>
      <c r="AC93" s="2343"/>
      <c r="AD93" s="2343"/>
      <c r="AE93" s="2343"/>
      <c r="AF93" s="2343"/>
      <c r="AG93" s="2343"/>
      <c r="AH93" s="2344"/>
      <c r="AI93" s="1207"/>
      <c r="AJ93" s="2340"/>
      <c r="AK93" s="2341"/>
      <c r="AL93" s="2341"/>
      <c r="AM93" s="2341"/>
      <c r="AN93" s="2341"/>
      <c r="AO93" s="2341"/>
      <c r="AP93" s="2341"/>
      <c r="AQ93" s="2341"/>
      <c r="AR93" s="2341"/>
      <c r="AS93" s="2341"/>
      <c r="AT93" s="2341"/>
      <c r="AU93" s="2341"/>
      <c r="AV93" s="2341"/>
      <c r="AW93" s="2341"/>
      <c r="AX93" s="2341"/>
      <c r="AY93" s="2341"/>
      <c r="AZ93" s="2341"/>
      <c r="BA93" s="2341"/>
      <c r="BB93" s="234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7" t="s">
        <v>2248</v>
      </c>
      <c r="Y96" s="2328"/>
      <c r="Z96" s="2328"/>
      <c r="AA96" s="2328"/>
      <c r="AB96" s="2328"/>
      <c r="AC96" s="2328"/>
      <c r="AD96" s="2328"/>
      <c r="AE96" s="2328"/>
      <c r="AF96" s="2328"/>
      <c r="AG96" s="2328"/>
      <c r="AH96" s="2328"/>
      <c r="AI96" s="2328"/>
      <c r="AJ96" s="2328"/>
      <c r="AK96" s="2328"/>
      <c r="AL96" s="2328"/>
      <c r="AM96" s="2328"/>
      <c r="AN96" s="2328"/>
      <c r="AO96" s="2328"/>
      <c r="AP96" s="2328"/>
      <c r="AQ96" s="2328"/>
      <c r="AR96" s="2328"/>
      <c r="AS96" s="2328"/>
      <c r="AT96" s="2328"/>
      <c r="AU96" s="2328"/>
      <c r="AV96" s="2328"/>
      <c r="AW96" s="2328"/>
      <c r="AX96" s="2328"/>
      <c r="AY96" s="2328"/>
      <c r="AZ96" s="2328"/>
      <c r="BA96" s="2328"/>
      <c r="BB96" s="2328"/>
      <c r="BC96" s="2328"/>
      <c r="BD96" s="2353"/>
      <c r="BE96" s="1213"/>
    </row>
    <row r="97" spans="1:57" ht="15.75" customHeight="1">
      <c r="A97" s="1207"/>
      <c r="B97" s="2355" t="s">
        <v>1754</v>
      </c>
      <c r="C97" s="2356"/>
      <c r="D97" s="2356"/>
      <c r="E97" s="2356"/>
      <c r="F97" s="2356"/>
      <c r="G97" s="2356"/>
      <c r="H97" s="2356"/>
      <c r="I97" s="2356"/>
      <c r="J97" s="2356"/>
      <c r="K97" s="2356"/>
      <c r="L97" s="2356"/>
      <c r="M97" s="2356"/>
      <c r="N97" s="2356"/>
      <c r="O97" s="2356"/>
      <c r="P97" s="2356"/>
      <c r="Q97" s="2356"/>
      <c r="R97" s="2356"/>
      <c r="S97" s="2356"/>
      <c r="T97" s="2356"/>
      <c r="U97" s="2357"/>
      <c r="V97" s="1207"/>
      <c r="W97" s="1207"/>
      <c r="X97" s="2329"/>
      <c r="Y97" s="2330"/>
      <c r="Z97" s="2330"/>
      <c r="AA97" s="2330"/>
      <c r="AB97" s="2330"/>
      <c r="AC97" s="2330"/>
      <c r="AD97" s="2330"/>
      <c r="AE97" s="2330"/>
      <c r="AF97" s="2330"/>
      <c r="AG97" s="2330"/>
      <c r="AH97" s="2330"/>
      <c r="AI97" s="2330"/>
      <c r="AJ97" s="2330"/>
      <c r="AK97" s="2330"/>
      <c r="AL97" s="2330"/>
      <c r="AM97" s="2330"/>
      <c r="AN97" s="2330"/>
      <c r="AO97" s="2330"/>
      <c r="AP97" s="2330"/>
      <c r="AQ97" s="2330"/>
      <c r="AR97" s="2330"/>
      <c r="AS97" s="2330"/>
      <c r="AT97" s="2330"/>
      <c r="AU97" s="2330"/>
      <c r="AV97" s="2330"/>
      <c r="AW97" s="2330"/>
      <c r="AX97" s="2330"/>
      <c r="AY97" s="2330"/>
      <c r="AZ97" s="2330"/>
      <c r="BA97" s="2330"/>
      <c r="BB97" s="2330"/>
      <c r="BC97" s="2330"/>
      <c r="BD97" s="2354"/>
      <c r="BE97" s="1213"/>
    </row>
    <row r="98" spans="1:57" ht="15.75" customHeight="1">
      <c r="A98" s="1207"/>
      <c r="B98" s="2349"/>
      <c r="C98" s="2350"/>
      <c r="D98" s="2350"/>
      <c r="E98" s="2350"/>
      <c r="F98" s="2350"/>
      <c r="G98" s="2350"/>
      <c r="H98" s="2350"/>
      <c r="I98" s="2261" t="s">
        <v>2249</v>
      </c>
      <c r="J98" s="2261"/>
      <c r="K98" s="2261"/>
      <c r="L98" s="2261"/>
      <c r="M98" s="2261"/>
      <c r="N98" s="2261"/>
      <c r="O98" s="2358" t="s">
        <v>2250</v>
      </c>
      <c r="P98" s="2358"/>
      <c r="Q98" s="2358"/>
      <c r="R98" s="2358"/>
      <c r="S98" s="2358"/>
      <c r="T98" s="2358"/>
      <c r="U98" s="2359"/>
      <c r="V98" s="1207"/>
      <c r="W98" s="1207"/>
      <c r="X98" s="2313" t="s">
        <v>2262</v>
      </c>
      <c r="Y98" s="2314"/>
      <c r="Z98" s="2314"/>
      <c r="AA98" s="2314"/>
      <c r="AB98" s="2314"/>
      <c r="AC98" s="2314"/>
      <c r="AD98" s="2314"/>
      <c r="AE98" s="2314"/>
      <c r="AF98" s="2314"/>
      <c r="AG98" s="2314"/>
      <c r="AH98" s="2314"/>
      <c r="AI98" s="2314"/>
      <c r="AJ98" s="2314"/>
      <c r="AK98" s="2314"/>
      <c r="AL98" s="2314"/>
      <c r="AM98" s="2314"/>
      <c r="AN98" s="2314"/>
      <c r="AO98" s="2314"/>
      <c r="AP98" s="2314"/>
      <c r="AQ98" s="2314"/>
      <c r="AR98" s="2314"/>
      <c r="AS98" s="2314"/>
      <c r="AT98" s="2314"/>
      <c r="AU98" s="2314"/>
      <c r="AV98" s="2314"/>
      <c r="AW98" s="2314"/>
      <c r="AX98" s="2314"/>
      <c r="AY98" s="2314"/>
      <c r="AZ98" s="2314"/>
      <c r="BA98" s="2314"/>
      <c r="BB98" s="2314"/>
      <c r="BC98" s="2314"/>
      <c r="BD98" s="2315"/>
      <c r="BE98" s="1213"/>
    </row>
    <row r="99" spans="1:57" ht="15.75" customHeight="1">
      <c r="A99" s="1207"/>
      <c r="B99" s="2360" t="s">
        <v>2251</v>
      </c>
      <c r="C99" s="2361"/>
      <c r="D99" s="2361"/>
      <c r="E99" s="2361"/>
      <c r="F99" s="2361"/>
      <c r="G99" s="2361"/>
      <c r="H99" s="2361"/>
      <c r="I99" s="2336">
        <v>0</v>
      </c>
      <c r="J99" s="2336"/>
      <c r="K99" s="2336"/>
      <c r="L99" s="2336"/>
      <c r="M99" s="2336"/>
      <c r="N99" s="2336"/>
      <c r="O99" s="2336">
        <v>0</v>
      </c>
      <c r="P99" s="2336"/>
      <c r="Q99" s="2336"/>
      <c r="R99" s="2336"/>
      <c r="S99" s="2336"/>
      <c r="T99" s="2336"/>
      <c r="U99" s="2345"/>
      <c r="V99" s="1207"/>
      <c r="W99" s="1207"/>
      <c r="X99" s="2313"/>
      <c r="Y99" s="2314"/>
      <c r="Z99" s="2314"/>
      <c r="AA99" s="2314"/>
      <c r="AB99" s="2314"/>
      <c r="AC99" s="2314"/>
      <c r="AD99" s="2314"/>
      <c r="AE99" s="2314"/>
      <c r="AF99" s="2314"/>
      <c r="AG99" s="2314"/>
      <c r="AH99" s="2314"/>
      <c r="AI99" s="2314"/>
      <c r="AJ99" s="2314"/>
      <c r="AK99" s="2314"/>
      <c r="AL99" s="2314"/>
      <c r="AM99" s="2314"/>
      <c r="AN99" s="2314"/>
      <c r="AO99" s="2314"/>
      <c r="AP99" s="2314"/>
      <c r="AQ99" s="2314"/>
      <c r="AR99" s="2314"/>
      <c r="AS99" s="2314"/>
      <c r="AT99" s="2314"/>
      <c r="AU99" s="2314"/>
      <c r="AV99" s="2314"/>
      <c r="AW99" s="2314"/>
      <c r="AX99" s="2314"/>
      <c r="AY99" s="2314"/>
      <c r="AZ99" s="2314"/>
      <c r="BA99" s="2314"/>
      <c r="BB99" s="2314"/>
      <c r="BC99" s="2314"/>
      <c r="BD99" s="2315"/>
      <c r="BE99" s="1213"/>
    </row>
    <row r="100" spans="1:57" ht="15.75" customHeight="1" thickBot="1">
      <c r="A100" s="1207"/>
      <c r="B100" s="2362" t="s">
        <v>2252</v>
      </c>
      <c r="C100" s="2363"/>
      <c r="D100" s="2363"/>
      <c r="E100" s="2363"/>
      <c r="F100" s="2363"/>
      <c r="G100" s="2363"/>
      <c r="H100" s="2363"/>
      <c r="I100" s="2343">
        <v>0</v>
      </c>
      <c r="J100" s="2343"/>
      <c r="K100" s="2343"/>
      <c r="L100" s="2343"/>
      <c r="M100" s="2343"/>
      <c r="N100" s="2343"/>
      <c r="O100" s="2347"/>
      <c r="P100" s="2347"/>
      <c r="Q100" s="2347"/>
      <c r="R100" s="2347"/>
      <c r="S100" s="2347"/>
      <c r="T100" s="2347"/>
      <c r="U100" s="2348"/>
      <c r="V100" s="1207"/>
      <c r="W100" s="1207"/>
      <c r="X100" s="2313"/>
      <c r="Y100" s="2314"/>
      <c r="Z100" s="2314"/>
      <c r="AA100" s="2314"/>
      <c r="AB100" s="2314"/>
      <c r="AC100" s="2314"/>
      <c r="AD100" s="2314"/>
      <c r="AE100" s="2314"/>
      <c r="AF100" s="2314"/>
      <c r="AG100" s="2314"/>
      <c r="AH100" s="2314"/>
      <c r="AI100" s="2314"/>
      <c r="AJ100" s="2314"/>
      <c r="AK100" s="2314"/>
      <c r="AL100" s="2314"/>
      <c r="AM100" s="2314"/>
      <c r="AN100" s="2314"/>
      <c r="AO100" s="2314"/>
      <c r="AP100" s="2314"/>
      <c r="AQ100" s="2314"/>
      <c r="AR100" s="2314"/>
      <c r="AS100" s="2314"/>
      <c r="AT100" s="2314"/>
      <c r="AU100" s="2314"/>
      <c r="AV100" s="2314"/>
      <c r="AW100" s="2314"/>
      <c r="AX100" s="2314"/>
      <c r="AY100" s="2314"/>
      <c r="AZ100" s="2314"/>
      <c r="BA100" s="2314"/>
      <c r="BB100" s="2314"/>
      <c r="BC100" s="2314"/>
      <c r="BD100" s="231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3"/>
      <c r="Y101" s="2314"/>
      <c r="Z101" s="2314"/>
      <c r="AA101" s="2314"/>
      <c r="AB101" s="2314"/>
      <c r="AC101" s="2314"/>
      <c r="AD101" s="2314"/>
      <c r="AE101" s="2314"/>
      <c r="AF101" s="2314"/>
      <c r="AG101" s="2314"/>
      <c r="AH101" s="2314"/>
      <c r="AI101" s="2314"/>
      <c r="AJ101" s="2314"/>
      <c r="AK101" s="2314"/>
      <c r="AL101" s="2314"/>
      <c r="AM101" s="2314"/>
      <c r="AN101" s="2314"/>
      <c r="AO101" s="2314"/>
      <c r="AP101" s="2314"/>
      <c r="AQ101" s="2314"/>
      <c r="AR101" s="2314"/>
      <c r="AS101" s="2314"/>
      <c r="AT101" s="2314"/>
      <c r="AU101" s="2314"/>
      <c r="AV101" s="2314"/>
      <c r="AW101" s="2314"/>
      <c r="AX101" s="2314"/>
      <c r="AY101" s="2314"/>
      <c r="AZ101" s="2314"/>
      <c r="BA101" s="2314"/>
      <c r="BB101" s="2314"/>
      <c r="BC101" s="2314"/>
      <c r="BD101" s="2315"/>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13"/>
      <c r="Y102" s="2314"/>
      <c r="Z102" s="2314"/>
      <c r="AA102" s="2314"/>
      <c r="AB102" s="2314"/>
      <c r="AC102" s="2314"/>
      <c r="AD102" s="2314"/>
      <c r="AE102" s="2314"/>
      <c r="AF102" s="2314"/>
      <c r="AG102" s="2314"/>
      <c r="AH102" s="2314"/>
      <c r="AI102" s="2314"/>
      <c r="AJ102" s="2314"/>
      <c r="AK102" s="2314"/>
      <c r="AL102" s="2314"/>
      <c r="AM102" s="2314"/>
      <c r="AN102" s="2314"/>
      <c r="AO102" s="2314"/>
      <c r="AP102" s="2314"/>
      <c r="AQ102" s="2314"/>
      <c r="AR102" s="2314"/>
      <c r="AS102" s="2314"/>
      <c r="AT102" s="2314"/>
      <c r="AU102" s="2314"/>
      <c r="AV102" s="2314"/>
      <c r="AW102" s="2314"/>
      <c r="AX102" s="2314"/>
      <c r="AY102" s="2314"/>
      <c r="AZ102" s="2314"/>
      <c r="BA102" s="2314"/>
      <c r="BB102" s="2314"/>
      <c r="BC102" s="2314"/>
      <c r="BD102" s="231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3"/>
      <c r="Y103" s="2314"/>
      <c r="Z103" s="2314"/>
      <c r="AA103" s="2314"/>
      <c r="AB103" s="2314"/>
      <c r="AC103" s="2314"/>
      <c r="AD103" s="2314"/>
      <c r="AE103" s="2314"/>
      <c r="AF103" s="2314"/>
      <c r="AG103" s="2314"/>
      <c r="AH103" s="2314"/>
      <c r="AI103" s="2314"/>
      <c r="AJ103" s="2314"/>
      <c r="AK103" s="2314"/>
      <c r="AL103" s="2314"/>
      <c r="AM103" s="2314"/>
      <c r="AN103" s="2314"/>
      <c r="AO103" s="2314"/>
      <c r="AP103" s="2314"/>
      <c r="AQ103" s="2314"/>
      <c r="AR103" s="2314"/>
      <c r="AS103" s="2314"/>
      <c r="AT103" s="2314"/>
      <c r="AU103" s="2314"/>
      <c r="AV103" s="2314"/>
      <c r="AW103" s="2314"/>
      <c r="AX103" s="2314"/>
      <c r="AY103" s="2314"/>
      <c r="AZ103" s="2314"/>
      <c r="BA103" s="2314"/>
      <c r="BB103" s="2314"/>
      <c r="BC103" s="2314"/>
      <c r="BD103" s="2315"/>
      <c r="BE103" s="1213"/>
    </row>
    <row r="104" spans="1:57" ht="15.75" customHeight="1">
      <c r="A104" s="1207"/>
      <c r="B104" s="2194" t="s">
        <v>1905</v>
      </c>
      <c r="C104" s="2195"/>
      <c r="D104" s="2195"/>
      <c r="E104" s="2195"/>
      <c r="F104" s="2195"/>
      <c r="G104" s="2195"/>
      <c r="H104" s="2195"/>
      <c r="I104" s="2195"/>
      <c r="J104" s="2195"/>
      <c r="K104" s="2195"/>
      <c r="L104" s="2195"/>
      <c r="M104" s="2195"/>
      <c r="N104" s="2195"/>
      <c r="O104" s="2195"/>
      <c r="P104" s="2195"/>
      <c r="Q104" s="2195"/>
      <c r="R104" s="2195"/>
      <c r="S104" s="2195"/>
      <c r="T104" s="2195"/>
      <c r="U104" s="2196"/>
      <c r="V104" s="1207"/>
      <c r="W104" s="1207"/>
      <c r="X104" s="2313"/>
      <c r="Y104" s="2314"/>
      <c r="Z104" s="2314"/>
      <c r="AA104" s="2314"/>
      <c r="AB104" s="2314"/>
      <c r="AC104" s="2314"/>
      <c r="AD104" s="2314"/>
      <c r="AE104" s="2314"/>
      <c r="AF104" s="2314"/>
      <c r="AG104" s="2314"/>
      <c r="AH104" s="2314"/>
      <c r="AI104" s="2314"/>
      <c r="AJ104" s="2314"/>
      <c r="AK104" s="2314"/>
      <c r="AL104" s="2314"/>
      <c r="AM104" s="2314"/>
      <c r="AN104" s="2314"/>
      <c r="AO104" s="2314"/>
      <c r="AP104" s="2314"/>
      <c r="AQ104" s="2314"/>
      <c r="AR104" s="2314"/>
      <c r="AS104" s="2314"/>
      <c r="AT104" s="2314"/>
      <c r="AU104" s="2314"/>
      <c r="AV104" s="2314"/>
      <c r="AW104" s="2314"/>
      <c r="AX104" s="2314"/>
      <c r="AY104" s="2314"/>
      <c r="AZ104" s="2314"/>
      <c r="BA104" s="2314"/>
      <c r="BB104" s="2314"/>
      <c r="BC104" s="2314"/>
      <c r="BD104" s="2315"/>
      <c r="BE104" s="1213"/>
    </row>
    <row r="105" spans="1:57" ht="15.75" customHeight="1">
      <c r="A105" s="1207"/>
      <c r="B105" s="2349"/>
      <c r="C105" s="2350"/>
      <c r="D105" s="2350"/>
      <c r="E105" s="2350"/>
      <c r="F105" s="2350"/>
      <c r="G105" s="2350"/>
      <c r="H105" s="2350"/>
      <c r="I105" s="2351" t="s">
        <v>1898</v>
      </c>
      <c r="J105" s="2351"/>
      <c r="K105" s="2351"/>
      <c r="L105" s="2351"/>
      <c r="M105" s="2351"/>
      <c r="N105" s="2351"/>
      <c r="O105" s="2351"/>
      <c r="P105" s="2351" t="s">
        <v>2263</v>
      </c>
      <c r="Q105" s="2351"/>
      <c r="R105" s="2351"/>
      <c r="S105" s="2351"/>
      <c r="T105" s="2351"/>
      <c r="U105" s="2352"/>
      <c r="V105" s="1207"/>
      <c r="W105" s="1207"/>
      <c r="X105" s="2313"/>
      <c r="Y105" s="2314"/>
      <c r="Z105" s="2314"/>
      <c r="AA105" s="2314"/>
      <c r="AB105" s="2314"/>
      <c r="AC105" s="2314"/>
      <c r="AD105" s="2314"/>
      <c r="AE105" s="2314"/>
      <c r="AF105" s="2314"/>
      <c r="AG105" s="2314"/>
      <c r="AH105" s="2314"/>
      <c r="AI105" s="2314"/>
      <c r="AJ105" s="2314"/>
      <c r="AK105" s="2314"/>
      <c r="AL105" s="2314"/>
      <c r="AM105" s="2314"/>
      <c r="AN105" s="2314"/>
      <c r="AO105" s="2314"/>
      <c r="AP105" s="2314"/>
      <c r="AQ105" s="2314"/>
      <c r="AR105" s="2314"/>
      <c r="AS105" s="2314"/>
      <c r="AT105" s="2314"/>
      <c r="AU105" s="2314"/>
      <c r="AV105" s="2314"/>
      <c r="AW105" s="2314"/>
      <c r="AX105" s="2314"/>
      <c r="AY105" s="2314"/>
      <c r="AZ105" s="2314"/>
      <c r="BA105" s="2314"/>
      <c r="BB105" s="2314"/>
      <c r="BC105" s="2314"/>
      <c r="BD105" s="2315"/>
      <c r="BE105" s="1213"/>
    </row>
    <row r="106" spans="1:57" ht="15.75" customHeight="1">
      <c r="A106" s="1207"/>
      <c r="B106" s="2349"/>
      <c r="C106" s="2350"/>
      <c r="D106" s="2350"/>
      <c r="E106" s="2350"/>
      <c r="F106" s="2350"/>
      <c r="G106" s="2350"/>
      <c r="H106" s="2350"/>
      <c r="I106" s="2351"/>
      <c r="J106" s="2351"/>
      <c r="K106" s="2351"/>
      <c r="L106" s="2351"/>
      <c r="M106" s="2351"/>
      <c r="N106" s="2351"/>
      <c r="O106" s="2351"/>
      <c r="P106" s="2351"/>
      <c r="Q106" s="2351"/>
      <c r="R106" s="2351"/>
      <c r="S106" s="2351"/>
      <c r="T106" s="2351"/>
      <c r="U106" s="2352"/>
      <c r="V106" s="1207"/>
      <c r="W106" s="1207"/>
      <c r="X106" s="2313"/>
      <c r="Y106" s="2314"/>
      <c r="Z106" s="2314"/>
      <c r="AA106" s="2314"/>
      <c r="AB106" s="2314"/>
      <c r="AC106" s="2314"/>
      <c r="AD106" s="2314"/>
      <c r="AE106" s="2314"/>
      <c r="AF106" s="2314"/>
      <c r="AG106" s="2314"/>
      <c r="AH106" s="2314"/>
      <c r="AI106" s="2314"/>
      <c r="AJ106" s="2314"/>
      <c r="AK106" s="2314"/>
      <c r="AL106" s="2314"/>
      <c r="AM106" s="2314"/>
      <c r="AN106" s="2314"/>
      <c r="AO106" s="2314"/>
      <c r="AP106" s="2314"/>
      <c r="AQ106" s="2314"/>
      <c r="AR106" s="2314"/>
      <c r="AS106" s="2314"/>
      <c r="AT106" s="2314"/>
      <c r="AU106" s="2314"/>
      <c r="AV106" s="2314"/>
      <c r="AW106" s="2314"/>
      <c r="AX106" s="2314"/>
      <c r="AY106" s="2314"/>
      <c r="AZ106" s="2314"/>
      <c r="BA106" s="2314"/>
      <c r="BB106" s="2314"/>
      <c r="BC106" s="2314"/>
      <c r="BD106" s="2315"/>
      <c r="BE106" s="1213"/>
    </row>
    <row r="107" spans="1:57" ht="15.75" customHeight="1">
      <c r="A107" s="1207"/>
      <c r="B107" s="2360" t="s">
        <v>2251</v>
      </c>
      <c r="C107" s="2361"/>
      <c r="D107" s="2361"/>
      <c r="E107" s="2361"/>
      <c r="F107" s="2361"/>
      <c r="G107" s="2361"/>
      <c r="H107" s="2361"/>
      <c r="I107" s="2336">
        <v>0</v>
      </c>
      <c r="J107" s="2336"/>
      <c r="K107" s="2336"/>
      <c r="L107" s="2336"/>
      <c r="M107" s="2336"/>
      <c r="N107" s="2336"/>
      <c r="O107" s="2336"/>
      <c r="P107" s="2336">
        <v>0</v>
      </c>
      <c r="Q107" s="2336"/>
      <c r="R107" s="2336"/>
      <c r="S107" s="2336"/>
      <c r="T107" s="2336"/>
      <c r="U107" s="2345"/>
      <c r="V107" s="1207"/>
      <c r="W107" s="1207"/>
      <c r="X107" s="2313"/>
      <c r="Y107" s="2314"/>
      <c r="Z107" s="2314"/>
      <c r="AA107" s="2314"/>
      <c r="AB107" s="2314"/>
      <c r="AC107" s="2314"/>
      <c r="AD107" s="2314"/>
      <c r="AE107" s="2314"/>
      <c r="AF107" s="2314"/>
      <c r="AG107" s="2314"/>
      <c r="AH107" s="2314"/>
      <c r="AI107" s="2314"/>
      <c r="AJ107" s="2314"/>
      <c r="AK107" s="2314"/>
      <c r="AL107" s="2314"/>
      <c r="AM107" s="2314"/>
      <c r="AN107" s="2314"/>
      <c r="AO107" s="2314"/>
      <c r="AP107" s="2314"/>
      <c r="AQ107" s="2314"/>
      <c r="AR107" s="2314"/>
      <c r="AS107" s="2314"/>
      <c r="AT107" s="2314"/>
      <c r="AU107" s="2314"/>
      <c r="AV107" s="2314"/>
      <c r="AW107" s="2314"/>
      <c r="AX107" s="2314"/>
      <c r="AY107" s="2314"/>
      <c r="AZ107" s="2314"/>
      <c r="BA107" s="2314"/>
      <c r="BB107" s="2314"/>
      <c r="BC107" s="2314"/>
      <c r="BD107" s="2315"/>
      <c r="BE107" s="1213"/>
    </row>
    <row r="108" spans="1:57" ht="15.75" customHeight="1" thickBot="1">
      <c r="A108" s="1207"/>
      <c r="B108" s="2362" t="s">
        <v>2252</v>
      </c>
      <c r="C108" s="2363"/>
      <c r="D108" s="2363"/>
      <c r="E108" s="2363"/>
      <c r="F108" s="2363"/>
      <c r="G108" s="2363"/>
      <c r="H108" s="2363"/>
      <c r="I108" s="2343">
        <v>0</v>
      </c>
      <c r="J108" s="2343"/>
      <c r="K108" s="2343"/>
      <c r="L108" s="2343"/>
      <c r="M108" s="2343"/>
      <c r="N108" s="2343"/>
      <c r="O108" s="2343"/>
      <c r="P108" s="2343">
        <v>0</v>
      </c>
      <c r="Q108" s="2343"/>
      <c r="R108" s="2343"/>
      <c r="S108" s="2343"/>
      <c r="T108" s="2343"/>
      <c r="U108" s="2344"/>
      <c r="V108" s="1207"/>
      <c r="W108" s="1207"/>
      <c r="X108" s="2316"/>
      <c r="Y108" s="2317"/>
      <c r="Z108" s="2317"/>
      <c r="AA108" s="2317"/>
      <c r="AB108" s="2317"/>
      <c r="AC108" s="2317"/>
      <c r="AD108" s="2317"/>
      <c r="AE108" s="2317"/>
      <c r="AF108" s="2317"/>
      <c r="AG108" s="2317"/>
      <c r="AH108" s="2317"/>
      <c r="AI108" s="2317"/>
      <c r="AJ108" s="2317"/>
      <c r="AK108" s="2317"/>
      <c r="AL108" s="2317"/>
      <c r="AM108" s="2317"/>
      <c r="AN108" s="2317"/>
      <c r="AO108" s="2317"/>
      <c r="AP108" s="2317"/>
      <c r="AQ108" s="2317"/>
      <c r="AR108" s="2317"/>
      <c r="AS108" s="2317"/>
      <c r="AT108" s="2317"/>
      <c r="AU108" s="2317"/>
      <c r="AV108" s="2317"/>
      <c r="AW108" s="2317"/>
      <c r="AX108" s="2317"/>
      <c r="AY108" s="2317"/>
      <c r="AZ108" s="2317"/>
      <c r="BA108" s="2317"/>
      <c r="BB108" s="2317"/>
      <c r="BC108" s="2317"/>
      <c r="BD108" s="231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4" t="s">
        <v>1906</v>
      </c>
      <c r="C110" s="2365"/>
      <c r="D110" s="2365"/>
      <c r="E110" s="2365"/>
      <c r="F110" s="2365"/>
      <c r="G110" s="2365"/>
      <c r="H110" s="2365"/>
      <c r="I110" s="2365"/>
      <c r="J110" s="2365"/>
      <c r="K110" s="2365"/>
      <c r="L110" s="2365"/>
      <c r="M110" s="2365"/>
      <c r="N110" s="2365"/>
      <c r="O110" s="2365"/>
      <c r="P110" s="2365"/>
      <c r="Q110" s="2365"/>
      <c r="R110" s="2365"/>
      <c r="S110" s="2365"/>
      <c r="T110" s="2365"/>
      <c r="U110" s="2365"/>
      <c r="V110" s="2365"/>
      <c r="W110" s="2365"/>
      <c r="X110" s="2365"/>
      <c r="Y110" s="2365"/>
      <c r="Z110" s="2365"/>
      <c r="AA110" s="2365"/>
      <c r="AB110" s="2365"/>
      <c r="AC110" s="2365"/>
      <c r="AD110" s="2365"/>
      <c r="AE110" s="2365"/>
      <c r="AF110" s="2365"/>
      <c r="AG110" s="2365"/>
      <c r="AH110" s="2285" t="s">
        <v>554</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366" t="s">
        <v>1907</v>
      </c>
      <c r="C111" s="2367"/>
      <c r="D111" s="2367"/>
      <c r="E111" s="2367"/>
      <c r="F111" s="2367"/>
      <c r="G111" s="2367"/>
      <c r="H111" s="2367"/>
      <c r="I111" s="2367"/>
      <c r="J111" s="2367"/>
      <c r="K111" s="2367"/>
      <c r="L111" s="2367"/>
      <c r="M111" s="2367"/>
      <c r="N111" s="2367"/>
      <c r="O111" s="2367"/>
      <c r="P111" s="2367"/>
      <c r="Q111" s="2367"/>
      <c r="R111" s="2368" t="s">
        <v>2265</v>
      </c>
      <c r="S111" s="2368"/>
      <c r="T111" s="2368"/>
      <c r="U111" s="2368"/>
      <c r="V111" s="2368"/>
      <c r="W111" s="2368"/>
      <c r="X111" s="2368"/>
      <c r="Y111" s="2368"/>
      <c r="Z111" s="2368"/>
      <c r="AA111" s="2368"/>
      <c r="AB111" s="2368"/>
      <c r="AC111" s="2368"/>
      <c r="AD111" s="2368"/>
      <c r="AE111" s="2368"/>
      <c r="AF111" s="2368"/>
      <c r="AG111" s="2368"/>
      <c r="AH111" s="2368"/>
      <c r="AI111" s="2368"/>
      <c r="AJ111" s="2368"/>
      <c r="AK111" s="2368"/>
      <c r="AL111" s="2368"/>
      <c r="AM111" s="2368"/>
      <c r="AN111" s="2368"/>
      <c r="AO111" s="2368"/>
      <c r="AP111" s="2368"/>
      <c r="AQ111" s="2368"/>
      <c r="AR111" s="2368"/>
      <c r="AS111" s="2368"/>
      <c r="AT111" s="2368"/>
      <c r="AU111" s="2368"/>
      <c r="AV111" s="2368"/>
      <c r="AW111" s="2368"/>
      <c r="AX111" s="2369"/>
      <c r="AY111" s="1207"/>
      <c r="AZ111" s="1207"/>
      <c r="BA111" s="1207"/>
      <c r="BB111" s="1207"/>
      <c r="BC111" s="1207" t="s">
        <v>251</v>
      </c>
      <c r="BD111" s="1207"/>
      <c r="BE111" s="1213"/>
    </row>
    <row r="112" spans="1:57" ht="15.75" customHeight="1">
      <c r="A112" s="1207"/>
      <c r="B112" s="2370" t="s">
        <v>2266</v>
      </c>
      <c r="C112" s="2371"/>
      <c r="D112" s="2371"/>
      <c r="E112" s="2371"/>
      <c r="F112" s="2371"/>
      <c r="G112" s="2371"/>
      <c r="H112" s="2371"/>
      <c r="I112" s="2371"/>
      <c r="J112" s="2371"/>
      <c r="K112" s="2371"/>
      <c r="L112" s="2371"/>
      <c r="M112" s="2371"/>
      <c r="N112" s="2371"/>
      <c r="O112" s="2371"/>
      <c r="P112" s="2371"/>
      <c r="Q112" s="2371"/>
      <c r="R112" s="2371"/>
      <c r="S112" s="2371"/>
      <c r="T112" s="2371"/>
      <c r="U112" s="2371"/>
      <c r="V112" s="2371"/>
      <c r="W112" s="2371"/>
      <c r="X112" s="2371"/>
      <c r="Y112" s="2371"/>
      <c r="Z112" s="2371"/>
      <c r="AA112" s="2371"/>
      <c r="AB112" s="2371"/>
      <c r="AC112" s="2371"/>
      <c r="AD112" s="2371"/>
      <c r="AE112" s="2371"/>
      <c r="AF112" s="2371"/>
      <c r="AG112" s="2371"/>
      <c r="AH112" s="2371"/>
      <c r="AI112" s="2371"/>
      <c r="AJ112" s="2371"/>
      <c r="AK112" s="2371"/>
      <c r="AL112" s="2371"/>
      <c r="AM112" s="2371"/>
      <c r="AN112" s="2371"/>
      <c r="AO112" s="2371"/>
      <c r="AP112" s="2371"/>
      <c r="AQ112" s="2371"/>
      <c r="AR112" s="2371"/>
      <c r="AS112" s="2371"/>
      <c r="AT112" s="2371"/>
      <c r="AU112" s="2371"/>
      <c r="AV112" s="2371"/>
      <c r="AW112" s="2371"/>
      <c r="AX112" s="2372"/>
      <c r="AY112" s="1207"/>
      <c r="AZ112" s="1207"/>
      <c r="BA112" s="1207"/>
      <c r="BB112" s="1207"/>
      <c r="BC112" s="1207"/>
      <c r="BD112" s="1207"/>
      <c r="BE112" s="1213"/>
    </row>
    <row r="113" spans="1:57" ht="15.75" customHeight="1">
      <c r="A113" s="1207"/>
      <c r="B113" s="2370"/>
      <c r="C113" s="2371"/>
      <c r="D113" s="2371"/>
      <c r="E113" s="2371"/>
      <c r="F113" s="2371"/>
      <c r="G113" s="2371"/>
      <c r="H113" s="2371"/>
      <c r="I113" s="2371"/>
      <c r="J113" s="2371"/>
      <c r="K113" s="2371"/>
      <c r="L113" s="2371"/>
      <c r="M113" s="2371"/>
      <c r="N113" s="2371"/>
      <c r="O113" s="2371"/>
      <c r="P113" s="2371"/>
      <c r="Q113" s="2371"/>
      <c r="R113" s="2371"/>
      <c r="S113" s="2371"/>
      <c r="T113" s="2371"/>
      <c r="U113" s="2371"/>
      <c r="V113" s="2371"/>
      <c r="W113" s="2371"/>
      <c r="X113" s="2371"/>
      <c r="Y113" s="2371"/>
      <c r="Z113" s="2371"/>
      <c r="AA113" s="2371"/>
      <c r="AB113" s="2371"/>
      <c r="AC113" s="2371"/>
      <c r="AD113" s="2371"/>
      <c r="AE113" s="2371"/>
      <c r="AF113" s="2371"/>
      <c r="AG113" s="2371"/>
      <c r="AH113" s="2371"/>
      <c r="AI113" s="2371"/>
      <c r="AJ113" s="2371"/>
      <c r="AK113" s="2371"/>
      <c r="AL113" s="2371"/>
      <c r="AM113" s="2371"/>
      <c r="AN113" s="2371"/>
      <c r="AO113" s="2371"/>
      <c r="AP113" s="2371"/>
      <c r="AQ113" s="2371"/>
      <c r="AR113" s="2371"/>
      <c r="AS113" s="2371"/>
      <c r="AT113" s="2371"/>
      <c r="AU113" s="2371"/>
      <c r="AV113" s="2371"/>
      <c r="AW113" s="2371"/>
      <c r="AX113" s="2372"/>
      <c r="AY113" s="1207"/>
      <c r="AZ113" s="1207"/>
      <c r="BA113" s="1207"/>
      <c r="BB113" s="1207"/>
      <c r="BC113" s="1207"/>
      <c r="BD113" s="1207"/>
      <c r="BE113" s="1213"/>
    </row>
    <row r="114" spans="1:57" ht="15.75" customHeight="1">
      <c r="A114" s="1207"/>
      <c r="B114" s="2370"/>
      <c r="C114" s="2371"/>
      <c r="D114" s="2371"/>
      <c r="E114" s="2371"/>
      <c r="F114" s="2371"/>
      <c r="G114" s="2371"/>
      <c r="H114" s="2371"/>
      <c r="I114" s="2371"/>
      <c r="J114" s="2371"/>
      <c r="K114" s="2371"/>
      <c r="L114" s="2371"/>
      <c r="M114" s="2371"/>
      <c r="N114" s="2371"/>
      <c r="O114" s="2371"/>
      <c r="P114" s="2371"/>
      <c r="Q114" s="2371"/>
      <c r="R114" s="2371"/>
      <c r="S114" s="2371"/>
      <c r="T114" s="2371"/>
      <c r="U114" s="2371"/>
      <c r="V114" s="2371"/>
      <c r="W114" s="2371"/>
      <c r="X114" s="2371"/>
      <c r="Y114" s="2371"/>
      <c r="Z114" s="2371"/>
      <c r="AA114" s="2371"/>
      <c r="AB114" s="2371"/>
      <c r="AC114" s="2371"/>
      <c r="AD114" s="2371"/>
      <c r="AE114" s="2371"/>
      <c r="AF114" s="2371"/>
      <c r="AG114" s="2371"/>
      <c r="AH114" s="2371"/>
      <c r="AI114" s="2371"/>
      <c r="AJ114" s="2371"/>
      <c r="AK114" s="2371"/>
      <c r="AL114" s="2371"/>
      <c r="AM114" s="2371"/>
      <c r="AN114" s="2371"/>
      <c r="AO114" s="2371"/>
      <c r="AP114" s="2371"/>
      <c r="AQ114" s="2371"/>
      <c r="AR114" s="2371"/>
      <c r="AS114" s="2371"/>
      <c r="AT114" s="2371"/>
      <c r="AU114" s="2371"/>
      <c r="AV114" s="2371"/>
      <c r="AW114" s="2371"/>
      <c r="AX114" s="2372"/>
      <c r="AY114" s="1207"/>
      <c r="AZ114" s="1207"/>
      <c r="BA114" s="1207"/>
      <c r="BB114" s="1207"/>
      <c r="BC114" s="1207"/>
      <c r="BD114" s="1207"/>
      <c r="BE114" s="1213"/>
    </row>
    <row r="115" spans="1:57" ht="15.75" customHeight="1">
      <c r="A115" s="1207"/>
      <c r="B115" s="2370"/>
      <c r="C115" s="2371"/>
      <c r="D115" s="2371"/>
      <c r="E115" s="2371"/>
      <c r="F115" s="2371"/>
      <c r="G115" s="2371"/>
      <c r="H115" s="2371"/>
      <c r="I115" s="2371"/>
      <c r="J115" s="2371"/>
      <c r="K115" s="2371"/>
      <c r="L115" s="2371"/>
      <c r="M115" s="2371"/>
      <c r="N115" s="2371"/>
      <c r="O115" s="2371"/>
      <c r="P115" s="2371"/>
      <c r="Q115" s="2371"/>
      <c r="R115" s="2371"/>
      <c r="S115" s="2371"/>
      <c r="T115" s="2371"/>
      <c r="U115" s="2371"/>
      <c r="V115" s="2371"/>
      <c r="W115" s="2371"/>
      <c r="X115" s="2371"/>
      <c r="Y115" s="2371"/>
      <c r="Z115" s="2371"/>
      <c r="AA115" s="2371"/>
      <c r="AB115" s="2371"/>
      <c r="AC115" s="2371"/>
      <c r="AD115" s="2371"/>
      <c r="AE115" s="2371"/>
      <c r="AF115" s="2371"/>
      <c r="AG115" s="2371"/>
      <c r="AH115" s="2371"/>
      <c r="AI115" s="2371"/>
      <c r="AJ115" s="2371"/>
      <c r="AK115" s="2371"/>
      <c r="AL115" s="2371"/>
      <c r="AM115" s="2371"/>
      <c r="AN115" s="2371"/>
      <c r="AO115" s="2371"/>
      <c r="AP115" s="2371"/>
      <c r="AQ115" s="2371"/>
      <c r="AR115" s="2371"/>
      <c r="AS115" s="2371"/>
      <c r="AT115" s="2371"/>
      <c r="AU115" s="2371"/>
      <c r="AV115" s="2371"/>
      <c r="AW115" s="2371"/>
      <c r="AX115" s="2372"/>
      <c r="AY115" s="1207"/>
      <c r="AZ115" s="1207"/>
      <c r="BA115" s="1207"/>
      <c r="BB115" s="1207"/>
      <c r="BC115" s="1207"/>
      <c r="BD115" s="1207"/>
      <c r="BE115" s="1213"/>
    </row>
    <row r="116" spans="1:57" ht="15.75" customHeight="1">
      <c r="A116" s="1207"/>
      <c r="B116" s="2370"/>
      <c r="C116" s="2371"/>
      <c r="D116" s="2371"/>
      <c r="E116" s="2371"/>
      <c r="F116" s="2371"/>
      <c r="G116" s="2371"/>
      <c r="H116" s="2371"/>
      <c r="I116" s="2371"/>
      <c r="J116" s="2371"/>
      <c r="K116" s="2371"/>
      <c r="L116" s="2371"/>
      <c r="M116" s="2371"/>
      <c r="N116" s="2371"/>
      <c r="O116" s="2371"/>
      <c r="P116" s="2371"/>
      <c r="Q116" s="2371"/>
      <c r="R116" s="2371"/>
      <c r="S116" s="2371"/>
      <c r="T116" s="2371"/>
      <c r="U116" s="2371"/>
      <c r="V116" s="2371"/>
      <c r="W116" s="2371"/>
      <c r="X116" s="2371"/>
      <c r="Y116" s="2371"/>
      <c r="Z116" s="2371"/>
      <c r="AA116" s="2371"/>
      <c r="AB116" s="2371"/>
      <c r="AC116" s="2371"/>
      <c r="AD116" s="2371"/>
      <c r="AE116" s="2371"/>
      <c r="AF116" s="2371"/>
      <c r="AG116" s="2371"/>
      <c r="AH116" s="2371"/>
      <c r="AI116" s="2371"/>
      <c r="AJ116" s="2371"/>
      <c r="AK116" s="2371"/>
      <c r="AL116" s="2371"/>
      <c r="AM116" s="2371"/>
      <c r="AN116" s="2371"/>
      <c r="AO116" s="2371"/>
      <c r="AP116" s="2371"/>
      <c r="AQ116" s="2371"/>
      <c r="AR116" s="2371"/>
      <c r="AS116" s="2371"/>
      <c r="AT116" s="2371"/>
      <c r="AU116" s="2371"/>
      <c r="AV116" s="2371"/>
      <c r="AW116" s="2371"/>
      <c r="AX116" s="2372"/>
      <c r="AY116" s="1207"/>
      <c r="AZ116" s="1207"/>
      <c r="BA116" s="1207"/>
      <c r="BB116" s="1207"/>
      <c r="BC116" s="1207"/>
      <c r="BD116" s="1207"/>
      <c r="BE116" s="1213"/>
    </row>
    <row r="117" spans="1:57" ht="15.75" customHeight="1">
      <c r="A117" s="1207"/>
      <c r="B117" s="2370"/>
      <c r="C117" s="2371"/>
      <c r="D117" s="2371"/>
      <c r="E117" s="2371"/>
      <c r="F117" s="2371"/>
      <c r="G117" s="2371"/>
      <c r="H117" s="2371"/>
      <c r="I117" s="2371"/>
      <c r="J117" s="2371"/>
      <c r="K117" s="2371"/>
      <c r="L117" s="2371"/>
      <c r="M117" s="2371"/>
      <c r="N117" s="2371"/>
      <c r="O117" s="2371"/>
      <c r="P117" s="2371"/>
      <c r="Q117" s="2371"/>
      <c r="R117" s="2371"/>
      <c r="S117" s="2371"/>
      <c r="T117" s="2371"/>
      <c r="U117" s="2371"/>
      <c r="V117" s="2371"/>
      <c r="W117" s="2371"/>
      <c r="X117" s="2371"/>
      <c r="Y117" s="2371"/>
      <c r="Z117" s="2371"/>
      <c r="AA117" s="2371"/>
      <c r="AB117" s="2371"/>
      <c r="AC117" s="2371"/>
      <c r="AD117" s="2371"/>
      <c r="AE117" s="2371"/>
      <c r="AF117" s="2371"/>
      <c r="AG117" s="2371"/>
      <c r="AH117" s="2371"/>
      <c r="AI117" s="2371"/>
      <c r="AJ117" s="2371"/>
      <c r="AK117" s="2371"/>
      <c r="AL117" s="2371"/>
      <c r="AM117" s="2371"/>
      <c r="AN117" s="2371"/>
      <c r="AO117" s="2371"/>
      <c r="AP117" s="2371"/>
      <c r="AQ117" s="2371"/>
      <c r="AR117" s="2371"/>
      <c r="AS117" s="2371"/>
      <c r="AT117" s="2371"/>
      <c r="AU117" s="2371"/>
      <c r="AV117" s="2371"/>
      <c r="AW117" s="2371"/>
      <c r="AX117" s="2372"/>
      <c r="AY117" s="1207"/>
      <c r="AZ117" s="1207"/>
      <c r="BA117" s="1207"/>
      <c r="BB117" s="1207"/>
      <c r="BC117" s="1207"/>
      <c r="BD117" s="1207"/>
      <c r="BE117" s="1213"/>
    </row>
    <row r="118" spans="1:57" ht="15.75" customHeight="1">
      <c r="A118" s="1207"/>
      <c r="B118" s="2370"/>
      <c r="C118" s="2371"/>
      <c r="D118" s="2371"/>
      <c r="E118" s="2371"/>
      <c r="F118" s="2371"/>
      <c r="G118" s="2371"/>
      <c r="H118" s="2371"/>
      <c r="I118" s="2371"/>
      <c r="J118" s="2371"/>
      <c r="K118" s="2371"/>
      <c r="L118" s="2371"/>
      <c r="M118" s="2371"/>
      <c r="N118" s="2371"/>
      <c r="O118" s="2371"/>
      <c r="P118" s="2371"/>
      <c r="Q118" s="2371"/>
      <c r="R118" s="2371"/>
      <c r="S118" s="2371"/>
      <c r="T118" s="2371"/>
      <c r="U118" s="2371"/>
      <c r="V118" s="2371"/>
      <c r="W118" s="2371"/>
      <c r="X118" s="2371"/>
      <c r="Y118" s="2371"/>
      <c r="Z118" s="2371"/>
      <c r="AA118" s="2371"/>
      <c r="AB118" s="2371"/>
      <c r="AC118" s="2371"/>
      <c r="AD118" s="2371"/>
      <c r="AE118" s="2371"/>
      <c r="AF118" s="2371"/>
      <c r="AG118" s="2371"/>
      <c r="AH118" s="2371"/>
      <c r="AI118" s="2371"/>
      <c r="AJ118" s="2371"/>
      <c r="AK118" s="2371"/>
      <c r="AL118" s="2371"/>
      <c r="AM118" s="2371"/>
      <c r="AN118" s="2371"/>
      <c r="AO118" s="2371"/>
      <c r="AP118" s="2371"/>
      <c r="AQ118" s="2371"/>
      <c r="AR118" s="2371"/>
      <c r="AS118" s="2371"/>
      <c r="AT118" s="2371"/>
      <c r="AU118" s="2371"/>
      <c r="AV118" s="2371"/>
      <c r="AW118" s="2371"/>
      <c r="AX118" s="2372"/>
      <c r="AY118" s="1207"/>
      <c r="AZ118" s="1207"/>
      <c r="BA118" s="1207"/>
      <c r="BB118" s="1207"/>
      <c r="BC118" s="1207"/>
      <c r="BD118" s="1207"/>
      <c r="BE118" s="1213"/>
    </row>
    <row r="119" spans="1:57" ht="15.75" customHeight="1">
      <c r="A119" s="1207"/>
      <c r="B119" s="2370"/>
      <c r="C119" s="2371"/>
      <c r="D119" s="2371"/>
      <c r="E119" s="2371"/>
      <c r="F119" s="2371"/>
      <c r="G119" s="2371"/>
      <c r="H119" s="2371"/>
      <c r="I119" s="2371"/>
      <c r="J119" s="2371"/>
      <c r="K119" s="2371"/>
      <c r="L119" s="2371"/>
      <c r="M119" s="2371"/>
      <c r="N119" s="2371"/>
      <c r="O119" s="2371"/>
      <c r="P119" s="2371"/>
      <c r="Q119" s="2371"/>
      <c r="R119" s="2371"/>
      <c r="S119" s="2371"/>
      <c r="T119" s="2371"/>
      <c r="U119" s="2371"/>
      <c r="V119" s="2371"/>
      <c r="W119" s="2371"/>
      <c r="X119" s="2371"/>
      <c r="Y119" s="2371"/>
      <c r="Z119" s="2371"/>
      <c r="AA119" s="2371"/>
      <c r="AB119" s="2371"/>
      <c r="AC119" s="2371"/>
      <c r="AD119" s="2371"/>
      <c r="AE119" s="2371"/>
      <c r="AF119" s="2371"/>
      <c r="AG119" s="2371"/>
      <c r="AH119" s="2371"/>
      <c r="AI119" s="2371"/>
      <c r="AJ119" s="2371"/>
      <c r="AK119" s="2371"/>
      <c r="AL119" s="2371"/>
      <c r="AM119" s="2371"/>
      <c r="AN119" s="2371"/>
      <c r="AO119" s="2371"/>
      <c r="AP119" s="2371"/>
      <c r="AQ119" s="2371"/>
      <c r="AR119" s="2371"/>
      <c r="AS119" s="2371"/>
      <c r="AT119" s="2371"/>
      <c r="AU119" s="2371"/>
      <c r="AV119" s="2371"/>
      <c r="AW119" s="2371"/>
      <c r="AX119" s="2372"/>
      <c r="AY119" s="1207"/>
      <c r="AZ119" s="1207"/>
      <c r="BA119" s="1207"/>
      <c r="BB119" s="1207"/>
      <c r="BC119" s="1207"/>
      <c r="BD119" s="1207"/>
      <c r="BE119" s="1213"/>
    </row>
    <row r="120" spans="1:57" ht="15.75" customHeight="1">
      <c r="A120" s="1207"/>
      <c r="B120" s="2370"/>
      <c r="C120" s="2371"/>
      <c r="D120" s="2371"/>
      <c r="E120" s="2371"/>
      <c r="F120" s="2371"/>
      <c r="G120" s="2371"/>
      <c r="H120" s="2371"/>
      <c r="I120" s="2371"/>
      <c r="J120" s="2371"/>
      <c r="K120" s="2371"/>
      <c r="L120" s="2371"/>
      <c r="M120" s="2371"/>
      <c r="N120" s="2371"/>
      <c r="O120" s="2371"/>
      <c r="P120" s="2371"/>
      <c r="Q120" s="2371"/>
      <c r="R120" s="2371"/>
      <c r="S120" s="2371"/>
      <c r="T120" s="2371"/>
      <c r="U120" s="2371"/>
      <c r="V120" s="2371"/>
      <c r="W120" s="2371"/>
      <c r="X120" s="2371"/>
      <c r="Y120" s="2371"/>
      <c r="Z120" s="2371"/>
      <c r="AA120" s="2371"/>
      <c r="AB120" s="2371"/>
      <c r="AC120" s="2371"/>
      <c r="AD120" s="2371"/>
      <c r="AE120" s="2371"/>
      <c r="AF120" s="2371"/>
      <c r="AG120" s="2371"/>
      <c r="AH120" s="2371"/>
      <c r="AI120" s="2371"/>
      <c r="AJ120" s="2371"/>
      <c r="AK120" s="2371"/>
      <c r="AL120" s="2371"/>
      <c r="AM120" s="2371"/>
      <c r="AN120" s="2371"/>
      <c r="AO120" s="2371"/>
      <c r="AP120" s="2371"/>
      <c r="AQ120" s="2371"/>
      <c r="AR120" s="2371"/>
      <c r="AS120" s="2371"/>
      <c r="AT120" s="2371"/>
      <c r="AU120" s="2371"/>
      <c r="AV120" s="2371"/>
      <c r="AW120" s="2371"/>
      <c r="AX120" s="2372"/>
      <c r="AY120" s="1207"/>
      <c r="AZ120" s="1207"/>
      <c r="BA120" s="1207"/>
      <c r="BB120" s="1207"/>
      <c r="BC120" s="1207"/>
      <c r="BD120" s="1207"/>
      <c r="BE120" s="1213"/>
    </row>
    <row r="121" spans="1:57" ht="15.75" customHeight="1" thickBot="1">
      <c r="A121" s="1207"/>
      <c r="B121" s="2373"/>
      <c r="C121" s="2374"/>
      <c r="D121" s="2374"/>
      <c r="E121" s="2374"/>
      <c r="F121" s="2374"/>
      <c r="G121" s="2374"/>
      <c r="H121" s="2374"/>
      <c r="I121" s="2374"/>
      <c r="J121" s="2374"/>
      <c r="K121" s="2374"/>
      <c r="L121" s="2374"/>
      <c r="M121" s="2374"/>
      <c r="N121" s="2374"/>
      <c r="O121" s="2374"/>
      <c r="P121" s="2374"/>
      <c r="Q121" s="2374"/>
      <c r="R121" s="2374"/>
      <c r="S121" s="2374"/>
      <c r="T121" s="2374"/>
      <c r="U121" s="2374"/>
      <c r="V121" s="2374"/>
      <c r="W121" s="2374"/>
      <c r="X121" s="2374"/>
      <c r="Y121" s="2374"/>
      <c r="Z121" s="2374"/>
      <c r="AA121" s="2374"/>
      <c r="AB121" s="2374"/>
      <c r="AC121" s="2374"/>
      <c r="AD121" s="2374"/>
      <c r="AE121" s="2374"/>
      <c r="AF121" s="2374"/>
      <c r="AG121" s="2374"/>
      <c r="AH121" s="2374"/>
      <c r="AI121" s="2374"/>
      <c r="AJ121" s="2374"/>
      <c r="AK121" s="2374"/>
      <c r="AL121" s="2374"/>
      <c r="AM121" s="2374"/>
      <c r="AN121" s="2374"/>
      <c r="AO121" s="2374"/>
      <c r="AP121" s="2374"/>
      <c r="AQ121" s="2374"/>
      <c r="AR121" s="2374"/>
      <c r="AS121" s="2374"/>
      <c r="AT121" s="2374"/>
      <c r="AU121" s="2374"/>
      <c r="AV121" s="2374"/>
      <c r="AW121" s="2374"/>
      <c r="AX121" s="237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2" t="s">
        <v>1909</v>
      </c>
      <c r="C125" s="2233"/>
      <c r="D125" s="2233"/>
      <c r="E125" s="2233"/>
      <c r="F125" s="2233"/>
      <c r="G125" s="2233"/>
      <c r="H125" s="2233"/>
      <c r="I125" s="2233"/>
      <c r="J125" s="2233"/>
      <c r="K125" s="2233"/>
      <c r="L125" s="2233"/>
      <c r="M125" s="2233"/>
      <c r="N125" s="2233"/>
      <c r="O125" s="2233"/>
      <c r="P125" s="2233"/>
      <c r="Q125" s="2233"/>
      <c r="R125" s="2233"/>
      <c r="S125" s="2233"/>
      <c r="T125" s="2233"/>
      <c r="U125" s="2234"/>
      <c r="V125" s="1207"/>
      <c r="W125" s="1209"/>
      <c r="X125" s="2232" t="s">
        <v>2268</v>
      </c>
      <c r="Y125" s="2233"/>
      <c r="Z125" s="2233"/>
      <c r="AA125" s="2233"/>
      <c r="AB125" s="2233"/>
      <c r="AC125" s="2233"/>
      <c r="AD125" s="2233"/>
      <c r="AE125" s="2233"/>
      <c r="AF125" s="2233"/>
      <c r="AG125" s="2233"/>
      <c r="AH125" s="2233"/>
      <c r="AI125" s="2233"/>
      <c r="AJ125" s="2233"/>
      <c r="AK125" s="2233"/>
      <c r="AL125" s="2233"/>
      <c r="AM125" s="2233"/>
      <c r="AN125" s="2233"/>
      <c r="AO125" s="2233"/>
      <c r="AP125" s="2233"/>
      <c r="AQ125" s="223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9"/>
      <c r="C126" s="2350"/>
      <c r="D126" s="2350"/>
      <c r="E126" s="2350"/>
      <c r="F126" s="2350"/>
      <c r="G126" s="2350"/>
      <c r="H126" s="2350"/>
      <c r="I126" s="2351" t="s">
        <v>1898</v>
      </c>
      <c r="J126" s="2351"/>
      <c r="K126" s="2351"/>
      <c r="L126" s="2351"/>
      <c r="M126" s="2351"/>
      <c r="N126" s="2351"/>
      <c r="O126" s="2351"/>
      <c r="P126" s="2351" t="s">
        <v>2269</v>
      </c>
      <c r="Q126" s="2351"/>
      <c r="R126" s="2351"/>
      <c r="S126" s="2351"/>
      <c r="T126" s="2351"/>
      <c r="U126" s="2352"/>
      <c r="V126" s="1207"/>
      <c r="W126" s="1207"/>
      <c r="X126" s="2349"/>
      <c r="Y126" s="2350"/>
      <c r="Z126" s="2350"/>
      <c r="AA126" s="2350"/>
      <c r="AB126" s="2350"/>
      <c r="AC126" s="2350"/>
      <c r="AD126" s="2350"/>
      <c r="AE126" s="2351" t="s">
        <v>1898</v>
      </c>
      <c r="AF126" s="2351"/>
      <c r="AG126" s="2351"/>
      <c r="AH126" s="2351"/>
      <c r="AI126" s="2351"/>
      <c r="AJ126" s="2351"/>
      <c r="AK126" s="2351"/>
      <c r="AL126" s="2351" t="s">
        <v>2263</v>
      </c>
      <c r="AM126" s="2351"/>
      <c r="AN126" s="2351"/>
      <c r="AO126" s="2351"/>
      <c r="AP126" s="2351"/>
      <c r="AQ126" s="235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9"/>
      <c r="C127" s="2350"/>
      <c r="D127" s="2350"/>
      <c r="E127" s="2350"/>
      <c r="F127" s="2350"/>
      <c r="G127" s="2350"/>
      <c r="H127" s="2350"/>
      <c r="I127" s="2351"/>
      <c r="J127" s="2351"/>
      <c r="K127" s="2351"/>
      <c r="L127" s="2351"/>
      <c r="M127" s="2351"/>
      <c r="N127" s="2351"/>
      <c r="O127" s="2351"/>
      <c r="P127" s="2351"/>
      <c r="Q127" s="2351"/>
      <c r="R127" s="2351"/>
      <c r="S127" s="2351"/>
      <c r="T127" s="2351"/>
      <c r="U127" s="2352"/>
      <c r="V127" s="1207"/>
      <c r="W127" s="1207"/>
      <c r="X127" s="2349"/>
      <c r="Y127" s="2350"/>
      <c r="Z127" s="2350"/>
      <c r="AA127" s="2350"/>
      <c r="AB127" s="2350"/>
      <c r="AC127" s="2350"/>
      <c r="AD127" s="2350"/>
      <c r="AE127" s="2351"/>
      <c r="AF127" s="2351"/>
      <c r="AG127" s="2351"/>
      <c r="AH127" s="2351"/>
      <c r="AI127" s="2351"/>
      <c r="AJ127" s="2351"/>
      <c r="AK127" s="2351"/>
      <c r="AL127" s="2351"/>
      <c r="AM127" s="2351"/>
      <c r="AN127" s="2351"/>
      <c r="AO127" s="2351"/>
      <c r="AP127" s="2351"/>
      <c r="AQ127" s="235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60" t="s">
        <v>2251</v>
      </c>
      <c r="C128" s="2361"/>
      <c r="D128" s="2361"/>
      <c r="E128" s="2361"/>
      <c r="F128" s="2361"/>
      <c r="G128" s="2361"/>
      <c r="H128" s="2361"/>
      <c r="I128" s="2336">
        <v>0</v>
      </c>
      <c r="J128" s="2336"/>
      <c r="K128" s="2336"/>
      <c r="L128" s="2336"/>
      <c r="M128" s="2336"/>
      <c r="N128" s="2336"/>
      <c r="O128" s="2336"/>
      <c r="P128" s="2336">
        <v>0</v>
      </c>
      <c r="Q128" s="2336"/>
      <c r="R128" s="2336"/>
      <c r="S128" s="2336"/>
      <c r="T128" s="2336"/>
      <c r="U128" s="2345"/>
      <c r="V128" s="1207"/>
      <c r="W128" s="1207"/>
      <c r="X128" s="2362" t="s">
        <v>2251</v>
      </c>
      <c r="Y128" s="2363"/>
      <c r="Z128" s="2363"/>
      <c r="AA128" s="2363"/>
      <c r="AB128" s="2363"/>
      <c r="AC128" s="2363"/>
      <c r="AD128" s="2363"/>
      <c r="AE128" s="2343">
        <v>0</v>
      </c>
      <c r="AF128" s="2343"/>
      <c r="AG128" s="2343"/>
      <c r="AH128" s="2343"/>
      <c r="AI128" s="2343"/>
      <c r="AJ128" s="2343"/>
      <c r="AK128" s="2343"/>
      <c r="AL128" s="2343">
        <v>0</v>
      </c>
      <c r="AM128" s="2343"/>
      <c r="AN128" s="2343"/>
      <c r="AO128" s="2343"/>
      <c r="AP128" s="2343"/>
      <c r="AQ128" s="234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2" t="s">
        <v>2252</v>
      </c>
      <c r="C129" s="2363"/>
      <c r="D129" s="2363"/>
      <c r="E129" s="2363"/>
      <c r="F129" s="2363"/>
      <c r="G129" s="2363"/>
      <c r="H129" s="2363"/>
      <c r="I129" s="2343">
        <v>0</v>
      </c>
      <c r="J129" s="2343"/>
      <c r="K129" s="2343"/>
      <c r="L129" s="2343"/>
      <c r="M129" s="2343"/>
      <c r="N129" s="2343"/>
      <c r="O129" s="2343"/>
      <c r="P129" s="2343">
        <v>0</v>
      </c>
      <c r="Q129" s="2343"/>
      <c r="R129" s="2343"/>
      <c r="S129" s="2343"/>
      <c r="T129" s="2343"/>
      <c r="U129" s="234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2" t="s">
        <v>2253</v>
      </c>
      <c r="D131" s="2233"/>
      <c r="E131" s="2233"/>
      <c r="F131" s="2233"/>
      <c r="G131" s="2233"/>
      <c r="H131" s="2233"/>
      <c r="I131" s="2233"/>
      <c r="J131" s="2233"/>
      <c r="K131" s="2233"/>
      <c r="L131" s="2233"/>
      <c r="M131" s="2233"/>
      <c r="N131" s="2233"/>
      <c r="O131" s="2233"/>
      <c r="P131" s="2233"/>
      <c r="Q131" s="2233"/>
      <c r="R131" s="2233"/>
      <c r="S131" s="2233"/>
      <c r="T131" s="2233"/>
      <c r="U131" s="2233"/>
      <c r="V131" s="2233"/>
      <c r="W131" s="2233"/>
      <c r="X131" s="2233"/>
      <c r="Y131" s="2233"/>
      <c r="Z131" s="2233"/>
      <c r="AA131" s="2233"/>
      <c r="AB131" s="2233"/>
      <c r="AC131" s="2233"/>
      <c r="AD131" s="2233"/>
      <c r="AE131" s="2233"/>
      <c r="AF131" s="2233"/>
      <c r="AG131" s="223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9" t="s">
        <v>1910</v>
      </c>
      <c r="D132" s="2350"/>
      <c r="E132" s="2350"/>
      <c r="F132" s="2350"/>
      <c r="G132" s="2350"/>
      <c r="H132" s="2350"/>
      <c r="I132" s="2350"/>
      <c r="J132" s="2350"/>
      <c r="K132" s="2350"/>
      <c r="L132" s="2350"/>
      <c r="M132" s="2350"/>
      <c r="N132" s="2350"/>
      <c r="O132" s="2350"/>
      <c r="P132" s="2350"/>
      <c r="Q132" s="2350" t="s">
        <v>1911</v>
      </c>
      <c r="R132" s="2350"/>
      <c r="S132" s="2350"/>
      <c r="T132" s="2240" t="s">
        <v>2254</v>
      </c>
      <c r="U132" s="2240"/>
      <c r="V132" s="2240"/>
      <c r="W132" s="2240"/>
      <c r="X132" s="2240"/>
      <c r="Y132" s="2240"/>
      <c r="Z132" s="2240"/>
      <c r="AA132" s="2240"/>
      <c r="AB132" s="2350" t="s">
        <v>1912</v>
      </c>
      <c r="AC132" s="2350"/>
      <c r="AD132" s="2350"/>
      <c r="AE132" s="2350"/>
      <c r="AF132" s="2350"/>
      <c r="AG132" s="238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6" t="s">
        <v>1913</v>
      </c>
      <c r="D133" s="2377"/>
      <c r="E133" s="2377"/>
      <c r="F133" s="2377"/>
      <c r="G133" s="2377"/>
      <c r="H133" s="2377"/>
      <c r="I133" s="2377"/>
      <c r="J133" s="2377"/>
      <c r="K133" s="2377"/>
      <c r="L133" s="2377"/>
      <c r="M133" s="2377"/>
      <c r="N133" s="2377"/>
      <c r="O133" s="2377"/>
      <c r="P133" s="2377"/>
      <c r="Q133" s="2378">
        <v>55</v>
      </c>
      <c r="R133" s="2378"/>
      <c r="S133" s="2378"/>
      <c r="T133" s="2379"/>
      <c r="U133" s="2379"/>
      <c r="V133" s="2379"/>
      <c r="W133" s="2379"/>
      <c r="X133" s="2379"/>
      <c r="Y133" s="2379"/>
      <c r="Z133" s="2379"/>
      <c r="AA133" s="2379"/>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6" t="s">
        <v>1914</v>
      </c>
      <c r="D134" s="2377"/>
      <c r="E134" s="2377"/>
      <c r="F134" s="2377"/>
      <c r="G134" s="2377"/>
      <c r="H134" s="2377"/>
      <c r="I134" s="2377"/>
      <c r="J134" s="2377"/>
      <c r="K134" s="2377"/>
      <c r="L134" s="2377"/>
      <c r="M134" s="2377"/>
      <c r="N134" s="2377"/>
      <c r="O134" s="2377"/>
      <c r="P134" s="2377"/>
      <c r="Q134" s="2378">
        <v>55</v>
      </c>
      <c r="R134" s="2378"/>
      <c r="S134" s="2378"/>
      <c r="T134" s="2380"/>
      <c r="U134" s="2380"/>
      <c r="V134" s="2380"/>
      <c r="W134" s="2380"/>
      <c r="X134" s="2380"/>
      <c r="Y134" s="2380"/>
      <c r="Z134" s="2380"/>
      <c r="AA134" s="238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6" t="s">
        <v>1915</v>
      </c>
      <c r="D135" s="2377"/>
      <c r="E135" s="2377"/>
      <c r="F135" s="2377"/>
      <c r="G135" s="2377"/>
      <c r="H135" s="2377"/>
      <c r="I135" s="2377"/>
      <c r="J135" s="2377"/>
      <c r="K135" s="2377"/>
      <c r="L135" s="2377"/>
      <c r="M135" s="2377"/>
      <c r="N135" s="2377"/>
      <c r="O135" s="2377"/>
      <c r="P135" s="2377"/>
      <c r="Q135" s="2378">
        <v>55</v>
      </c>
      <c r="R135" s="2378"/>
      <c r="S135" s="2378"/>
      <c r="T135" s="2379"/>
      <c r="U135" s="2379"/>
      <c r="V135" s="2379"/>
      <c r="W135" s="2379"/>
      <c r="X135" s="2379"/>
      <c r="Y135" s="2379"/>
      <c r="Z135" s="2379"/>
      <c r="AA135" s="237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6" t="s">
        <v>1883</v>
      </c>
      <c r="D136" s="2377"/>
      <c r="E136" s="2377"/>
      <c r="F136" s="2377"/>
      <c r="G136" s="2377"/>
      <c r="H136" s="2377"/>
      <c r="I136" s="2377"/>
      <c r="J136" s="2377"/>
      <c r="K136" s="2377"/>
      <c r="L136" s="2377"/>
      <c r="M136" s="2377"/>
      <c r="N136" s="2377"/>
      <c r="O136" s="2377"/>
      <c r="P136" s="2377"/>
      <c r="Q136" s="2378">
        <v>55</v>
      </c>
      <c r="R136" s="2378"/>
      <c r="S136" s="2378"/>
      <c r="T136" s="2379"/>
      <c r="U136" s="2379"/>
      <c r="V136" s="2379"/>
      <c r="W136" s="2379"/>
      <c r="X136" s="2379"/>
      <c r="Y136" s="2379"/>
      <c r="Z136" s="2379"/>
      <c r="AA136" s="2379"/>
      <c r="AB136" s="2382">
        <v>0</v>
      </c>
      <c r="AC136" s="2382"/>
      <c r="AD136" s="2382"/>
      <c r="AE136" s="2382"/>
      <c r="AF136" s="2382"/>
      <c r="AG136" s="238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6" t="s">
        <v>170</v>
      </c>
      <c r="D137" s="2377"/>
      <c r="E137" s="2377"/>
      <c r="F137" s="2384" t="s">
        <v>1916</v>
      </c>
      <c r="G137" s="2384"/>
      <c r="H137" s="2384"/>
      <c r="I137" s="2384"/>
      <c r="J137" s="2384"/>
      <c r="K137" s="2384"/>
      <c r="L137" s="2384"/>
      <c r="M137" s="2384"/>
      <c r="N137" s="2384"/>
      <c r="O137" s="2384"/>
      <c r="P137" s="2384"/>
      <c r="Q137" s="2378">
        <v>55</v>
      </c>
      <c r="R137" s="2378"/>
      <c r="S137" s="2378"/>
      <c r="T137" s="2380"/>
      <c r="U137" s="2380"/>
      <c r="V137" s="2380"/>
      <c r="W137" s="2380"/>
      <c r="X137" s="2380"/>
      <c r="Y137" s="2380"/>
      <c r="Z137" s="2380"/>
      <c r="AA137" s="2380"/>
      <c r="AB137" s="2382">
        <v>0</v>
      </c>
      <c r="AC137" s="2382"/>
      <c r="AD137" s="2382"/>
      <c r="AE137" s="2382"/>
      <c r="AF137" s="2382"/>
      <c r="AG137" s="238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6" t="s">
        <v>170</v>
      </c>
      <c r="D138" s="2377"/>
      <c r="E138" s="2377"/>
      <c r="F138" s="2384" t="s">
        <v>1916</v>
      </c>
      <c r="G138" s="2384"/>
      <c r="H138" s="2384"/>
      <c r="I138" s="2384"/>
      <c r="J138" s="2384"/>
      <c r="K138" s="2384"/>
      <c r="L138" s="2384"/>
      <c r="M138" s="2384"/>
      <c r="N138" s="2384"/>
      <c r="O138" s="2384"/>
      <c r="P138" s="2384"/>
      <c r="Q138" s="2378">
        <v>55</v>
      </c>
      <c r="R138" s="2378"/>
      <c r="S138" s="2378"/>
      <c r="T138" s="2380"/>
      <c r="U138" s="2380"/>
      <c r="V138" s="2380"/>
      <c r="W138" s="2380"/>
      <c r="X138" s="2380"/>
      <c r="Y138" s="2380"/>
      <c r="Z138" s="2380"/>
      <c r="AA138" s="2380"/>
      <c r="AB138" s="2382">
        <v>0</v>
      </c>
      <c r="AC138" s="2382"/>
      <c r="AD138" s="2382"/>
      <c r="AE138" s="2382"/>
      <c r="AF138" s="2382"/>
      <c r="AG138" s="2383"/>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5" t="s">
        <v>170</v>
      </c>
      <c r="D139" s="2386"/>
      <c r="E139" s="2386"/>
      <c r="F139" s="2387" t="s">
        <v>1916</v>
      </c>
      <c r="G139" s="2387"/>
      <c r="H139" s="2387"/>
      <c r="I139" s="2387"/>
      <c r="J139" s="2387"/>
      <c r="K139" s="2387"/>
      <c r="L139" s="2387"/>
      <c r="M139" s="2387"/>
      <c r="N139" s="2387"/>
      <c r="O139" s="2387"/>
      <c r="P139" s="2387"/>
      <c r="Q139" s="2388">
        <v>55</v>
      </c>
      <c r="R139" s="2388"/>
      <c r="S139" s="2388"/>
      <c r="T139" s="2389"/>
      <c r="U139" s="2389"/>
      <c r="V139" s="2389"/>
      <c r="W139" s="2389"/>
      <c r="X139" s="2389"/>
      <c r="Y139" s="2389"/>
      <c r="Z139" s="2389"/>
      <c r="AA139" s="2389"/>
      <c r="AB139" s="2390">
        <v>0</v>
      </c>
      <c r="AC139" s="2390"/>
      <c r="AD139" s="2390"/>
      <c r="AE139" s="2390"/>
      <c r="AF139" s="2390"/>
      <c r="AG139" s="239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9" t="s">
        <v>1917</v>
      </c>
      <c r="D141" s="2310"/>
      <c r="E141" s="2310"/>
      <c r="F141" s="2310"/>
      <c r="G141" s="2310"/>
      <c r="H141" s="2310"/>
      <c r="I141" s="2310"/>
      <c r="J141" s="2310"/>
      <c r="K141" s="2310"/>
      <c r="L141" s="2310"/>
      <c r="M141" s="2310"/>
      <c r="N141" s="2346"/>
      <c r="O141" s="1207"/>
      <c r="P141" s="2364" t="s">
        <v>1918</v>
      </c>
      <c r="Q141" s="2365"/>
      <c r="R141" s="2365"/>
      <c r="S141" s="2365"/>
      <c r="T141" s="2365"/>
      <c r="U141" s="2365"/>
      <c r="V141" s="2365"/>
      <c r="W141" s="2365"/>
      <c r="X141" s="2365"/>
      <c r="Y141" s="2365"/>
      <c r="Z141" s="2365"/>
      <c r="AA141" s="2365"/>
      <c r="AB141" s="2365"/>
      <c r="AC141" s="2365"/>
      <c r="AD141" s="2365"/>
      <c r="AE141" s="2365"/>
      <c r="AF141" s="2365"/>
      <c r="AG141" s="2365"/>
      <c r="AH141" s="2365"/>
      <c r="AI141" s="2365"/>
      <c r="AJ141" s="2365"/>
      <c r="AK141" s="2365"/>
      <c r="AL141" s="2365"/>
      <c r="AM141" s="2365"/>
      <c r="AN141" s="2365"/>
      <c r="AO141" s="239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9" t="s">
        <v>1919</v>
      </c>
      <c r="D142" s="2350"/>
      <c r="E142" s="2350"/>
      <c r="F142" s="2350"/>
      <c r="G142" s="2350"/>
      <c r="H142" s="2350"/>
      <c r="I142" s="2350" t="s">
        <v>1920</v>
      </c>
      <c r="J142" s="2350"/>
      <c r="K142" s="2350"/>
      <c r="L142" s="2350"/>
      <c r="M142" s="2350"/>
      <c r="N142" s="2381"/>
      <c r="O142" s="1207"/>
      <c r="P142" s="2313" t="s">
        <v>2262</v>
      </c>
      <c r="Q142" s="2314"/>
      <c r="R142" s="2314"/>
      <c r="S142" s="2314"/>
      <c r="T142" s="2314"/>
      <c r="U142" s="2314"/>
      <c r="V142" s="2314"/>
      <c r="W142" s="2314"/>
      <c r="X142" s="2314"/>
      <c r="Y142" s="2314"/>
      <c r="Z142" s="2314"/>
      <c r="AA142" s="2314"/>
      <c r="AB142" s="2314"/>
      <c r="AC142" s="2314"/>
      <c r="AD142" s="2314"/>
      <c r="AE142" s="2314"/>
      <c r="AF142" s="2314"/>
      <c r="AG142" s="2314"/>
      <c r="AH142" s="2314"/>
      <c r="AI142" s="2314"/>
      <c r="AJ142" s="2314"/>
      <c r="AK142" s="2314"/>
      <c r="AL142" s="2314"/>
      <c r="AM142" s="2314"/>
      <c r="AN142" s="2314"/>
      <c r="AO142" s="231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9"/>
      <c r="D143" s="2264"/>
      <c r="E143" s="2264"/>
      <c r="F143" s="2264"/>
      <c r="G143" s="2264"/>
      <c r="H143" s="2264"/>
      <c r="I143" s="2379"/>
      <c r="J143" s="2379"/>
      <c r="K143" s="2379"/>
      <c r="L143" s="2379"/>
      <c r="M143" s="2379"/>
      <c r="N143" s="2392"/>
      <c r="O143" s="1207"/>
      <c r="P143" s="2313"/>
      <c r="Q143" s="2314"/>
      <c r="R143" s="2314"/>
      <c r="S143" s="2314"/>
      <c r="T143" s="2314"/>
      <c r="U143" s="2314"/>
      <c r="V143" s="2314"/>
      <c r="W143" s="2314"/>
      <c r="X143" s="2314"/>
      <c r="Y143" s="2314"/>
      <c r="Z143" s="2314"/>
      <c r="AA143" s="2314"/>
      <c r="AB143" s="2314"/>
      <c r="AC143" s="2314"/>
      <c r="AD143" s="2314"/>
      <c r="AE143" s="2314"/>
      <c r="AF143" s="2314"/>
      <c r="AG143" s="2314"/>
      <c r="AH143" s="2314"/>
      <c r="AI143" s="2314"/>
      <c r="AJ143" s="2314"/>
      <c r="AK143" s="2314"/>
      <c r="AL143" s="2314"/>
      <c r="AM143" s="2314"/>
      <c r="AN143" s="2314"/>
      <c r="AO143" s="231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9"/>
      <c r="D144" s="2264"/>
      <c r="E144" s="2264"/>
      <c r="F144" s="2264"/>
      <c r="G144" s="2264"/>
      <c r="H144" s="2264"/>
      <c r="I144" s="2379"/>
      <c r="J144" s="2379"/>
      <c r="K144" s="2379"/>
      <c r="L144" s="2379"/>
      <c r="M144" s="2379"/>
      <c r="N144" s="2392"/>
      <c r="O144" s="1207"/>
      <c r="P144" s="2313"/>
      <c r="Q144" s="2314"/>
      <c r="R144" s="2314"/>
      <c r="S144" s="2314"/>
      <c r="T144" s="2314"/>
      <c r="U144" s="2314"/>
      <c r="V144" s="2314"/>
      <c r="W144" s="2314"/>
      <c r="X144" s="2314"/>
      <c r="Y144" s="2314"/>
      <c r="Z144" s="2314"/>
      <c r="AA144" s="2314"/>
      <c r="AB144" s="2314"/>
      <c r="AC144" s="2314"/>
      <c r="AD144" s="2314"/>
      <c r="AE144" s="2314"/>
      <c r="AF144" s="2314"/>
      <c r="AG144" s="2314"/>
      <c r="AH144" s="2314"/>
      <c r="AI144" s="2314"/>
      <c r="AJ144" s="2314"/>
      <c r="AK144" s="2314"/>
      <c r="AL144" s="2314"/>
      <c r="AM144" s="2314"/>
      <c r="AN144" s="2314"/>
      <c r="AO144" s="231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9"/>
      <c r="D145" s="2264"/>
      <c r="E145" s="2264"/>
      <c r="F145" s="2264"/>
      <c r="G145" s="2264"/>
      <c r="H145" s="2264"/>
      <c r="I145" s="2379"/>
      <c r="J145" s="2379"/>
      <c r="K145" s="2379"/>
      <c r="L145" s="2379"/>
      <c r="M145" s="2379"/>
      <c r="N145" s="2392"/>
      <c r="O145" s="1207"/>
      <c r="P145" s="2313"/>
      <c r="Q145" s="2314"/>
      <c r="R145" s="2314"/>
      <c r="S145" s="2314"/>
      <c r="T145" s="2314"/>
      <c r="U145" s="2314"/>
      <c r="V145" s="2314"/>
      <c r="W145" s="2314"/>
      <c r="X145" s="2314"/>
      <c r="Y145" s="2314"/>
      <c r="Z145" s="2314"/>
      <c r="AA145" s="2314"/>
      <c r="AB145" s="2314"/>
      <c r="AC145" s="2314"/>
      <c r="AD145" s="2314"/>
      <c r="AE145" s="2314"/>
      <c r="AF145" s="2314"/>
      <c r="AG145" s="2314"/>
      <c r="AH145" s="2314"/>
      <c r="AI145" s="2314"/>
      <c r="AJ145" s="2314"/>
      <c r="AK145" s="2314"/>
      <c r="AL145" s="2314"/>
      <c r="AM145" s="2314"/>
      <c r="AN145" s="2314"/>
      <c r="AO145" s="231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9"/>
      <c r="D146" s="2264"/>
      <c r="E146" s="2264"/>
      <c r="F146" s="2264"/>
      <c r="G146" s="2264"/>
      <c r="H146" s="2264"/>
      <c r="I146" s="2379"/>
      <c r="J146" s="2379"/>
      <c r="K146" s="2379"/>
      <c r="L146" s="2379"/>
      <c r="M146" s="2379"/>
      <c r="N146" s="2392"/>
      <c r="O146" s="1207"/>
      <c r="P146" s="2313"/>
      <c r="Q146" s="2314"/>
      <c r="R146" s="2314"/>
      <c r="S146" s="2314"/>
      <c r="T146" s="2314"/>
      <c r="U146" s="2314"/>
      <c r="V146" s="2314"/>
      <c r="W146" s="2314"/>
      <c r="X146" s="2314"/>
      <c r="Y146" s="2314"/>
      <c r="Z146" s="2314"/>
      <c r="AA146" s="2314"/>
      <c r="AB146" s="2314"/>
      <c r="AC146" s="2314"/>
      <c r="AD146" s="2314"/>
      <c r="AE146" s="2314"/>
      <c r="AF146" s="2314"/>
      <c r="AG146" s="2314"/>
      <c r="AH146" s="2314"/>
      <c r="AI146" s="2314"/>
      <c r="AJ146" s="2314"/>
      <c r="AK146" s="2314"/>
      <c r="AL146" s="2314"/>
      <c r="AM146" s="2314"/>
      <c r="AN146" s="2314"/>
      <c r="AO146" s="231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9"/>
      <c r="D147" s="2264"/>
      <c r="E147" s="2264"/>
      <c r="F147" s="2264"/>
      <c r="G147" s="2264"/>
      <c r="H147" s="2264"/>
      <c r="I147" s="2379"/>
      <c r="J147" s="2379"/>
      <c r="K147" s="2379"/>
      <c r="L147" s="2379"/>
      <c r="M147" s="2379"/>
      <c r="N147" s="2392"/>
      <c r="O147" s="1207"/>
      <c r="P147" s="2313"/>
      <c r="Q147" s="2314"/>
      <c r="R147" s="2314"/>
      <c r="S147" s="2314"/>
      <c r="T147" s="2314"/>
      <c r="U147" s="2314"/>
      <c r="V147" s="2314"/>
      <c r="W147" s="2314"/>
      <c r="X147" s="2314"/>
      <c r="Y147" s="2314"/>
      <c r="Z147" s="2314"/>
      <c r="AA147" s="2314"/>
      <c r="AB147" s="2314"/>
      <c r="AC147" s="2314"/>
      <c r="AD147" s="2314"/>
      <c r="AE147" s="2314"/>
      <c r="AF147" s="2314"/>
      <c r="AG147" s="2314"/>
      <c r="AH147" s="2314"/>
      <c r="AI147" s="2314"/>
      <c r="AJ147" s="2314"/>
      <c r="AK147" s="2314"/>
      <c r="AL147" s="2314"/>
      <c r="AM147" s="2314"/>
      <c r="AN147" s="2314"/>
      <c r="AO147" s="231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9"/>
      <c r="D148" s="2264"/>
      <c r="E148" s="2264"/>
      <c r="F148" s="2264"/>
      <c r="G148" s="2264"/>
      <c r="H148" s="2264"/>
      <c r="I148" s="2379"/>
      <c r="J148" s="2379"/>
      <c r="K148" s="2379"/>
      <c r="L148" s="2379"/>
      <c r="M148" s="2379"/>
      <c r="N148" s="2392"/>
      <c r="O148" s="1207"/>
      <c r="P148" s="2313"/>
      <c r="Q148" s="2314"/>
      <c r="R148" s="2314"/>
      <c r="S148" s="2314"/>
      <c r="T148" s="2314"/>
      <c r="U148" s="2314"/>
      <c r="V148" s="2314"/>
      <c r="W148" s="2314"/>
      <c r="X148" s="2314"/>
      <c r="Y148" s="2314"/>
      <c r="Z148" s="2314"/>
      <c r="AA148" s="2314"/>
      <c r="AB148" s="2314"/>
      <c r="AC148" s="2314"/>
      <c r="AD148" s="2314"/>
      <c r="AE148" s="2314"/>
      <c r="AF148" s="2314"/>
      <c r="AG148" s="2314"/>
      <c r="AH148" s="2314"/>
      <c r="AI148" s="2314"/>
      <c r="AJ148" s="2314"/>
      <c r="AK148" s="2314"/>
      <c r="AL148" s="2314"/>
      <c r="AM148" s="2314"/>
      <c r="AN148" s="2314"/>
      <c r="AO148" s="231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1"/>
      <c r="D149" s="2402"/>
      <c r="E149" s="2402"/>
      <c r="F149" s="2402"/>
      <c r="G149" s="2402"/>
      <c r="H149" s="2402"/>
      <c r="I149" s="2403"/>
      <c r="J149" s="2403"/>
      <c r="K149" s="2403"/>
      <c r="L149" s="2403"/>
      <c r="M149" s="2403"/>
      <c r="N149" s="2404"/>
      <c r="O149" s="1207"/>
      <c r="P149" s="2316"/>
      <c r="Q149" s="2317"/>
      <c r="R149" s="2317"/>
      <c r="S149" s="2317"/>
      <c r="T149" s="2317"/>
      <c r="U149" s="2317"/>
      <c r="V149" s="2317"/>
      <c r="W149" s="2317"/>
      <c r="X149" s="2317"/>
      <c r="Y149" s="2317"/>
      <c r="Z149" s="2317"/>
      <c r="AA149" s="2317"/>
      <c r="AB149" s="2317"/>
      <c r="AC149" s="2317"/>
      <c r="AD149" s="2317"/>
      <c r="AE149" s="2317"/>
      <c r="AF149" s="2317"/>
      <c r="AG149" s="2317"/>
      <c r="AH149" s="2317"/>
      <c r="AI149" s="2317"/>
      <c r="AJ149" s="2317"/>
      <c r="AK149" s="2317"/>
      <c r="AL149" s="2317"/>
      <c r="AM149" s="2317"/>
      <c r="AN149" s="2317"/>
      <c r="AO149" s="231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5" t="s">
        <v>2599</v>
      </c>
      <c r="D151" s="2405"/>
      <c r="E151" s="2405"/>
      <c r="F151" s="2405"/>
      <c r="G151" s="2405"/>
      <c r="H151" s="2405"/>
      <c r="I151" s="2405"/>
      <c r="J151" s="2405"/>
      <c r="K151" s="2405"/>
      <c r="L151" s="2405"/>
      <c r="M151" s="2405"/>
      <c r="N151" s="2405"/>
      <c r="O151" s="2405"/>
      <c r="P151" s="2405"/>
      <c r="Q151" s="2405"/>
      <c r="R151" s="2405"/>
      <c r="S151" s="2405"/>
      <c r="T151" s="2405"/>
      <c r="U151" s="2405"/>
      <c r="V151" s="2405"/>
      <c r="W151" s="2405"/>
      <c r="X151" s="2405"/>
      <c r="Y151" s="2405"/>
      <c r="Z151" s="2405"/>
      <c r="AA151" s="2405"/>
      <c r="AB151" s="2405"/>
      <c r="AC151" s="2405"/>
      <c r="AD151" s="2405"/>
      <c r="AE151" s="2405"/>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5"/>
      <c r="D152" s="2405"/>
      <c r="E152" s="2405"/>
      <c r="F152" s="2405"/>
      <c r="G152" s="2405"/>
      <c r="H152" s="2405"/>
      <c r="I152" s="2405"/>
      <c r="J152" s="2405"/>
      <c r="K152" s="2405"/>
      <c r="L152" s="2405"/>
      <c r="M152" s="2405"/>
      <c r="N152" s="2405"/>
      <c r="O152" s="2405"/>
      <c r="P152" s="2405"/>
      <c r="Q152" s="2405"/>
      <c r="R152" s="2405"/>
      <c r="S152" s="2405"/>
      <c r="T152" s="2405"/>
      <c r="U152" s="2405"/>
      <c r="V152" s="2405"/>
      <c r="W152" s="2405"/>
      <c r="X152" s="2405"/>
      <c r="Y152" s="2405"/>
      <c r="Z152" s="2405"/>
      <c r="AA152" s="2405"/>
      <c r="AB152" s="2405"/>
      <c r="AC152" s="2405"/>
      <c r="AD152" s="2405"/>
      <c r="AE152" s="2405"/>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9" t="s">
        <v>1910</v>
      </c>
      <c r="D153" s="2310"/>
      <c r="E153" s="2310"/>
      <c r="F153" s="2310"/>
      <c r="G153" s="2310"/>
      <c r="H153" s="2310"/>
      <c r="I153" s="2310"/>
      <c r="J153" s="2310"/>
      <c r="K153" s="2310"/>
      <c r="L153" s="2310"/>
      <c r="M153" s="2310"/>
      <c r="N153" s="2310" t="s">
        <v>1921</v>
      </c>
      <c r="O153" s="2310"/>
      <c r="P153" s="2310"/>
      <c r="Q153" s="2310"/>
      <c r="R153" s="2310"/>
      <c r="S153" s="2310"/>
      <c r="T153" s="2310"/>
      <c r="U153" s="2233" t="s">
        <v>1910</v>
      </c>
      <c r="V153" s="2233"/>
      <c r="W153" s="2233"/>
      <c r="X153" s="2233"/>
      <c r="Y153" s="2233"/>
      <c r="Z153" s="2233"/>
      <c r="AA153" s="2233"/>
      <c r="AB153" s="2233"/>
      <c r="AC153" s="2233"/>
      <c r="AD153" s="2233"/>
      <c r="AE153" s="2234"/>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4" t="s">
        <v>2600</v>
      </c>
      <c r="D154" s="2395"/>
      <c r="E154" s="2395"/>
      <c r="F154" s="2395"/>
      <c r="G154" s="2395"/>
      <c r="H154" s="2395"/>
      <c r="I154" s="2395"/>
      <c r="J154" s="2395"/>
      <c r="K154" s="2395"/>
      <c r="L154" s="2395"/>
      <c r="M154" s="2395"/>
      <c r="N154" s="2396">
        <f>'Sources and Uses Budget'!B105</f>
        <v>11613342.208194248</v>
      </c>
      <c r="O154" s="2396"/>
      <c r="P154" s="2396"/>
      <c r="Q154" s="2396"/>
      <c r="R154" s="2396"/>
      <c r="S154" s="2396"/>
      <c r="T154" s="2396"/>
      <c r="U154" s="2397"/>
      <c r="V154" s="2397"/>
      <c r="W154" s="2397"/>
      <c r="X154" s="2397"/>
      <c r="Y154" s="2397"/>
      <c r="Z154" s="2397"/>
      <c r="AA154" s="2397"/>
      <c r="AB154" s="2397"/>
      <c r="AC154" s="2397"/>
      <c r="AD154" s="2397"/>
      <c r="AE154" s="2398"/>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4" t="s">
        <v>2602</v>
      </c>
      <c r="D155" s="2395"/>
      <c r="E155" s="2395"/>
      <c r="F155" s="2395"/>
      <c r="G155" s="2395"/>
      <c r="H155" s="2395"/>
      <c r="I155" s="2395"/>
      <c r="J155" s="2395"/>
      <c r="K155" s="2395"/>
      <c r="L155" s="2395"/>
      <c r="M155" s="2395"/>
      <c r="N155" s="2396">
        <f>N154/J29</f>
        <v>645185.67823301384</v>
      </c>
      <c r="O155" s="2396"/>
      <c r="P155" s="2396"/>
      <c r="Q155" s="2396"/>
      <c r="R155" s="2396"/>
      <c r="S155" s="2396"/>
      <c r="T155" s="239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9" t="s">
        <v>2603</v>
      </c>
      <c r="D156" s="2400"/>
      <c r="E156" s="2400"/>
      <c r="F156" s="2400"/>
      <c r="G156" s="2400"/>
      <c r="H156" s="2400"/>
      <c r="I156" s="2400"/>
      <c r="J156" s="2400"/>
      <c r="K156" s="2400"/>
      <c r="L156" s="2400"/>
      <c r="M156" s="2400"/>
      <c r="N156" s="2303">
        <v>0</v>
      </c>
      <c r="O156" s="2303"/>
      <c r="P156" s="2303"/>
      <c r="Q156" s="2303"/>
      <c r="R156" s="2303"/>
      <c r="S156" s="2303"/>
      <c r="T156" s="2303"/>
      <c r="U156" s="2276"/>
      <c r="V156" s="2276"/>
      <c r="W156" s="2276"/>
      <c r="X156" s="2276"/>
      <c r="Y156" s="2276"/>
      <c r="Z156" s="2276"/>
      <c r="AA156" s="2276"/>
      <c r="AB156" s="2276"/>
      <c r="AC156" s="2276"/>
      <c r="AD156" s="2276"/>
      <c r="AE156" s="2277"/>
      <c r="AF156" s="1207"/>
      <c r="AG156" s="1207"/>
      <c r="AH156" s="2406" t="s">
        <v>2270</v>
      </c>
      <c r="AI156" s="2407"/>
      <c r="AJ156" s="2407"/>
      <c r="AK156" s="2407"/>
      <c r="AL156" s="2407"/>
      <c r="AM156" s="2407"/>
      <c r="AN156" s="2407"/>
      <c r="AO156" s="2407"/>
      <c r="AP156" s="2407"/>
      <c r="AQ156" s="2407"/>
      <c r="AR156" s="2407"/>
      <c r="AS156" s="2408">
        <f>SUM(AS152:AW154)</f>
        <v>0</v>
      </c>
      <c r="AT156" s="2408"/>
      <c r="AU156" s="2408"/>
      <c r="AV156" s="2408"/>
      <c r="AW156" s="2409"/>
      <c r="AX156" s="1207"/>
      <c r="AY156" s="1207"/>
      <c r="AZ156" s="1207"/>
      <c r="BA156" s="1207"/>
      <c r="BB156" s="1207"/>
      <c r="BC156" s="1207"/>
      <c r="BD156" s="1207"/>
      <c r="BE156" s="1213"/>
    </row>
    <row r="157" spans="1:57" ht="15.75" customHeight="1" thickBot="1">
      <c r="A157" s="1207"/>
      <c r="B157" s="1207"/>
      <c r="C157" s="2394" t="s">
        <v>2604</v>
      </c>
      <c r="D157" s="2395"/>
      <c r="E157" s="2395"/>
      <c r="F157" s="2395"/>
      <c r="G157" s="2395"/>
      <c r="H157" s="2395"/>
      <c r="I157" s="2395"/>
      <c r="J157" s="2395"/>
      <c r="K157" s="2395"/>
      <c r="L157" s="2395"/>
      <c r="M157" s="2395"/>
      <c r="N157" s="2410">
        <f>SUM('Sources and Uses Budget'!B85:B86)</f>
        <v>441233.35</v>
      </c>
      <c r="O157" s="2410"/>
      <c r="P157" s="2410"/>
      <c r="Q157" s="2410"/>
      <c r="R157" s="2410"/>
      <c r="S157" s="2410"/>
      <c r="T157" s="2410"/>
      <c r="U157" s="2276"/>
      <c r="V157" s="2276"/>
      <c r="W157" s="2276"/>
      <c r="X157" s="2276"/>
      <c r="Y157" s="2276"/>
      <c r="Z157" s="2276"/>
      <c r="AA157" s="2276"/>
      <c r="AB157" s="2276"/>
      <c r="AC157" s="2276"/>
      <c r="AD157" s="2276"/>
      <c r="AE157" s="2277"/>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4" t="s">
        <v>2606</v>
      </c>
      <c r="D158" s="2395"/>
      <c r="E158" s="2395"/>
      <c r="F158" s="2395"/>
      <c r="G158" s="2395"/>
      <c r="H158" s="2395"/>
      <c r="I158" s="2395"/>
      <c r="J158" s="2395"/>
      <c r="K158" s="2395"/>
      <c r="L158" s="2395"/>
      <c r="M158" s="2395"/>
      <c r="N158" s="2410">
        <f>'Sources and Uses Budget'!B8</f>
        <v>915995</v>
      </c>
      <c r="O158" s="2410"/>
      <c r="P158" s="2410"/>
      <c r="Q158" s="2410"/>
      <c r="R158" s="2410"/>
      <c r="S158" s="2410"/>
      <c r="T158" s="2410"/>
      <c r="U158" s="2276"/>
      <c r="V158" s="2276"/>
      <c r="W158" s="2276"/>
      <c r="X158" s="2276"/>
      <c r="Y158" s="2276"/>
      <c r="Z158" s="2276"/>
      <c r="AA158" s="2276"/>
      <c r="AB158" s="2276"/>
      <c r="AC158" s="2276"/>
      <c r="AD158" s="2276"/>
      <c r="AE158" s="2277"/>
      <c r="AF158" s="1207"/>
      <c r="AG158" s="1207"/>
      <c r="AH158" s="2411" t="s">
        <v>2607</v>
      </c>
      <c r="AI158" s="2412"/>
      <c r="AJ158" s="2412"/>
      <c r="AK158" s="2412"/>
      <c r="AL158" s="2412"/>
      <c r="AM158" s="2412"/>
      <c r="AN158" s="2412"/>
      <c r="AO158" s="2412"/>
      <c r="AP158" s="2412"/>
      <c r="AQ158" s="2412"/>
      <c r="AR158" s="2413"/>
      <c r="AS158" s="2417" t="s">
        <v>2608</v>
      </c>
      <c r="AT158" s="2418"/>
      <c r="AU158" s="2418"/>
      <c r="AV158" s="2418"/>
      <c r="AW158" s="2418"/>
      <c r="AX158" s="2419"/>
      <c r="AY158" s="2418" t="s">
        <v>2609</v>
      </c>
      <c r="AZ158" s="2418"/>
      <c r="BA158" s="2418"/>
      <c r="BB158" s="2418"/>
      <c r="BC158" s="2418"/>
      <c r="BD158" s="2423"/>
      <c r="BE158" s="1213"/>
    </row>
    <row r="159" spans="1:57" ht="15.75" customHeight="1">
      <c r="A159" s="1207"/>
      <c r="B159" s="1207"/>
      <c r="C159" s="2394" t="s">
        <v>2610</v>
      </c>
      <c r="D159" s="2395"/>
      <c r="E159" s="2395"/>
      <c r="F159" s="2395"/>
      <c r="G159" s="2395"/>
      <c r="H159" s="2395"/>
      <c r="I159" s="2395"/>
      <c r="J159" s="2395"/>
      <c r="K159" s="2395"/>
      <c r="L159" s="2395"/>
      <c r="M159" s="2395"/>
      <c r="N159" s="2425">
        <v>0</v>
      </c>
      <c r="O159" s="2425"/>
      <c r="P159" s="2425"/>
      <c r="Q159" s="2425"/>
      <c r="R159" s="2425"/>
      <c r="S159" s="2425"/>
      <c r="T159" s="2425"/>
      <c r="U159" s="2276"/>
      <c r="V159" s="2276"/>
      <c r="W159" s="2276"/>
      <c r="X159" s="2276"/>
      <c r="Y159" s="2276"/>
      <c r="Z159" s="2276"/>
      <c r="AA159" s="2276"/>
      <c r="AB159" s="2276"/>
      <c r="AC159" s="2276"/>
      <c r="AD159" s="2276"/>
      <c r="AE159" s="2277"/>
      <c r="AF159" s="1207"/>
      <c r="AG159" s="1207"/>
      <c r="AH159" s="2414"/>
      <c r="AI159" s="2415"/>
      <c r="AJ159" s="2415"/>
      <c r="AK159" s="2415"/>
      <c r="AL159" s="2415"/>
      <c r="AM159" s="2415"/>
      <c r="AN159" s="2415"/>
      <c r="AO159" s="2415"/>
      <c r="AP159" s="2415"/>
      <c r="AQ159" s="2415"/>
      <c r="AR159" s="2416"/>
      <c r="AS159" s="2420"/>
      <c r="AT159" s="2421"/>
      <c r="AU159" s="2421"/>
      <c r="AV159" s="2421"/>
      <c r="AW159" s="2421"/>
      <c r="AX159" s="2422"/>
      <c r="AY159" s="2421"/>
      <c r="AZ159" s="2421"/>
      <c r="BA159" s="2421"/>
      <c r="BB159" s="2421"/>
      <c r="BC159" s="2421"/>
      <c r="BD159" s="2424"/>
      <c r="BE159" s="1213"/>
    </row>
    <row r="160" spans="1:57" ht="15.75" customHeight="1">
      <c r="A160" s="1207"/>
      <c r="B160" s="1207"/>
      <c r="C160" s="2394" t="s">
        <v>2611</v>
      </c>
      <c r="D160" s="2395"/>
      <c r="E160" s="2395"/>
      <c r="F160" s="2395"/>
      <c r="G160" s="2395"/>
      <c r="H160" s="2395"/>
      <c r="I160" s="2395"/>
      <c r="J160" s="2395"/>
      <c r="K160" s="2395"/>
      <c r="L160" s="2395"/>
      <c r="M160" s="2395"/>
      <c r="N160" s="2425">
        <v>0</v>
      </c>
      <c r="O160" s="2425"/>
      <c r="P160" s="2425"/>
      <c r="Q160" s="2425"/>
      <c r="R160" s="2425"/>
      <c r="S160" s="2425"/>
      <c r="T160" s="2425"/>
      <c r="U160" s="2276"/>
      <c r="V160" s="2276"/>
      <c r="W160" s="2276"/>
      <c r="X160" s="2276"/>
      <c r="Y160" s="2276"/>
      <c r="Z160" s="2276"/>
      <c r="AA160" s="2276"/>
      <c r="AB160" s="2276"/>
      <c r="AC160" s="2276"/>
      <c r="AD160" s="2276"/>
      <c r="AE160" s="2277"/>
      <c r="AF160" s="1207"/>
      <c r="AG160" s="1207"/>
      <c r="AH160" s="2426" t="s">
        <v>2271</v>
      </c>
      <c r="AI160" s="2427"/>
      <c r="AJ160" s="2427"/>
      <c r="AK160" s="2427"/>
      <c r="AL160" s="2427"/>
      <c r="AM160" s="2427"/>
      <c r="AN160" s="2427"/>
      <c r="AO160" s="2427"/>
      <c r="AP160" s="2427"/>
      <c r="AQ160" s="2427"/>
      <c r="AR160" s="2427"/>
      <c r="AS160" s="2428">
        <v>0</v>
      </c>
      <c r="AT160" s="2428"/>
      <c r="AU160" s="2428"/>
      <c r="AV160" s="2428"/>
      <c r="AW160" s="2428"/>
      <c r="AX160" s="2428"/>
      <c r="AY160" s="2428">
        <v>0</v>
      </c>
      <c r="AZ160" s="2428"/>
      <c r="BA160" s="2428"/>
      <c r="BB160" s="2428"/>
      <c r="BC160" s="2428"/>
      <c r="BD160" s="2429"/>
      <c r="BE160" s="1213"/>
    </row>
    <row r="161" spans="1:57" ht="15.75" customHeight="1">
      <c r="A161" s="1207"/>
      <c r="B161" s="1207"/>
      <c r="C161" s="2431" t="s">
        <v>301</v>
      </c>
      <c r="D161" s="2378"/>
      <c r="E161" s="2430" t="s">
        <v>1916</v>
      </c>
      <c r="F161" s="2430"/>
      <c r="G161" s="2430"/>
      <c r="H161" s="2430"/>
      <c r="I161" s="2430"/>
      <c r="J161" s="2430"/>
      <c r="K161" s="2430"/>
      <c r="L161" s="2430"/>
      <c r="M161" s="2430"/>
      <c r="N161" s="2425">
        <v>0</v>
      </c>
      <c r="O161" s="2425"/>
      <c r="P161" s="2425"/>
      <c r="Q161" s="2425"/>
      <c r="R161" s="2425"/>
      <c r="S161" s="2425"/>
      <c r="T161" s="2425"/>
      <c r="U161" s="2276"/>
      <c r="V161" s="2276"/>
      <c r="W161" s="2276"/>
      <c r="X161" s="2276"/>
      <c r="Y161" s="2276"/>
      <c r="Z161" s="2276"/>
      <c r="AA161" s="2276"/>
      <c r="AB161" s="2276"/>
      <c r="AC161" s="2276"/>
      <c r="AD161" s="2276"/>
      <c r="AE161" s="2277"/>
      <c r="AF161" s="1207"/>
      <c r="AG161" s="1207"/>
      <c r="AH161" s="2426" t="s">
        <v>2272</v>
      </c>
      <c r="AI161" s="2427"/>
      <c r="AJ161" s="2427"/>
      <c r="AK161" s="2427"/>
      <c r="AL161" s="2427"/>
      <c r="AM161" s="2427"/>
      <c r="AN161" s="2427"/>
      <c r="AO161" s="2427"/>
      <c r="AP161" s="2427"/>
      <c r="AQ161" s="2427"/>
      <c r="AR161" s="2427"/>
      <c r="AS161" s="2428">
        <v>0</v>
      </c>
      <c r="AT161" s="2428"/>
      <c r="AU161" s="2428"/>
      <c r="AV161" s="2428"/>
      <c r="AW161" s="2428"/>
      <c r="AX161" s="2428"/>
      <c r="AY161" s="2428">
        <v>0</v>
      </c>
      <c r="AZ161" s="2428"/>
      <c r="BA161" s="2428"/>
      <c r="BB161" s="2428"/>
      <c r="BC161" s="2428"/>
      <c r="BD161" s="2429"/>
      <c r="BE161" s="1213"/>
    </row>
    <row r="162" spans="1:57" ht="15.75" customHeight="1">
      <c r="A162" s="1207"/>
      <c r="B162" s="1207"/>
      <c r="C162" s="2319" t="s">
        <v>301</v>
      </c>
      <c r="D162" s="2264"/>
      <c r="E162" s="2430" t="s">
        <v>1916</v>
      </c>
      <c r="F162" s="2430"/>
      <c r="G162" s="2430"/>
      <c r="H162" s="2430"/>
      <c r="I162" s="2430"/>
      <c r="J162" s="2430"/>
      <c r="K162" s="2430"/>
      <c r="L162" s="2430"/>
      <c r="M162" s="2430"/>
      <c r="N162" s="2425">
        <v>0</v>
      </c>
      <c r="O162" s="2425"/>
      <c r="P162" s="2425"/>
      <c r="Q162" s="2425"/>
      <c r="R162" s="2425"/>
      <c r="S162" s="2425"/>
      <c r="T162" s="2425"/>
      <c r="U162" s="2276"/>
      <c r="V162" s="2276"/>
      <c r="W162" s="2276"/>
      <c r="X162" s="2276"/>
      <c r="Y162" s="2276"/>
      <c r="Z162" s="2276"/>
      <c r="AA162" s="2276"/>
      <c r="AB162" s="2276"/>
      <c r="AC162" s="2276"/>
      <c r="AD162" s="2276"/>
      <c r="AE162" s="2277"/>
      <c r="AF162" s="1207"/>
      <c r="AG162" s="1207"/>
      <c r="AH162" s="2426" t="s">
        <v>2273</v>
      </c>
      <c r="AI162" s="2427"/>
      <c r="AJ162" s="2427"/>
      <c r="AK162" s="2427"/>
      <c r="AL162" s="2427"/>
      <c r="AM162" s="2427"/>
      <c r="AN162" s="2427"/>
      <c r="AO162" s="2427"/>
      <c r="AP162" s="2427"/>
      <c r="AQ162" s="2427"/>
      <c r="AR162" s="2427"/>
      <c r="AS162" s="2428">
        <v>0</v>
      </c>
      <c r="AT162" s="2428"/>
      <c r="AU162" s="2428"/>
      <c r="AV162" s="2428"/>
      <c r="AW162" s="2428"/>
      <c r="AX162" s="2428"/>
      <c r="AY162" s="2428">
        <v>0</v>
      </c>
      <c r="AZ162" s="2428"/>
      <c r="BA162" s="2428"/>
      <c r="BB162" s="2428"/>
      <c r="BC162" s="2428"/>
      <c r="BD162" s="2429"/>
      <c r="BE162" s="1213"/>
    </row>
    <row r="163" spans="1:57" ht="15.75" customHeight="1" thickBot="1">
      <c r="A163" s="1207"/>
      <c r="B163" s="1207"/>
      <c r="C163" s="2436" t="s">
        <v>301</v>
      </c>
      <c r="D163" s="2437"/>
      <c r="E163" s="2438" t="s">
        <v>1916</v>
      </c>
      <c r="F163" s="2438"/>
      <c r="G163" s="2438"/>
      <c r="H163" s="2438"/>
      <c r="I163" s="2438"/>
      <c r="J163" s="2438"/>
      <c r="K163" s="2438"/>
      <c r="L163" s="2438"/>
      <c r="M163" s="2439"/>
      <c r="N163" s="2440">
        <v>0</v>
      </c>
      <c r="O163" s="2440"/>
      <c r="P163" s="2440"/>
      <c r="Q163" s="2440"/>
      <c r="R163" s="2440"/>
      <c r="S163" s="2440"/>
      <c r="T163" s="2441"/>
      <c r="U163" s="2442"/>
      <c r="V163" s="2443"/>
      <c r="W163" s="2443"/>
      <c r="X163" s="2443"/>
      <c r="Y163" s="2443"/>
      <c r="Z163" s="2443"/>
      <c r="AA163" s="2443"/>
      <c r="AB163" s="2443"/>
      <c r="AC163" s="2443"/>
      <c r="AD163" s="2443"/>
      <c r="AE163" s="2444"/>
      <c r="AF163" s="1207"/>
      <c r="AG163" s="1207"/>
      <c r="AH163" s="2426" t="s">
        <v>2274</v>
      </c>
      <c r="AI163" s="2427"/>
      <c r="AJ163" s="2427"/>
      <c r="AK163" s="2427"/>
      <c r="AL163" s="2427"/>
      <c r="AM163" s="2427"/>
      <c r="AN163" s="2427"/>
      <c r="AO163" s="2427"/>
      <c r="AP163" s="2427"/>
      <c r="AQ163" s="2427"/>
      <c r="AR163" s="2427"/>
      <c r="AS163" s="2428">
        <v>0</v>
      </c>
      <c r="AT163" s="2428"/>
      <c r="AU163" s="2428"/>
      <c r="AV163" s="2428"/>
      <c r="AW163" s="2428"/>
      <c r="AX163" s="2428"/>
      <c r="AY163" s="2428">
        <v>0</v>
      </c>
      <c r="AZ163" s="2428"/>
      <c r="BA163" s="2428"/>
      <c r="BB163" s="2428"/>
      <c r="BC163" s="2428"/>
      <c r="BD163" s="2429"/>
      <c r="BE163" s="1213"/>
    </row>
    <row r="164" spans="1:57" ht="15.75" customHeight="1">
      <c r="A164" s="1207"/>
      <c r="B164" s="1207"/>
      <c r="C164" s="2432" t="s">
        <v>1924</v>
      </c>
      <c r="D164" s="2433"/>
      <c r="E164" s="2433"/>
      <c r="F164" s="2433"/>
      <c r="G164" s="2433"/>
      <c r="H164" s="2433"/>
      <c r="I164" s="2433"/>
      <c r="J164" s="2433"/>
      <c r="K164" s="2433"/>
      <c r="L164" s="2433"/>
      <c r="M164" s="2433"/>
      <c r="N164" s="2434">
        <f>SUM(N156:T163)</f>
        <v>1357228.35</v>
      </c>
      <c r="O164" s="2434"/>
      <c r="P164" s="2434"/>
      <c r="Q164" s="2434"/>
      <c r="R164" s="2434"/>
      <c r="S164" s="2434"/>
      <c r="T164" s="2435"/>
      <c r="U164" s="1207"/>
      <c r="V164" s="1207"/>
      <c r="W164" s="1207"/>
      <c r="X164" s="1207"/>
      <c r="Y164" s="1207"/>
      <c r="Z164" s="1207"/>
      <c r="AA164" s="1207"/>
      <c r="AB164" s="1207"/>
      <c r="AC164" s="1207"/>
      <c r="AD164" s="1207"/>
      <c r="AE164" s="1207"/>
      <c r="AF164" s="1207"/>
      <c r="AG164" s="1207"/>
      <c r="AH164" s="2426" t="s">
        <v>2275</v>
      </c>
      <c r="AI164" s="2427"/>
      <c r="AJ164" s="2427"/>
      <c r="AK164" s="2427"/>
      <c r="AL164" s="2427"/>
      <c r="AM164" s="2427"/>
      <c r="AN164" s="2427"/>
      <c r="AO164" s="2427"/>
      <c r="AP164" s="2427"/>
      <c r="AQ164" s="2427"/>
      <c r="AR164" s="2427"/>
      <c r="AS164" s="2428">
        <v>0</v>
      </c>
      <c r="AT164" s="2428"/>
      <c r="AU164" s="2428"/>
      <c r="AV164" s="2428"/>
      <c r="AW164" s="2428"/>
      <c r="AX164" s="2428"/>
      <c r="AY164" s="2428">
        <v>0</v>
      </c>
      <c r="AZ164" s="2428"/>
      <c r="BA164" s="2428"/>
      <c r="BB164" s="2428"/>
      <c r="BC164" s="2428"/>
      <c r="BD164" s="2429"/>
      <c r="BE164" s="1213"/>
    </row>
    <row r="165" spans="1:57" ht="15.75" customHeight="1" thickBot="1">
      <c r="A165" s="1207"/>
      <c r="B165" s="1207"/>
      <c r="C165" s="2458" t="s">
        <v>2612</v>
      </c>
      <c r="D165" s="2459"/>
      <c r="E165" s="2459"/>
      <c r="F165" s="2459"/>
      <c r="G165" s="2459"/>
      <c r="H165" s="2459"/>
      <c r="I165" s="2459"/>
      <c r="J165" s="2459"/>
      <c r="K165" s="2459"/>
      <c r="L165" s="2459"/>
      <c r="M165" s="2459"/>
      <c r="N165" s="2460">
        <f>(N154-N164)/J29</f>
        <v>569784.10323301377</v>
      </c>
      <c r="O165" s="2461"/>
      <c r="P165" s="2461"/>
      <c r="Q165" s="2461"/>
      <c r="R165" s="2461"/>
      <c r="S165" s="2461"/>
      <c r="T165" s="2462"/>
      <c r="U165" s="1214"/>
      <c r="V165" s="1207"/>
      <c r="W165" s="1207"/>
      <c r="X165" s="1207"/>
      <c r="Y165" s="1207"/>
      <c r="Z165" s="1207"/>
      <c r="AA165" s="1207"/>
      <c r="AB165" s="1207"/>
      <c r="AC165" s="1207"/>
      <c r="AD165" s="1207"/>
      <c r="AE165" s="1207"/>
      <c r="AF165" s="1207"/>
      <c r="AG165" s="1207"/>
      <c r="AH165" s="2426" t="s">
        <v>2276</v>
      </c>
      <c r="AI165" s="2427"/>
      <c r="AJ165" s="2427"/>
      <c r="AK165" s="2427"/>
      <c r="AL165" s="2427"/>
      <c r="AM165" s="2427"/>
      <c r="AN165" s="2427"/>
      <c r="AO165" s="2427"/>
      <c r="AP165" s="2427"/>
      <c r="AQ165" s="2427"/>
      <c r="AR165" s="2427"/>
      <c r="AS165" s="2428">
        <v>0</v>
      </c>
      <c r="AT165" s="2428"/>
      <c r="AU165" s="2428"/>
      <c r="AV165" s="2428"/>
      <c r="AW165" s="2428"/>
      <c r="AX165" s="2428"/>
      <c r="AY165" s="2428">
        <v>0</v>
      </c>
      <c r="AZ165" s="2428"/>
      <c r="BA165" s="2428"/>
      <c r="BB165" s="2428"/>
      <c r="BC165" s="2428"/>
      <c r="BD165" s="242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3" t="s">
        <v>125</v>
      </c>
      <c r="AI166" s="2464"/>
      <c r="AJ166" s="2464"/>
      <c r="AK166" s="2464"/>
      <c r="AL166" s="2464"/>
      <c r="AM166" s="2464"/>
      <c r="AN166" s="2464"/>
      <c r="AO166" s="2464"/>
      <c r="AP166" s="2464"/>
      <c r="AQ166" s="2464"/>
      <c r="AR166" s="2464"/>
      <c r="AS166" s="2465">
        <f>SUM(AS160:AX165)</f>
        <v>0</v>
      </c>
      <c r="AT166" s="2465"/>
      <c r="AU166" s="2465"/>
      <c r="AV166" s="2465"/>
      <c r="AW166" s="2465"/>
      <c r="AX166" s="2465"/>
      <c r="AY166" s="2465">
        <f>SUM(AY160:BD165)</f>
        <v>0</v>
      </c>
      <c r="AZ166" s="2465"/>
      <c r="BA166" s="2465"/>
      <c r="BB166" s="2465"/>
      <c r="BC166" s="2465"/>
      <c r="BD166" s="246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5" t="s">
        <v>1925</v>
      </c>
      <c r="C168" s="2446"/>
      <c r="D168" s="2446"/>
      <c r="E168" s="2446"/>
      <c r="F168" s="2446"/>
      <c r="G168" s="2446"/>
      <c r="H168" s="2446"/>
      <c r="I168" s="2446"/>
      <c r="J168" s="2446"/>
      <c r="K168" s="2446"/>
      <c r="L168" s="2446"/>
      <c r="M168" s="2446"/>
      <c r="N168" s="2446"/>
      <c r="O168" s="2446"/>
      <c r="P168" s="2446"/>
      <c r="Q168" s="2446"/>
      <c r="R168" s="2446"/>
      <c r="S168" s="2446"/>
      <c r="T168" s="2446"/>
      <c r="U168" s="2446"/>
      <c r="V168" s="2446"/>
      <c r="W168" s="2446"/>
      <c r="X168" s="2446"/>
      <c r="Y168" s="2446"/>
      <c r="Z168" s="2446"/>
      <c r="AA168" s="2446"/>
      <c r="AB168" s="2446"/>
      <c r="AC168" s="2446"/>
      <c r="AD168" s="2446"/>
      <c r="AE168" s="2446"/>
      <c r="AF168" s="2446"/>
      <c r="AG168" s="2446"/>
      <c r="AH168" s="2446"/>
      <c r="AI168" s="2446"/>
      <c r="AJ168" s="2446"/>
      <c r="AK168" s="2446"/>
      <c r="AL168" s="2446"/>
      <c r="AM168" s="2446"/>
      <c r="AN168" s="2446"/>
      <c r="AO168" s="2446"/>
      <c r="AP168" s="2446"/>
      <c r="AQ168" s="2446"/>
      <c r="AR168" s="2446"/>
      <c r="AS168" s="2446"/>
      <c r="AT168" s="2446"/>
      <c r="AU168" s="2446"/>
      <c r="AV168" s="2446"/>
      <c r="AW168" s="2446"/>
      <c r="AX168" s="2446"/>
      <c r="AY168" s="2446"/>
      <c r="AZ168" s="2446"/>
      <c r="BA168" s="2446"/>
      <c r="BB168" s="2446"/>
      <c r="BC168" s="2446"/>
      <c r="BD168" s="2447"/>
      <c r="BE168" s="1213"/>
    </row>
    <row r="169" spans="1:57" ht="15.75" customHeight="1">
      <c r="A169" s="1207"/>
      <c r="B169" s="2448"/>
      <c r="C169" s="2449"/>
      <c r="D169" s="2449"/>
      <c r="E169" s="2449"/>
      <c r="F169" s="2449"/>
      <c r="G169" s="2449"/>
      <c r="H169" s="2449"/>
      <c r="I169" s="2449"/>
      <c r="J169" s="2449"/>
      <c r="K169" s="2449"/>
      <c r="L169" s="2449"/>
      <c r="M169" s="2449"/>
      <c r="N169" s="2449"/>
      <c r="O169" s="2449"/>
      <c r="P169" s="2449"/>
      <c r="Q169" s="2449"/>
      <c r="R169" s="2449"/>
      <c r="S169" s="2449"/>
      <c r="T169" s="2449"/>
      <c r="U169" s="2449"/>
      <c r="V169" s="2449"/>
      <c r="W169" s="2449"/>
      <c r="X169" s="2449"/>
      <c r="Y169" s="2449"/>
      <c r="Z169" s="2449"/>
      <c r="AA169" s="2449"/>
      <c r="AB169" s="2449"/>
      <c r="AC169" s="2449"/>
      <c r="AD169" s="2449"/>
      <c r="AE169" s="2449"/>
      <c r="AF169" s="2449"/>
      <c r="AG169" s="2449"/>
      <c r="AH169" s="2449"/>
      <c r="AI169" s="2449"/>
      <c r="AJ169" s="2449"/>
      <c r="AK169" s="2449"/>
      <c r="AL169" s="2449"/>
      <c r="AM169" s="2449"/>
      <c r="AN169" s="2449"/>
      <c r="AO169" s="2449"/>
      <c r="AP169" s="2449"/>
      <c r="AQ169" s="2449"/>
      <c r="AR169" s="2449"/>
      <c r="AS169" s="2449"/>
      <c r="AT169" s="2449"/>
      <c r="AU169" s="2449"/>
      <c r="AV169" s="2449"/>
      <c r="AW169" s="2449"/>
      <c r="AX169" s="2449"/>
      <c r="AY169" s="2449"/>
      <c r="AZ169" s="2449"/>
      <c r="BA169" s="2449"/>
      <c r="BB169" s="2449"/>
      <c r="BC169" s="2449"/>
      <c r="BD169" s="2450"/>
      <c r="BE169" s="1213"/>
    </row>
    <row r="170" spans="1:57" ht="15.75" customHeight="1">
      <c r="A170" s="1207"/>
      <c r="B170" s="2451" t="s">
        <v>1926</v>
      </c>
      <c r="C170" s="2452"/>
      <c r="D170" s="2452"/>
      <c r="E170" s="2452"/>
      <c r="F170" s="2452"/>
      <c r="G170" s="2452"/>
      <c r="H170" s="2452"/>
      <c r="I170" s="2452"/>
      <c r="J170" s="2452"/>
      <c r="K170" s="2452"/>
      <c r="L170" s="2452"/>
      <c r="M170" s="2452"/>
      <c r="N170" s="2452"/>
      <c r="O170" s="2452"/>
      <c r="P170" s="2452"/>
      <c r="Q170" s="2452"/>
      <c r="R170" s="2452"/>
      <c r="S170" s="2452"/>
      <c r="T170" s="2452"/>
      <c r="U170" s="2452"/>
      <c r="V170" s="2452"/>
      <c r="W170" s="2452"/>
      <c r="X170" s="2452"/>
      <c r="Y170" s="2452"/>
      <c r="Z170" s="2452"/>
      <c r="AA170" s="2452"/>
      <c r="AB170" s="2452"/>
      <c r="AC170" s="2452"/>
      <c r="AD170" s="2452"/>
      <c r="AE170" s="2452"/>
      <c r="AF170" s="2452"/>
      <c r="AG170" s="2452"/>
      <c r="AH170" s="2452"/>
      <c r="AI170" s="2452"/>
      <c r="AJ170" s="2452"/>
      <c r="AK170" s="2452"/>
      <c r="AL170" s="2452"/>
      <c r="AM170" s="2452"/>
      <c r="AN170" s="2452"/>
      <c r="AO170" s="2452"/>
      <c r="AP170" s="2452"/>
      <c r="AQ170" s="2452"/>
      <c r="AR170" s="2452"/>
      <c r="AS170" s="2452"/>
      <c r="AT170" s="2452"/>
      <c r="AU170" s="2452"/>
      <c r="AV170" s="2452"/>
      <c r="AW170" s="2452"/>
      <c r="AX170" s="2452"/>
      <c r="AY170" s="2452"/>
      <c r="AZ170" s="2452"/>
      <c r="BA170" s="2452"/>
      <c r="BB170" s="2452"/>
      <c r="BC170" s="2452"/>
      <c r="BD170" s="2453"/>
      <c r="BE170" s="1213"/>
    </row>
    <row r="171" spans="1:57" ht="15.75" customHeight="1">
      <c r="A171" s="1207"/>
      <c r="B171" s="2451" t="s">
        <v>1927</v>
      </c>
      <c r="C171" s="2452"/>
      <c r="D171" s="2452"/>
      <c r="E171" s="2452"/>
      <c r="F171" s="2452"/>
      <c r="G171" s="2452"/>
      <c r="H171" s="2452"/>
      <c r="I171" s="2452"/>
      <c r="J171" s="2452"/>
      <c r="K171" s="2452"/>
      <c r="L171" s="2452"/>
      <c r="M171" s="2452"/>
      <c r="N171" s="2452"/>
      <c r="O171" s="2452"/>
      <c r="P171" s="2452"/>
      <c r="Q171" s="2452"/>
      <c r="R171" s="2452"/>
      <c r="S171" s="2452"/>
      <c r="T171" s="2452"/>
      <c r="U171" s="2452"/>
      <c r="V171" s="2452"/>
      <c r="W171" s="2452"/>
      <c r="X171" s="2452"/>
      <c r="Y171" s="2452"/>
      <c r="Z171" s="2452"/>
      <c r="AA171" s="2452"/>
      <c r="AB171" s="2452"/>
      <c r="AC171" s="2452"/>
      <c r="AD171" s="2452"/>
      <c r="AE171" s="2452"/>
      <c r="AF171" s="2452"/>
      <c r="AG171" s="2452"/>
      <c r="AH171" s="2452"/>
      <c r="AI171" s="2452"/>
      <c r="AJ171" s="2452"/>
      <c r="AK171" s="2452"/>
      <c r="AL171" s="2452"/>
      <c r="AM171" s="2452"/>
      <c r="AN171" s="2452"/>
      <c r="AO171" s="2452"/>
      <c r="AP171" s="2452"/>
      <c r="AQ171" s="2452"/>
      <c r="AR171" s="2452"/>
      <c r="AS171" s="2452"/>
      <c r="AT171" s="2452"/>
      <c r="AU171" s="2452"/>
      <c r="AV171" s="2452"/>
      <c r="AW171" s="2452"/>
      <c r="AX171" s="2452"/>
      <c r="AY171" s="2452"/>
      <c r="AZ171" s="2452"/>
      <c r="BA171" s="2452"/>
      <c r="BB171" s="2452"/>
      <c r="BC171" s="2452"/>
      <c r="BD171" s="245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4" t="s">
        <v>1928</v>
      </c>
      <c r="C173" s="2455"/>
      <c r="D173" s="2455"/>
      <c r="E173" s="2455"/>
      <c r="F173" s="2455"/>
      <c r="G173" s="2455"/>
      <c r="H173" s="2455"/>
      <c r="I173" s="2455"/>
      <c r="J173" s="2455"/>
      <c r="K173" s="2455"/>
      <c r="L173" s="2455"/>
      <c r="M173" s="2455"/>
      <c r="N173" s="2455"/>
      <c r="O173" s="2455"/>
      <c r="P173" s="2455"/>
      <c r="Q173" s="2455"/>
      <c r="R173" s="2455"/>
      <c r="S173" s="2455"/>
      <c r="T173" s="2455"/>
      <c r="U173" s="2455"/>
      <c r="V173" s="2455"/>
      <c r="W173" s="2455"/>
      <c r="X173" s="2455"/>
      <c r="Y173" s="2455"/>
      <c r="Z173" s="2455"/>
      <c r="AA173" s="2455"/>
      <c r="AB173" s="2455"/>
      <c r="AC173" s="2455"/>
      <c r="AD173" s="2455"/>
      <c r="AE173" s="2455"/>
      <c r="AF173" s="2455"/>
      <c r="AG173" s="2455"/>
      <c r="AH173" s="2455"/>
      <c r="AI173" s="2455"/>
      <c r="AJ173" s="2455"/>
      <c r="AK173" s="2455"/>
      <c r="AL173" s="2455"/>
      <c r="AM173" s="2455"/>
      <c r="AN173" s="2455"/>
      <c r="AO173" s="2455"/>
      <c r="AP173" s="2455"/>
      <c r="AQ173" s="2455"/>
      <c r="AR173" s="2455"/>
      <c r="AS173" s="2455"/>
      <c r="AT173" s="2455"/>
      <c r="AU173" s="2455"/>
      <c r="AV173" s="2455"/>
      <c r="AW173" s="2455"/>
      <c r="AX173" s="2455"/>
      <c r="AY173" s="2455"/>
      <c r="AZ173" s="2455"/>
      <c r="BA173" s="2455"/>
      <c r="BB173" s="2455"/>
      <c r="BC173" s="2455"/>
      <c r="BD173" s="245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7" t="s">
        <v>1930</v>
      </c>
      <c r="I177" s="2457"/>
      <c r="J177" s="2457"/>
      <c r="K177" s="2457"/>
      <c r="L177" s="2457"/>
      <c r="M177" s="2457"/>
      <c r="N177" s="2457"/>
      <c r="O177" s="2457"/>
      <c r="P177" s="2457"/>
      <c r="Q177" s="2457"/>
      <c r="R177" s="2457"/>
      <c r="S177" s="2457"/>
      <c r="T177" s="2457"/>
      <c r="U177" s="2457"/>
      <c r="V177" s="2457"/>
      <c r="W177" s="2457"/>
      <c r="X177" s="2457"/>
      <c r="Y177" s="2457"/>
      <c r="Z177" s="2457"/>
      <c r="AA177" s="2457"/>
      <c r="AB177" s="2457"/>
      <c r="AC177" s="2457"/>
      <c r="AD177" s="2457"/>
      <c r="AE177" s="2457"/>
      <c r="AF177" s="2457"/>
      <c r="AG177" s="2457"/>
      <c r="AH177" s="2457"/>
      <c r="AI177" s="2457"/>
      <c r="AJ177" s="2457"/>
      <c r="AK177" s="2457"/>
      <c r="AL177" s="2457"/>
      <c r="AM177" s="2457"/>
      <c r="AN177" s="2457"/>
      <c r="AO177" s="2457"/>
      <c r="AP177" s="2457"/>
      <c r="AQ177" s="2457"/>
      <c r="AR177" s="2457"/>
      <c r="AS177" s="2457"/>
      <c r="AT177" s="2457"/>
      <c r="AU177" s="2457"/>
      <c r="AV177" s="2457"/>
      <c r="AW177" s="2457"/>
      <c r="AX177" s="2457"/>
      <c r="AY177" s="245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6" t="s">
        <v>2613</v>
      </c>
      <c r="I179" s="2476"/>
      <c r="J179" s="2476"/>
      <c r="K179" s="2476"/>
      <c r="L179" s="2476"/>
      <c r="M179" s="2476"/>
      <c r="N179" s="2476"/>
      <c r="O179" s="2476"/>
      <c r="P179" s="2476"/>
      <c r="Q179" s="2476"/>
      <c r="R179" s="2476"/>
      <c r="S179" s="2476"/>
      <c r="T179" s="2476"/>
      <c r="U179" s="2476"/>
      <c r="V179" s="2476"/>
      <c r="W179" s="2476"/>
      <c r="X179" s="2476"/>
      <c r="Y179" s="2476"/>
      <c r="Z179" s="2476"/>
      <c r="AA179" s="2476"/>
      <c r="AB179" s="2476"/>
      <c r="AC179" s="2476"/>
      <c r="AD179" s="2476"/>
      <c r="AE179" s="2476"/>
      <c r="AF179" s="2476"/>
      <c r="AG179" s="2476"/>
      <c r="AH179" s="2476"/>
      <c r="AI179" s="2476"/>
      <c r="AJ179" s="2476"/>
      <c r="AK179" s="2476"/>
      <c r="AL179" s="2476"/>
      <c r="AM179" s="2476"/>
      <c r="AN179" s="2476"/>
      <c r="AO179" s="2476"/>
      <c r="AP179" s="2476"/>
      <c r="AQ179" s="2476"/>
      <c r="AR179" s="2476"/>
      <c r="AS179" s="2476"/>
      <c r="AT179" s="2476"/>
      <c r="AU179" s="2476"/>
      <c r="AV179" s="2476"/>
      <c r="AW179" s="2476"/>
      <c r="AX179" s="2476"/>
      <c r="AY179" s="2476"/>
      <c r="AZ179" s="2476"/>
      <c r="BA179" s="1207"/>
      <c r="BB179" s="1207"/>
      <c r="BC179" s="1207"/>
      <c r="BD179" s="1213"/>
      <c r="BE179" s="1213"/>
    </row>
    <row r="180" spans="1:57" ht="15.75" customHeight="1">
      <c r="A180" s="1207"/>
      <c r="B180" s="1206"/>
      <c r="C180" s="1207"/>
      <c r="D180" s="1207"/>
      <c r="E180" s="1207"/>
      <c r="F180" s="1207"/>
      <c r="G180" s="1207"/>
      <c r="H180" s="2476"/>
      <c r="I180" s="2476"/>
      <c r="J180" s="2476"/>
      <c r="K180" s="2476"/>
      <c r="L180" s="2476"/>
      <c r="M180" s="2476"/>
      <c r="N180" s="2476"/>
      <c r="O180" s="2476"/>
      <c r="P180" s="2476"/>
      <c r="Q180" s="2476"/>
      <c r="R180" s="2476"/>
      <c r="S180" s="2476"/>
      <c r="T180" s="2476"/>
      <c r="U180" s="2476"/>
      <c r="V180" s="2476"/>
      <c r="W180" s="2476"/>
      <c r="X180" s="2476"/>
      <c r="Y180" s="2476"/>
      <c r="Z180" s="2476"/>
      <c r="AA180" s="2476"/>
      <c r="AB180" s="2476"/>
      <c r="AC180" s="2476"/>
      <c r="AD180" s="2476"/>
      <c r="AE180" s="2476"/>
      <c r="AF180" s="2476"/>
      <c r="AG180" s="2476"/>
      <c r="AH180" s="2476"/>
      <c r="AI180" s="2476"/>
      <c r="AJ180" s="2476"/>
      <c r="AK180" s="2476"/>
      <c r="AL180" s="2476"/>
      <c r="AM180" s="2476"/>
      <c r="AN180" s="2476"/>
      <c r="AO180" s="2476"/>
      <c r="AP180" s="2476"/>
      <c r="AQ180" s="2476"/>
      <c r="AR180" s="2476"/>
      <c r="AS180" s="2476"/>
      <c r="AT180" s="2476"/>
      <c r="AU180" s="2476"/>
      <c r="AV180" s="2476"/>
      <c r="AW180" s="2476"/>
      <c r="AX180" s="2476"/>
      <c r="AY180" s="2476"/>
      <c r="AZ180" s="2476"/>
      <c r="BA180" s="1207"/>
      <c r="BB180" s="1207"/>
      <c r="BC180" s="1207"/>
      <c r="BD180" s="1213"/>
      <c r="BE180" s="1213"/>
    </row>
    <row r="181" spans="1:57" ht="15.75" customHeight="1">
      <c r="A181" s="1207"/>
      <c r="B181" s="1206"/>
      <c r="C181" s="1207"/>
      <c r="D181" s="1207"/>
      <c r="E181" s="1207"/>
      <c r="F181" s="1207"/>
      <c r="G181" s="1207"/>
      <c r="H181" s="2476"/>
      <c r="I181" s="2476"/>
      <c r="J181" s="2476"/>
      <c r="K181" s="2476"/>
      <c r="L181" s="2476"/>
      <c r="M181" s="2476"/>
      <c r="N181" s="2476"/>
      <c r="O181" s="2476"/>
      <c r="P181" s="2476"/>
      <c r="Q181" s="2476"/>
      <c r="R181" s="2476"/>
      <c r="S181" s="2476"/>
      <c r="T181" s="2476"/>
      <c r="U181" s="2476"/>
      <c r="V181" s="2476"/>
      <c r="W181" s="2476"/>
      <c r="X181" s="2476"/>
      <c r="Y181" s="2476"/>
      <c r="Z181" s="2476"/>
      <c r="AA181" s="2476"/>
      <c r="AB181" s="2476"/>
      <c r="AC181" s="2476"/>
      <c r="AD181" s="2476"/>
      <c r="AE181" s="2476"/>
      <c r="AF181" s="2476"/>
      <c r="AG181" s="2476"/>
      <c r="AH181" s="2476"/>
      <c r="AI181" s="2476"/>
      <c r="AJ181" s="2476"/>
      <c r="AK181" s="2476"/>
      <c r="AL181" s="2476"/>
      <c r="AM181" s="2476"/>
      <c r="AN181" s="2476"/>
      <c r="AO181" s="2476"/>
      <c r="AP181" s="2476"/>
      <c r="AQ181" s="2476"/>
      <c r="AR181" s="2476"/>
      <c r="AS181" s="2476"/>
      <c r="AT181" s="2476"/>
      <c r="AU181" s="2476"/>
      <c r="AV181" s="2476"/>
      <c r="AW181" s="2476"/>
      <c r="AX181" s="2476"/>
      <c r="AY181" s="2476"/>
      <c r="AZ181" s="2476"/>
      <c r="BA181" s="1207"/>
      <c r="BB181" s="1207"/>
      <c r="BC181" s="1207"/>
      <c r="BD181" s="1213"/>
      <c r="BE181" s="1213"/>
    </row>
    <row r="182" spans="1:57" ht="15.75" customHeight="1">
      <c r="A182" s="1207"/>
      <c r="B182" s="1206"/>
      <c r="C182" s="1207"/>
      <c r="D182" s="1207"/>
      <c r="E182" s="1207"/>
      <c r="F182" s="1207"/>
      <c r="G182" s="1207"/>
      <c r="H182" s="2476"/>
      <c r="I182" s="2476"/>
      <c r="J182" s="2476"/>
      <c r="K182" s="2476"/>
      <c r="L182" s="2476"/>
      <c r="M182" s="2476"/>
      <c r="N182" s="2476"/>
      <c r="O182" s="2476"/>
      <c r="P182" s="2476"/>
      <c r="Q182" s="2476"/>
      <c r="R182" s="2476"/>
      <c r="S182" s="2476"/>
      <c r="T182" s="2476"/>
      <c r="U182" s="2476"/>
      <c r="V182" s="2476"/>
      <c r="W182" s="2476"/>
      <c r="X182" s="2476"/>
      <c r="Y182" s="2476"/>
      <c r="Z182" s="2476"/>
      <c r="AA182" s="2476"/>
      <c r="AB182" s="2476"/>
      <c r="AC182" s="2476"/>
      <c r="AD182" s="2476"/>
      <c r="AE182" s="2476"/>
      <c r="AF182" s="2476"/>
      <c r="AG182" s="2476"/>
      <c r="AH182" s="2476"/>
      <c r="AI182" s="2476"/>
      <c r="AJ182" s="2476"/>
      <c r="AK182" s="2476"/>
      <c r="AL182" s="2476"/>
      <c r="AM182" s="2476"/>
      <c r="AN182" s="2476"/>
      <c r="AO182" s="2476"/>
      <c r="AP182" s="2476"/>
      <c r="AQ182" s="2476"/>
      <c r="AR182" s="2476"/>
      <c r="AS182" s="2476"/>
      <c r="AT182" s="2476"/>
      <c r="AU182" s="2476"/>
      <c r="AV182" s="2476"/>
      <c r="AW182" s="2476"/>
      <c r="AX182" s="2476"/>
      <c r="AY182" s="2476"/>
      <c r="AZ182" s="247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7" t="s">
        <v>1931</v>
      </c>
      <c r="I184" s="2477"/>
      <c r="J184" s="2477"/>
      <c r="K184" s="2477"/>
      <c r="L184" s="2477"/>
      <c r="M184" s="2477"/>
      <c r="N184" s="2477"/>
      <c r="O184" s="2477"/>
      <c r="P184" s="2477"/>
      <c r="Q184" s="2477"/>
      <c r="R184" s="2477"/>
      <c r="S184" s="2477"/>
      <c r="T184" s="2477"/>
      <c r="U184" s="2477"/>
      <c r="V184" s="2477"/>
      <c r="W184" s="2477"/>
      <c r="X184" s="2477"/>
      <c r="Y184" s="2477"/>
      <c r="Z184" s="2477"/>
      <c r="AA184" s="2477"/>
      <c r="AB184" s="2477"/>
      <c r="AC184" s="2477"/>
      <c r="AD184" s="2477"/>
      <c r="AE184" s="2477"/>
      <c r="AF184" s="2477"/>
      <c r="AG184" s="2477"/>
      <c r="AH184" s="2477"/>
      <c r="AI184" s="2477"/>
      <c r="AJ184" s="2477"/>
      <c r="AK184" s="2477"/>
      <c r="AL184" s="2477"/>
      <c r="AM184" s="2477"/>
      <c r="AN184" s="2477"/>
      <c r="AO184" s="2477"/>
      <c r="AP184" s="2477"/>
      <c r="AQ184" s="2477"/>
      <c r="AR184" s="2477"/>
      <c r="AS184" s="2477"/>
      <c r="AT184" s="2477"/>
      <c r="AU184" s="2477"/>
      <c r="AV184" s="247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7" t="s">
        <v>1932</v>
      </c>
      <c r="I186" s="2467"/>
      <c r="J186" s="2467"/>
      <c r="K186" s="2467"/>
      <c r="L186" s="1222"/>
      <c r="M186" s="1222"/>
      <c r="N186" s="1222"/>
      <c r="O186" s="1222"/>
      <c r="P186" s="1222"/>
      <c r="Q186" s="1222"/>
      <c r="R186" s="1222"/>
      <c r="S186" s="2478"/>
      <c r="T186" s="2474"/>
      <c r="U186" s="2474"/>
      <c r="V186" s="2474"/>
      <c r="W186" s="2474"/>
      <c r="X186" s="2474"/>
      <c r="Y186" s="2474"/>
      <c r="Z186" s="2474"/>
      <c r="AA186" s="2474"/>
      <c r="AB186" s="2474"/>
      <c r="AC186" s="2474"/>
      <c r="AD186" s="2474"/>
      <c r="AE186" s="2474"/>
      <c r="AF186" s="2474"/>
      <c r="AG186" s="2474"/>
      <c r="AH186" s="2474"/>
      <c r="AI186" s="2474"/>
      <c r="AJ186" s="247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7" t="s">
        <v>1933</v>
      </c>
      <c r="I188" s="2467"/>
      <c r="J188" s="2467"/>
      <c r="K188" s="1255"/>
      <c r="L188" s="1222"/>
      <c r="M188" s="1222"/>
      <c r="N188" s="1222"/>
      <c r="O188" s="1222"/>
      <c r="P188" s="1222"/>
      <c r="Q188" s="1222"/>
      <c r="R188" s="1222"/>
      <c r="S188" s="2468"/>
      <c r="T188" s="2469"/>
      <c r="U188" s="2469"/>
      <c r="V188" s="2469"/>
      <c r="W188" s="2469"/>
      <c r="X188" s="2469"/>
      <c r="Y188" s="2469"/>
      <c r="Z188" s="2469"/>
      <c r="AA188" s="2469"/>
      <c r="AB188" s="2469"/>
      <c r="AC188" s="2469"/>
      <c r="AD188" s="2469"/>
      <c r="AE188" s="2469"/>
      <c r="AF188" s="2469"/>
      <c r="AG188" s="2469"/>
      <c r="AH188" s="2469"/>
      <c r="AI188" s="2469"/>
      <c r="AJ188" s="247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7" t="s">
        <v>444</v>
      </c>
      <c r="I190" s="2467"/>
      <c r="J190" s="1255"/>
      <c r="K190" s="1255"/>
      <c r="L190" s="1222"/>
      <c r="M190" s="1222"/>
      <c r="N190" s="1222"/>
      <c r="O190" s="1222"/>
      <c r="P190" s="1222"/>
      <c r="Q190" s="1222"/>
      <c r="R190" s="1222"/>
      <c r="S190" s="2468"/>
      <c r="T190" s="2469"/>
      <c r="U190" s="2469"/>
      <c r="V190" s="2469"/>
      <c r="W190" s="2469"/>
      <c r="X190" s="2469"/>
      <c r="Y190" s="2469"/>
      <c r="Z190" s="2469"/>
      <c r="AA190" s="2469"/>
      <c r="AB190" s="2469"/>
      <c r="AC190" s="2469"/>
      <c r="AD190" s="2469"/>
      <c r="AE190" s="2469"/>
      <c r="AF190" s="2469"/>
      <c r="AG190" s="2469"/>
      <c r="AH190" s="2469"/>
      <c r="AI190" s="2469"/>
      <c r="AJ190" s="247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1" t="s">
        <v>1934</v>
      </c>
      <c r="I192" s="2471"/>
      <c r="J192" s="2471"/>
      <c r="K192" s="2471"/>
      <c r="L192" s="2471"/>
      <c r="M192" s="2471"/>
      <c r="N192" s="2471"/>
      <c r="O192" s="2471"/>
      <c r="P192" s="1222"/>
      <c r="Q192" s="1222"/>
      <c r="R192" s="1222"/>
      <c r="S192" s="2468"/>
      <c r="T192" s="2469"/>
      <c r="U192" s="2469"/>
      <c r="V192" s="2469"/>
      <c r="W192" s="2469"/>
      <c r="X192" s="2469"/>
      <c r="Y192" s="2469"/>
      <c r="Z192" s="2469"/>
      <c r="AA192" s="2469"/>
      <c r="AB192" s="2469"/>
      <c r="AC192" s="2469"/>
      <c r="AD192" s="2469"/>
      <c r="AE192" s="2469"/>
      <c r="AF192" s="2469"/>
      <c r="AG192" s="2469"/>
      <c r="AH192" s="2469"/>
      <c r="AI192" s="2469"/>
      <c r="AJ192" s="247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2" t="s">
        <v>1935</v>
      </c>
      <c r="I194" s="2472"/>
      <c r="J194" s="1222"/>
      <c r="K194" s="1222"/>
      <c r="L194" s="1222"/>
      <c r="M194" s="1222"/>
      <c r="N194" s="1222"/>
      <c r="O194" s="1222"/>
      <c r="P194" s="1222"/>
      <c r="Q194" s="1222"/>
      <c r="R194" s="1222"/>
      <c r="S194" s="2473"/>
      <c r="T194" s="2474"/>
      <c r="U194" s="2474"/>
      <c r="V194" s="2474"/>
      <c r="W194" s="2474"/>
      <c r="X194" s="2474"/>
      <c r="Y194" s="2474"/>
      <c r="Z194" s="2474"/>
      <c r="AA194" s="2474"/>
      <c r="AB194" s="2474"/>
      <c r="AC194" s="2474"/>
      <c r="AD194" s="2474"/>
      <c r="AE194" s="2474"/>
      <c r="AF194" s="2474"/>
      <c r="AG194" s="2474"/>
      <c r="AH194" s="2474"/>
      <c r="AI194" s="2474"/>
      <c r="AJ194" s="247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B24" sqref="B24:S24"/>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10" t="s">
        <v>1445</v>
      </c>
      <c r="B1" s="2510"/>
      <c r="C1" s="2510"/>
      <c r="D1" s="2510"/>
      <c r="E1" s="2510"/>
      <c r="F1" s="2510"/>
      <c r="G1" s="2510"/>
      <c r="H1" s="2510"/>
      <c r="I1" s="2510"/>
      <c r="J1" s="2510"/>
      <c r="K1" s="2510"/>
      <c r="L1" s="2510"/>
      <c r="M1" s="2510"/>
      <c r="N1" s="2510"/>
      <c r="O1" s="2510"/>
      <c r="P1" s="2510"/>
      <c r="Q1" s="2510"/>
      <c r="R1" s="2510"/>
      <c r="S1" s="2510"/>
      <c r="T1" s="2510"/>
      <c r="U1" s="2510"/>
      <c r="V1" s="2510"/>
      <c r="W1" s="2510"/>
      <c r="X1" s="2510"/>
      <c r="Y1" s="2510"/>
      <c r="Z1" s="2510"/>
      <c r="AA1" s="2510"/>
      <c r="AB1" s="2510"/>
      <c r="AC1" s="2510"/>
      <c r="AD1" s="2510"/>
      <c r="AE1" s="2510"/>
      <c r="AF1" s="2510"/>
      <c r="AG1" s="2510"/>
      <c r="AH1" s="2510"/>
      <c r="AI1" s="2510"/>
      <c r="AJ1" s="2510"/>
      <c r="AK1" s="2510"/>
      <c r="AL1" s="2510"/>
      <c r="AM1" s="2510"/>
      <c r="AN1" s="2510"/>
    </row>
    <row r="2" spans="1:40" ht="13" customHeight="1" thickBot="1">
      <c r="A2" s="2511"/>
      <c r="B2" s="2511"/>
      <c r="C2" s="2511"/>
      <c r="D2" s="2511"/>
      <c r="E2" s="2511"/>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12" t="str">
        <f xml:space="preserve"> IF(T25=100%,'Sources and Basis Breakdown'!G2,'Sources and Basis Breakdown'!F2)</f>
        <v>30% PVC for New Const/
Rehabilitation
DDA/QCT
Building(s)</v>
      </c>
      <c r="U7" s="2512"/>
      <c r="V7" s="2512"/>
      <c r="W7" s="2512"/>
      <c r="X7" s="2512"/>
      <c r="Y7" s="2512" t="str">
        <f>IF(T25=100%," ",'Sources and Basis Breakdown'!G2)</f>
        <v>30% PVC for New Const/
Rehabilitation
NON-DDA/
NON-QCT Building(s)</v>
      </c>
      <c r="Z7" s="2512"/>
      <c r="AA7" s="2512"/>
      <c r="AB7" s="2512"/>
      <c r="AC7" s="2512"/>
      <c r="AD7" s="2512" t="str">
        <f xml:space="preserve"> IF(T25=100%, 'Sources and Basis Breakdown'!J2,'Sources and Basis Breakdown'!I2)</f>
        <v>30% PVC for Acquisition
DDA/QCT Building(s)</v>
      </c>
      <c r="AE7" s="2512"/>
      <c r="AF7" s="2512"/>
      <c r="AG7" s="2512"/>
      <c r="AH7" s="2512"/>
      <c r="AI7" s="2512" t="str">
        <f>IF(T25=100%," ",'Sources and Basis Breakdown'!J2)</f>
        <v>30% PVC for Acquisition
NON-DDA/
NON-QCT Building(s)</v>
      </c>
      <c r="AJ7" s="2512"/>
      <c r="AK7" s="2512"/>
      <c r="AL7" s="2512"/>
      <c r="AM7" s="2512"/>
    </row>
    <row r="8" spans="1:40" ht="13" customHeight="1">
      <c r="B8" s="439"/>
      <c r="T8" s="2512"/>
      <c r="U8" s="2512"/>
      <c r="V8" s="2512"/>
      <c r="W8" s="2512"/>
      <c r="X8" s="2512"/>
      <c r="Y8" s="2512"/>
      <c r="Z8" s="2512"/>
      <c r="AA8" s="2512"/>
      <c r="AB8" s="2512"/>
      <c r="AC8" s="2512"/>
      <c r="AD8" s="2512"/>
      <c r="AE8" s="2512"/>
      <c r="AF8" s="2512"/>
      <c r="AG8" s="2512"/>
      <c r="AH8" s="2512"/>
      <c r="AI8" s="2512"/>
      <c r="AJ8" s="2512"/>
      <c r="AK8" s="2512"/>
      <c r="AL8" s="2512"/>
      <c r="AM8" s="2512"/>
    </row>
    <row r="9" spans="1:40" ht="13" customHeight="1">
      <c r="B9" s="439"/>
      <c r="T9" s="2512"/>
      <c r="U9" s="2512"/>
      <c r="V9" s="2512"/>
      <c r="W9" s="2512"/>
      <c r="X9" s="2512"/>
      <c r="Y9" s="2512"/>
      <c r="Z9" s="2512"/>
      <c r="AA9" s="2512"/>
      <c r="AB9" s="2512"/>
      <c r="AC9" s="2512"/>
      <c r="AD9" s="2512"/>
      <c r="AE9" s="2512"/>
      <c r="AF9" s="2512"/>
      <c r="AG9" s="2512"/>
      <c r="AH9" s="2512"/>
      <c r="AI9" s="2512"/>
      <c r="AJ9" s="2512"/>
      <c r="AK9" s="2512"/>
      <c r="AL9" s="2512"/>
      <c r="AM9" s="2512"/>
    </row>
    <row r="10" spans="1:40" ht="13" customHeight="1">
      <c r="B10" s="440"/>
      <c r="C10" s="441"/>
      <c r="D10" s="441"/>
      <c r="E10" s="441"/>
      <c r="F10" s="441"/>
      <c r="G10" s="441"/>
      <c r="H10" s="441"/>
      <c r="I10" s="441"/>
      <c r="J10" s="441"/>
      <c r="K10" s="441"/>
      <c r="L10" s="441"/>
      <c r="M10" s="441"/>
      <c r="N10" s="441"/>
      <c r="O10" s="441"/>
      <c r="P10" s="441"/>
      <c r="Q10" s="441"/>
      <c r="R10" s="441"/>
      <c r="S10" s="441"/>
      <c r="T10" s="2512"/>
      <c r="U10" s="2512"/>
      <c r="V10" s="2512"/>
      <c r="W10" s="2512"/>
      <c r="X10" s="2512"/>
      <c r="Y10" s="2512"/>
      <c r="Z10" s="2512"/>
      <c r="AA10" s="2512"/>
      <c r="AB10" s="2512"/>
      <c r="AC10" s="2512"/>
      <c r="AD10" s="2512"/>
      <c r="AE10" s="2512"/>
      <c r="AF10" s="2512"/>
      <c r="AG10" s="2512"/>
      <c r="AH10" s="2512"/>
      <c r="AI10" s="2512"/>
      <c r="AJ10" s="2512"/>
      <c r="AK10" s="2512"/>
      <c r="AL10" s="2512"/>
      <c r="AM10" s="2512"/>
    </row>
    <row r="11" spans="1:40" ht="13" customHeight="1">
      <c r="B11" s="2491" t="s">
        <v>376</v>
      </c>
      <c r="C11" s="2492"/>
      <c r="D11" s="2492"/>
      <c r="E11" s="2492"/>
      <c r="F11" s="2492"/>
      <c r="G11" s="2492"/>
      <c r="H11" s="2492"/>
      <c r="I11" s="2492"/>
      <c r="J11" s="2492"/>
      <c r="K11" s="2492"/>
      <c r="L11" s="2492"/>
      <c r="M11" s="2492"/>
      <c r="N11" s="2492"/>
      <c r="O11" s="2492"/>
      <c r="P11" s="2492"/>
      <c r="Q11" s="2492"/>
      <c r="R11" s="2492"/>
      <c r="S11" s="2493"/>
      <c r="T11" s="2513">
        <f>IF('Sources and Basis Breakdown'!F107=0,'Sources and Basis Breakdown'!E107,'Sources and Basis Breakdown'!F107)</f>
        <v>9988070.2925004065</v>
      </c>
      <c r="U11" s="2514"/>
      <c r="V11" s="2514"/>
      <c r="W11" s="2514"/>
      <c r="X11" s="2514"/>
      <c r="Y11" s="2513">
        <f>IF(Y7=" ",0,IF('Sources and Basis Breakdown'!G107+'Sources and Basis Breakdown'!F107='Sources and Basis Breakdown'!E107,'Sources and Basis Breakdown'!G107,0))</f>
        <v>0</v>
      </c>
      <c r="Z11" s="2514"/>
      <c r="AA11" s="2514"/>
      <c r="AB11" s="2514"/>
      <c r="AC11" s="2514"/>
      <c r="AD11" s="2514">
        <f>IF('Sources and Basis Breakdown'!I107=0,'Sources and Basis Breakdown'!H107,'Sources and Basis Breakdown'!I107)</f>
        <v>0</v>
      </c>
      <c r="AE11" s="2514"/>
      <c r="AF11" s="2514"/>
      <c r="AG11" s="2514"/>
      <c r="AH11" s="2514"/>
      <c r="AI11" s="2514">
        <f>IF(Y7=" ",0,IF('Sources and Basis Breakdown'!I107+'Sources and Basis Breakdown'!J107='Sources and Basis Breakdown'!H107,'Sources and Basis Breakdown'!J107,0))</f>
        <v>0</v>
      </c>
      <c r="AJ11" s="2514"/>
      <c r="AK11" s="2514"/>
      <c r="AL11" s="2514"/>
      <c r="AM11" s="2514"/>
    </row>
    <row r="12" spans="1:40" ht="13" customHeight="1">
      <c r="B12" s="2506" t="s">
        <v>506</v>
      </c>
      <c r="C12" s="1281"/>
      <c r="D12" s="1281"/>
      <c r="E12" s="1281"/>
      <c r="F12" s="1281"/>
      <c r="G12" s="1281"/>
      <c r="H12" s="1281"/>
      <c r="I12" s="1281"/>
      <c r="J12" s="1281"/>
      <c r="K12" s="1281"/>
      <c r="L12" s="1281"/>
      <c r="M12" s="1281"/>
      <c r="N12" s="1281"/>
      <c r="O12" s="1281"/>
      <c r="P12" s="1281"/>
      <c r="Q12" s="1281"/>
      <c r="R12" s="1281"/>
      <c r="S12" s="2507"/>
      <c r="T12" s="2479"/>
      <c r="U12" s="2480"/>
      <c r="V12" s="2480"/>
      <c r="W12" s="2480"/>
      <c r="X12" s="2481"/>
      <c r="Y12" s="2479"/>
      <c r="Z12" s="2480"/>
      <c r="AA12" s="2480"/>
      <c r="AB12" s="2480"/>
      <c r="AC12" s="2481"/>
      <c r="AD12" s="2479"/>
      <c r="AE12" s="2480"/>
      <c r="AF12" s="2480"/>
      <c r="AG12" s="2480"/>
      <c r="AH12" s="2481"/>
      <c r="AI12" s="2479"/>
      <c r="AJ12" s="2480"/>
      <c r="AK12" s="2480"/>
      <c r="AL12" s="2480"/>
      <c r="AM12" s="2481"/>
    </row>
    <row r="13" spans="1:40" ht="13" customHeight="1">
      <c r="B13" s="468"/>
      <c r="C13" s="2508" t="s">
        <v>507</v>
      </c>
      <c r="D13" s="2508"/>
      <c r="E13" s="2508"/>
      <c r="F13" s="2508"/>
      <c r="G13" s="2508"/>
      <c r="H13" s="2508"/>
      <c r="I13" s="2508"/>
      <c r="J13" s="2508"/>
      <c r="K13" s="2508"/>
      <c r="L13" s="2508"/>
      <c r="M13" s="2508"/>
      <c r="N13" s="2508"/>
      <c r="O13" s="2508"/>
      <c r="P13" s="2508"/>
      <c r="Q13" s="2508"/>
      <c r="R13" s="2508"/>
      <c r="S13" s="2509"/>
      <c r="T13" s="2515"/>
      <c r="U13" s="2516"/>
      <c r="V13" s="2516"/>
      <c r="W13" s="2516"/>
      <c r="X13" s="2516"/>
      <c r="Y13" s="2515"/>
      <c r="Z13" s="2516"/>
      <c r="AA13" s="2516"/>
      <c r="AB13" s="2516"/>
      <c r="AC13" s="2516"/>
      <c r="AD13" s="2516"/>
      <c r="AE13" s="2516"/>
      <c r="AF13" s="2516"/>
      <c r="AG13" s="2516"/>
      <c r="AH13" s="2516"/>
      <c r="AI13" s="2516"/>
      <c r="AJ13" s="2516"/>
      <c r="AK13" s="2516"/>
      <c r="AL13" s="2516"/>
      <c r="AM13" s="2516"/>
    </row>
    <row r="14" spans="1:40" ht="13" customHeight="1">
      <c r="B14" s="468"/>
      <c r="C14" s="2508" t="s">
        <v>508</v>
      </c>
      <c r="D14" s="2508"/>
      <c r="E14" s="2508"/>
      <c r="F14" s="2508"/>
      <c r="G14" s="2508"/>
      <c r="H14" s="2508"/>
      <c r="I14" s="2508"/>
      <c r="J14" s="2508"/>
      <c r="K14" s="2508"/>
      <c r="L14" s="2508"/>
      <c r="M14" s="2508"/>
      <c r="N14" s="2508"/>
      <c r="O14" s="2508"/>
      <c r="P14" s="2508"/>
      <c r="Q14" s="2508"/>
      <c r="R14" s="2508"/>
      <c r="S14" s="2509"/>
      <c r="T14" s="2482"/>
      <c r="U14" s="2483"/>
      <c r="V14" s="2483"/>
      <c r="W14" s="2483"/>
      <c r="X14" s="2483"/>
      <c r="Y14" s="2482"/>
      <c r="Z14" s="2483"/>
      <c r="AA14" s="2483"/>
      <c r="AB14" s="2483"/>
      <c r="AC14" s="2483"/>
      <c r="AD14" s="2483"/>
      <c r="AE14" s="2483"/>
      <c r="AF14" s="2483"/>
      <c r="AG14" s="2483"/>
      <c r="AH14" s="2483"/>
      <c r="AI14" s="2483"/>
      <c r="AJ14" s="2483"/>
      <c r="AK14" s="2483"/>
      <c r="AL14" s="2483"/>
      <c r="AM14" s="2483"/>
    </row>
    <row r="15" spans="1:40" ht="13" customHeight="1">
      <c r="B15" s="468"/>
      <c r="C15" s="2508" t="s">
        <v>509</v>
      </c>
      <c r="D15" s="2508"/>
      <c r="E15" s="2508"/>
      <c r="F15" s="2508"/>
      <c r="G15" s="2508"/>
      <c r="H15" s="2508"/>
      <c r="I15" s="2508"/>
      <c r="J15" s="2508"/>
      <c r="K15" s="2508"/>
      <c r="L15" s="2508"/>
      <c r="M15" s="2508"/>
      <c r="N15" s="2508"/>
      <c r="O15" s="2508"/>
      <c r="P15" s="2508"/>
      <c r="Q15" s="2508"/>
      <c r="R15" s="2508"/>
      <c r="S15" s="2509"/>
      <c r="T15" s="2482"/>
      <c r="U15" s="2483"/>
      <c r="V15" s="2483"/>
      <c r="W15" s="2483"/>
      <c r="X15" s="2483"/>
      <c r="Y15" s="2482"/>
      <c r="Z15" s="2483"/>
      <c r="AA15" s="2483"/>
      <c r="AB15" s="2483"/>
      <c r="AC15" s="2483"/>
      <c r="AD15" s="2483"/>
      <c r="AE15" s="2483"/>
      <c r="AF15" s="2483"/>
      <c r="AG15" s="2483"/>
      <c r="AH15" s="2483"/>
      <c r="AI15" s="2483"/>
      <c r="AJ15" s="2483"/>
      <c r="AK15" s="2483"/>
      <c r="AL15" s="2483"/>
      <c r="AM15" s="2483"/>
    </row>
    <row r="16" spans="1:40" ht="13" customHeight="1">
      <c r="B16" s="468"/>
      <c r="C16" s="2508" t="s">
        <v>830</v>
      </c>
      <c r="D16" s="2508"/>
      <c r="E16" s="2508"/>
      <c r="F16" s="2508"/>
      <c r="G16" s="2508"/>
      <c r="H16" s="2508"/>
      <c r="I16" s="2508"/>
      <c r="J16" s="2508"/>
      <c r="K16" s="2508"/>
      <c r="L16" s="2508"/>
      <c r="M16" s="2508"/>
      <c r="N16" s="2508"/>
      <c r="O16" s="2508"/>
      <c r="P16" s="2508"/>
      <c r="Q16" s="2508"/>
      <c r="R16" s="2508"/>
      <c r="S16" s="2509"/>
      <c r="T16" s="2482"/>
      <c r="U16" s="2483"/>
      <c r="V16" s="2483"/>
      <c r="W16" s="2483"/>
      <c r="X16" s="2483"/>
      <c r="Y16" s="2482"/>
      <c r="Z16" s="2483"/>
      <c r="AA16" s="2483"/>
      <c r="AB16" s="2483"/>
      <c r="AC16" s="2483"/>
      <c r="AD16" s="2483"/>
      <c r="AE16" s="2483"/>
      <c r="AF16" s="2483"/>
      <c r="AG16" s="2483"/>
      <c r="AH16" s="2483"/>
      <c r="AI16" s="2483"/>
      <c r="AJ16" s="2483"/>
      <c r="AK16" s="2483"/>
      <c r="AL16" s="2483"/>
      <c r="AM16" s="2483"/>
    </row>
    <row r="17" spans="1:40" ht="13" customHeight="1">
      <c r="B17" s="468"/>
      <c r="C17" s="2508" t="s">
        <v>510</v>
      </c>
      <c r="D17" s="2508"/>
      <c r="E17" s="2508"/>
      <c r="F17" s="2508"/>
      <c r="G17" s="2508"/>
      <c r="H17" s="2508"/>
      <c r="I17" s="2508"/>
      <c r="J17" s="2508"/>
      <c r="K17" s="2508"/>
      <c r="L17" s="2508"/>
      <c r="M17" s="2508"/>
      <c r="N17" s="2508"/>
      <c r="O17" s="2508"/>
      <c r="P17" s="2508"/>
      <c r="Q17" s="2508"/>
      <c r="R17" s="2508"/>
      <c r="S17" s="2509"/>
      <c r="T17" s="2482"/>
      <c r="U17" s="2483"/>
      <c r="V17" s="2483"/>
      <c r="W17" s="2483"/>
      <c r="X17" s="2483"/>
      <c r="Y17" s="2482"/>
      <c r="Z17" s="2483"/>
      <c r="AA17" s="2483"/>
      <c r="AB17" s="2483"/>
      <c r="AC17" s="2483"/>
      <c r="AD17" s="2483"/>
      <c r="AE17" s="2483"/>
      <c r="AF17" s="2483"/>
      <c r="AG17" s="2483"/>
      <c r="AH17" s="2483"/>
      <c r="AI17" s="2483"/>
      <c r="AJ17" s="2483"/>
      <c r="AK17" s="2483"/>
      <c r="AL17" s="2483"/>
      <c r="AM17" s="2483"/>
    </row>
    <row r="18" spans="1:40" ht="13" customHeight="1">
      <c r="A18"/>
      <c r="B18" s="1203"/>
      <c r="C18" s="1676" t="s">
        <v>1000</v>
      </c>
      <c r="D18" s="1676"/>
      <c r="E18" s="1676"/>
      <c r="F18" s="1676"/>
      <c r="G18" s="1676"/>
      <c r="H18" s="1676"/>
      <c r="I18" s="1676"/>
      <c r="J18" s="1676"/>
      <c r="K18" s="1676"/>
      <c r="L18" s="1676"/>
      <c r="M18" s="1676"/>
      <c r="N18" s="1676"/>
      <c r="O18" s="1676"/>
      <c r="P18" s="1676"/>
      <c r="Q18" s="1676"/>
      <c r="R18" s="1676"/>
      <c r="S18" s="1677"/>
      <c r="T18" s="2482"/>
      <c r="U18" s="2483"/>
      <c r="V18" s="2483"/>
      <c r="W18" s="2483"/>
      <c r="X18" s="2483"/>
      <c r="Y18" s="2482"/>
      <c r="Z18" s="2483"/>
      <c r="AA18" s="2483"/>
      <c r="AB18" s="2483"/>
      <c r="AC18" s="2483"/>
      <c r="AD18" s="2483"/>
      <c r="AE18" s="2483"/>
      <c r="AF18" s="2483"/>
      <c r="AG18" s="2483"/>
      <c r="AH18" s="2483"/>
      <c r="AI18" s="2483"/>
      <c r="AJ18" s="2483"/>
      <c r="AK18" s="2483"/>
      <c r="AL18" s="2483"/>
      <c r="AM18" s="2483"/>
    </row>
    <row r="19" spans="1:40" ht="13" customHeight="1">
      <c r="B19" s="1203"/>
      <c r="C19" s="1676" t="s">
        <v>1000</v>
      </c>
      <c r="D19" s="1676"/>
      <c r="E19" s="1676"/>
      <c r="F19" s="1676"/>
      <c r="G19" s="1676"/>
      <c r="H19" s="1676"/>
      <c r="I19" s="1676"/>
      <c r="J19" s="1676"/>
      <c r="K19" s="1676"/>
      <c r="L19" s="1676"/>
      <c r="M19" s="1676"/>
      <c r="N19" s="1676"/>
      <c r="O19" s="1676"/>
      <c r="P19" s="1676"/>
      <c r="Q19" s="1676"/>
      <c r="R19" s="1676"/>
      <c r="S19" s="1677"/>
      <c r="T19" s="2482"/>
      <c r="U19" s="2483"/>
      <c r="V19" s="2483"/>
      <c r="W19" s="2483"/>
      <c r="X19" s="2483"/>
      <c r="Y19" s="2482"/>
      <c r="Z19" s="2483"/>
      <c r="AA19" s="2483"/>
      <c r="AB19" s="2483"/>
      <c r="AC19" s="2483"/>
      <c r="AD19" s="2483"/>
      <c r="AE19" s="2483"/>
      <c r="AF19" s="2483"/>
      <c r="AG19" s="2483"/>
      <c r="AH19" s="2483"/>
      <c r="AI19" s="2483"/>
      <c r="AJ19" s="2483"/>
      <c r="AK19" s="2483"/>
      <c r="AL19" s="2483"/>
      <c r="AM19" s="2483"/>
    </row>
    <row r="20" spans="1:40" ht="13" customHeight="1">
      <c r="B20" s="2491" t="s">
        <v>511</v>
      </c>
      <c r="C20" s="2492"/>
      <c r="D20" s="2492"/>
      <c r="E20" s="2492"/>
      <c r="F20" s="2492"/>
      <c r="G20" s="2492"/>
      <c r="H20" s="2492"/>
      <c r="I20" s="2492"/>
      <c r="J20" s="2492"/>
      <c r="K20" s="2492"/>
      <c r="L20" s="2492"/>
      <c r="M20" s="2492"/>
      <c r="N20" s="2492"/>
      <c r="O20" s="2492"/>
      <c r="P20" s="2492"/>
      <c r="Q20" s="2492"/>
      <c r="R20" s="2492"/>
      <c r="S20" s="2493"/>
      <c r="T20" s="2484">
        <f>SUM(T13:X19)</f>
        <v>0</v>
      </c>
      <c r="U20" s="2485"/>
      <c r="V20" s="2485"/>
      <c r="W20" s="2485"/>
      <c r="X20" s="2485"/>
      <c r="Y20" s="2484">
        <f>SUM(Y13:AC19)</f>
        <v>0</v>
      </c>
      <c r="Z20" s="2485"/>
      <c r="AA20" s="2485"/>
      <c r="AB20" s="2485"/>
      <c r="AC20" s="2485"/>
      <c r="AD20" s="2486">
        <f>SUM(AD13:AH19)</f>
        <v>0</v>
      </c>
      <c r="AE20" s="2487"/>
      <c r="AF20" s="2487"/>
      <c r="AG20" s="2487"/>
      <c r="AH20" s="2484"/>
      <c r="AI20" s="2486">
        <f>SUM(AI13:AM19)</f>
        <v>0</v>
      </c>
      <c r="AJ20" s="2487"/>
      <c r="AK20" s="2487"/>
      <c r="AL20" s="2487"/>
      <c r="AM20" s="2484"/>
    </row>
    <row r="21" spans="1:40" ht="13" customHeight="1">
      <c r="B21" s="2491" t="s">
        <v>1421</v>
      </c>
      <c r="C21" s="2492"/>
      <c r="D21" s="2492"/>
      <c r="E21" s="2492"/>
      <c r="F21" s="2492"/>
      <c r="G21" s="2492"/>
      <c r="H21" s="2492"/>
      <c r="I21" s="2492"/>
      <c r="J21" s="2492"/>
      <c r="K21" s="2492"/>
      <c r="L21" s="2492"/>
      <c r="M21" s="2492"/>
      <c r="N21" s="2492"/>
      <c r="O21" s="2492"/>
      <c r="P21" s="2492"/>
      <c r="Q21" s="2492"/>
      <c r="R21" s="2492"/>
      <c r="S21" s="2493"/>
      <c r="T21" s="2482"/>
      <c r="U21" s="2483"/>
      <c r="V21" s="2483"/>
      <c r="W21" s="2483"/>
      <c r="X21" s="2483"/>
      <c r="Y21" s="2482"/>
      <c r="Z21" s="2483"/>
      <c r="AA21" s="2483"/>
      <c r="AB21" s="2483"/>
      <c r="AC21" s="2483"/>
      <c r="AD21" s="2479"/>
      <c r="AE21" s="2480"/>
      <c r="AF21" s="2480"/>
      <c r="AG21" s="2480"/>
      <c r="AH21" s="2481"/>
      <c r="AI21" s="2479"/>
      <c r="AJ21" s="2480"/>
      <c r="AK21" s="2480"/>
      <c r="AL21" s="2480"/>
      <c r="AM21" s="2481"/>
    </row>
    <row r="22" spans="1:40" ht="13" customHeight="1">
      <c r="B22" s="2491" t="s">
        <v>512</v>
      </c>
      <c r="C22" s="2492"/>
      <c r="D22" s="2492"/>
      <c r="E22" s="2492"/>
      <c r="F22" s="2492"/>
      <c r="G22" s="2492"/>
      <c r="H22" s="2492"/>
      <c r="I22" s="2492"/>
      <c r="J22" s="2492"/>
      <c r="K22" s="2492"/>
      <c r="L22" s="2492"/>
      <c r="M22" s="2492"/>
      <c r="N22" s="2492"/>
      <c r="O22" s="2492"/>
      <c r="P22" s="2492"/>
      <c r="Q22" s="2492"/>
      <c r="R22" s="2492"/>
      <c r="S22" s="2493"/>
      <c r="T22" s="2517">
        <f>(T20+T21)*-1</f>
        <v>0</v>
      </c>
      <c r="U22" s="2518"/>
      <c r="V22" s="2518"/>
      <c r="W22" s="2518"/>
      <c r="X22" s="2518"/>
      <c r="Y22" s="2517">
        <f>(Y20+Y21)*-1</f>
        <v>0</v>
      </c>
      <c r="Z22" s="2518"/>
      <c r="AA22" s="2518"/>
      <c r="AB22" s="2518"/>
      <c r="AC22" s="2518"/>
      <c r="AD22" s="2519">
        <f>(AD20)*-1</f>
        <v>0</v>
      </c>
      <c r="AE22" s="2520"/>
      <c r="AF22" s="2520"/>
      <c r="AG22" s="2520"/>
      <c r="AH22" s="2517"/>
      <c r="AI22" s="2519">
        <f>(AI20)*-1</f>
        <v>0</v>
      </c>
      <c r="AJ22" s="2520"/>
      <c r="AK22" s="2520"/>
      <c r="AL22" s="2520"/>
      <c r="AM22" s="2517"/>
    </row>
    <row r="23" spans="1:40" ht="13" customHeight="1">
      <c r="B23" s="2491" t="s">
        <v>513</v>
      </c>
      <c r="C23" s="2492"/>
      <c r="D23" s="2492"/>
      <c r="E23" s="2492"/>
      <c r="F23" s="2492"/>
      <c r="G23" s="2492"/>
      <c r="H23" s="2492"/>
      <c r="I23" s="2492"/>
      <c r="J23" s="2492"/>
      <c r="K23" s="2492"/>
      <c r="L23" s="2492"/>
      <c r="M23" s="2492"/>
      <c r="N23" s="2492"/>
      <c r="O23" s="2492"/>
      <c r="P23" s="2492"/>
      <c r="Q23" s="2492"/>
      <c r="R23" s="2492"/>
      <c r="S23" s="2493"/>
      <c r="T23" s="2484">
        <f>T11+T22</f>
        <v>9988070.2925004065</v>
      </c>
      <c r="U23" s="2485"/>
      <c r="V23" s="2485"/>
      <c r="W23" s="2485"/>
      <c r="X23" s="2485"/>
      <c r="Y23" s="2484">
        <f>Y11+Y22</f>
        <v>0</v>
      </c>
      <c r="Z23" s="2485"/>
      <c r="AA23" s="2485"/>
      <c r="AB23" s="2485"/>
      <c r="AC23" s="2485"/>
      <c r="AD23" s="2484">
        <f>AD11+AD22</f>
        <v>0</v>
      </c>
      <c r="AE23" s="2485"/>
      <c r="AF23" s="2485"/>
      <c r="AG23" s="2485"/>
      <c r="AH23" s="2485"/>
      <c r="AI23" s="2484">
        <f>AI11+AI22</f>
        <v>0</v>
      </c>
      <c r="AJ23" s="2485"/>
      <c r="AK23" s="2485"/>
      <c r="AL23" s="2485"/>
      <c r="AM23" s="2485"/>
    </row>
    <row r="24" spans="1:40" ht="13" customHeight="1">
      <c r="B24" s="2491" t="s">
        <v>1001</v>
      </c>
      <c r="C24" s="2492"/>
      <c r="D24" s="2492"/>
      <c r="E24" s="2492"/>
      <c r="F24" s="2492"/>
      <c r="G24" s="2492"/>
      <c r="H24" s="2492"/>
      <c r="I24" s="2492"/>
      <c r="J24" s="2492"/>
      <c r="K24" s="2492"/>
      <c r="L24" s="2492"/>
      <c r="M24" s="2492"/>
      <c r="N24" s="2492"/>
      <c r="O24" s="2492"/>
      <c r="P24" s="2492"/>
      <c r="Q24" s="2492"/>
      <c r="R24" s="2492"/>
      <c r="S24" s="2493"/>
      <c r="T24" s="2486">
        <f>Application!AJ1018</f>
        <v>26335571</v>
      </c>
      <c r="U24" s="2487"/>
      <c r="V24" s="2487"/>
      <c r="W24" s="2487"/>
      <c r="X24" s="2487"/>
      <c r="Y24" s="2487"/>
      <c r="Z24" s="2487"/>
      <c r="AA24" s="2487"/>
      <c r="AB24" s="2487"/>
      <c r="AC24" s="2487"/>
      <c r="AD24" s="2487"/>
      <c r="AE24" s="2487"/>
      <c r="AF24" s="2487"/>
      <c r="AG24" s="2487"/>
      <c r="AH24" s="2487"/>
      <c r="AI24" s="2487"/>
      <c r="AJ24" s="2487"/>
      <c r="AK24" s="2487"/>
      <c r="AL24" s="2487"/>
      <c r="AM24" s="2484"/>
    </row>
    <row r="25" spans="1:40" ht="13" customHeight="1">
      <c r="B25" s="2495" t="s">
        <v>1422</v>
      </c>
      <c r="C25" s="2496"/>
      <c r="D25" s="2496"/>
      <c r="E25" s="2496"/>
      <c r="F25" s="2496"/>
      <c r="G25" s="2496"/>
      <c r="H25" s="2496"/>
      <c r="I25" s="2496"/>
      <c r="J25" s="2496"/>
      <c r="K25" s="2496"/>
      <c r="L25" s="2496"/>
      <c r="M25" s="2496"/>
      <c r="N25" s="2496"/>
      <c r="O25" s="2496"/>
      <c r="P25" s="2496"/>
      <c r="Q25" s="2496"/>
      <c r="R25" s="2496"/>
      <c r="S25" s="2497"/>
      <c r="T25" s="2521">
        <f>IF(OR(Application!T195="yes",Application!T194="yes"),1.3,1)</f>
        <v>1.3</v>
      </c>
      <c r="U25" s="2522"/>
      <c r="V25" s="2522"/>
      <c r="W25" s="2522"/>
      <c r="X25" s="2522"/>
      <c r="Y25" s="2521">
        <v>1</v>
      </c>
      <c r="Z25" s="2522"/>
      <c r="AA25" s="2522"/>
      <c r="AB25" s="2522"/>
      <c r="AC25" s="2522"/>
      <c r="AD25" s="2521">
        <v>1</v>
      </c>
      <c r="AE25" s="2522"/>
      <c r="AF25" s="2522"/>
      <c r="AG25" s="2522"/>
      <c r="AH25" s="2523"/>
      <c r="AI25" s="2521">
        <v>1</v>
      </c>
      <c r="AJ25" s="2522"/>
      <c r="AK25" s="2522"/>
      <c r="AL25" s="2522"/>
      <c r="AM25" s="2523"/>
    </row>
    <row r="26" spans="1:40" ht="13" customHeight="1">
      <c r="B26" s="2491" t="s">
        <v>514</v>
      </c>
      <c r="C26" s="2492"/>
      <c r="D26" s="2492"/>
      <c r="E26" s="2492"/>
      <c r="F26" s="2492"/>
      <c r="G26" s="2492"/>
      <c r="H26" s="2492"/>
      <c r="I26" s="2492"/>
      <c r="J26" s="2492"/>
      <c r="K26" s="2492"/>
      <c r="L26" s="2492"/>
      <c r="M26" s="2492"/>
      <c r="N26" s="2492"/>
      <c r="O26" s="2492"/>
      <c r="P26" s="2492"/>
      <c r="Q26" s="2492"/>
      <c r="R26" s="2492"/>
      <c r="S26" s="2493"/>
      <c r="T26" s="2484">
        <f>T23*T25</f>
        <v>12984491.380250528</v>
      </c>
      <c r="U26" s="2485"/>
      <c r="V26" s="2485"/>
      <c r="W26" s="2485"/>
      <c r="X26" s="2485"/>
      <c r="Y26" s="2484">
        <f>Y23*Y25</f>
        <v>0</v>
      </c>
      <c r="Z26" s="2485"/>
      <c r="AA26" s="2485"/>
      <c r="AB26" s="2485"/>
      <c r="AC26" s="2485"/>
      <c r="AD26" s="2484">
        <f>AD23*AD25</f>
        <v>0</v>
      </c>
      <c r="AE26" s="2485"/>
      <c r="AF26" s="2485"/>
      <c r="AG26" s="2485"/>
      <c r="AH26" s="2485"/>
      <c r="AI26" s="2484">
        <f>AI23*AI25</f>
        <v>0</v>
      </c>
      <c r="AJ26" s="2485"/>
      <c r="AK26" s="2485"/>
      <c r="AL26" s="2485"/>
      <c r="AM26" s="2485"/>
    </row>
    <row r="27" spans="1:40" ht="13" customHeight="1">
      <c r="A27" s="442"/>
      <c r="B27" s="2498" t="s">
        <v>427</v>
      </c>
      <c r="C27" s="2499"/>
      <c r="D27" s="2499"/>
      <c r="E27" s="2499"/>
      <c r="F27" s="2499"/>
      <c r="G27" s="2499"/>
      <c r="H27" s="2499"/>
      <c r="I27" s="2499"/>
      <c r="J27" s="2499"/>
      <c r="K27" s="2499"/>
      <c r="L27" s="2499"/>
      <c r="M27" s="2499"/>
      <c r="N27" s="2499"/>
      <c r="O27" s="2499"/>
      <c r="P27" s="2499"/>
      <c r="Q27" s="2499"/>
      <c r="R27" s="2499"/>
      <c r="S27" s="2500"/>
      <c r="T27" s="2504">
        <f>Application!$AG$444</f>
        <v>1</v>
      </c>
      <c r="U27" s="2505"/>
      <c r="V27" s="2505"/>
      <c r="W27" s="2505"/>
      <c r="X27" s="2505"/>
      <c r="Y27" s="2504">
        <f>Application!$AG$444</f>
        <v>1</v>
      </c>
      <c r="Z27" s="2505"/>
      <c r="AA27" s="2505"/>
      <c r="AB27" s="2505"/>
      <c r="AC27" s="2505"/>
      <c r="AD27" s="2504">
        <f>Application!$AG$444</f>
        <v>1</v>
      </c>
      <c r="AE27" s="2505"/>
      <c r="AF27" s="2505"/>
      <c r="AG27" s="2505"/>
      <c r="AH27" s="2505"/>
      <c r="AI27" s="2504">
        <f>Application!$AG$444</f>
        <v>1</v>
      </c>
      <c r="AJ27" s="2505"/>
      <c r="AK27" s="2505"/>
      <c r="AL27" s="2505"/>
      <c r="AM27" s="2505"/>
    </row>
    <row r="28" spans="1:40" ht="13" customHeight="1">
      <c r="A28" s="436"/>
      <c r="B28" s="2491" t="s">
        <v>515</v>
      </c>
      <c r="C28" s="2492"/>
      <c r="D28" s="2492"/>
      <c r="E28" s="2492"/>
      <c r="F28" s="2492"/>
      <c r="G28" s="2492"/>
      <c r="H28" s="2492"/>
      <c r="I28" s="2492"/>
      <c r="J28" s="2492"/>
      <c r="K28" s="2492"/>
      <c r="L28" s="2492"/>
      <c r="M28" s="2492"/>
      <c r="N28" s="2492"/>
      <c r="O28" s="2492"/>
      <c r="P28" s="2492"/>
      <c r="Q28" s="2492"/>
      <c r="R28" s="2492"/>
      <c r="S28" s="2493"/>
      <c r="T28" s="2484">
        <f>IF(ISERROR((T26*T27)),0,(T26*T27))</f>
        <v>12984491.380250528</v>
      </c>
      <c r="U28" s="2485"/>
      <c r="V28" s="2485"/>
      <c r="W28" s="2485"/>
      <c r="X28" s="2485"/>
      <c r="Y28" s="2484">
        <f>IF(ISERROR((Y26*Y27)),0,(Y26*Y27))</f>
        <v>0</v>
      </c>
      <c r="Z28" s="2485"/>
      <c r="AA28" s="2485"/>
      <c r="AB28" s="2485"/>
      <c r="AC28" s="2485"/>
      <c r="AD28" s="2484">
        <f>IF(ISERROR((AD26*AD27)),0,(AD26*AD27))</f>
        <v>0</v>
      </c>
      <c r="AE28" s="2485"/>
      <c r="AF28" s="2485"/>
      <c r="AG28" s="2485"/>
      <c r="AH28" s="2485"/>
      <c r="AI28" s="2484">
        <f>IF(ISERROR((AI26*AI27)),0,(AI26*AI27))</f>
        <v>0</v>
      </c>
      <c r="AJ28" s="2485"/>
      <c r="AK28" s="2485"/>
      <c r="AL28" s="2485"/>
      <c r="AM28" s="2485"/>
    </row>
    <row r="29" spans="1:40" ht="13" customHeight="1">
      <c r="B29" s="2491" t="s">
        <v>532</v>
      </c>
      <c r="C29" s="2492"/>
      <c r="D29" s="2492"/>
      <c r="E29" s="2492"/>
      <c r="F29" s="2492"/>
      <c r="G29" s="2492"/>
      <c r="H29" s="2492"/>
      <c r="I29" s="2492"/>
      <c r="J29" s="2492"/>
      <c r="K29" s="2492"/>
      <c r="L29" s="2492"/>
      <c r="M29" s="2492"/>
      <c r="N29" s="2492"/>
      <c r="O29" s="2492"/>
      <c r="P29" s="2492"/>
      <c r="Q29" s="2492"/>
      <c r="R29" s="2492"/>
      <c r="S29" s="2493"/>
      <c r="T29" s="2486">
        <f>T28+Y28+AD28+AI28</f>
        <v>12984491.380250528</v>
      </c>
      <c r="U29" s="2487"/>
      <c r="V29" s="2487"/>
      <c r="W29" s="2487"/>
      <c r="X29" s="2487"/>
      <c r="Y29" s="2487"/>
      <c r="Z29" s="2487"/>
      <c r="AA29" s="2487"/>
      <c r="AB29" s="2487"/>
      <c r="AC29" s="2487"/>
      <c r="AD29" s="2487"/>
      <c r="AE29" s="2487"/>
      <c r="AF29" s="2487"/>
      <c r="AG29" s="2487"/>
      <c r="AH29" s="2487"/>
      <c r="AI29" s="2487"/>
      <c r="AJ29" s="2487"/>
      <c r="AK29" s="2487"/>
      <c r="AL29" s="2487"/>
      <c r="AM29" s="2484"/>
    </row>
    <row r="30" spans="1:40" ht="13" customHeight="1">
      <c r="B30" s="2494" t="s">
        <v>1424</v>
      </c>
      <c r="C30" s="2494"/>
      <c r="D30" s="2494"/>
      <c r="E30" s="2494"/>
      <c r="F30" s="2494"/>
      <c r="G30" s="2494"/>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row>
    <row r="31" spans="1:40" ht="13" customHeight="1">
      <c r="B31" s="2494" t="s">
        <v>1423</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2" t="s">
        <v>1293</v>
      </c>
      <c r="Z35" s="2512"/>
      <c r="AA35" s="2512"/>
      <c r="AB35" s="2512"/>
      <c r="AC35" s="2512"/>
      <c r="AD35" s="2535" t="s">
        <v>370</v>
      </c>
      <c r="AE35" s="2535"/>
      <c r="AF35" s="2535"/>
      <c r="AG35" s="2535"/>
      <c r="AH35" s="2535"/>
    </row>
    <row r="36" spans="1:76" ht="13" customHeight="1">
      <c r="B36" s="439"/>
      <c r="X36" s="444"/>
      <c r="Y36" s="2512"/>
      <c r="Z36" s="2512"/>
      <c r="AA36" s="2512"/>
      <c r="AB36" s="2512"/>
      <c r="AC36" s="2512"/>
      <c r="AD36" s="2535"/>
      <c r="AE36" s="2535"/>
      <c r="AF36" s="2535"/>
      <c r="AG36" s="2535"/>
      <c r="AH36" s="253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2"/>
      <c r="Z37" s="2512"/>
      <c r="AA37" s="2512"/>
      <c r="AB37" s="2512"/>
      <c r="AC37" s="2512"/>
      <c r="AD37" s="2535"/>
      <c r="AE37" s="2535"/>
      <c r="AF37" s="2535"/>
      <c r="AG37" s="2535"/>
      <c r="AH37" s="2535"/>
    </row>
    <row r="38" spans="1:76" ht="13" customHeight="1">
      <c r="A38" s="436"/>
      <c r="B38" s="2491" t="s">
        <v>515</v>
      </c>
      <c r="C38" s="2492"/>
      <c r="D38" s="2492"/>
      <c r="E38" s="2492"/>
      <c r="F38" s="2492"/>
      <c r="G38" s="2492"/>
      <c r="H38" s="2492"/>
      <c r="I38" s="2492"/>
      <c r="J38" s="2492"/>
      <c r="K38" s="2492"/>
      <c r="L38" s="2492"/>
      <c r="M38" s="2492"/>
      <c r="N38" s="2492"/>
      <c r="O38" s="2492"/>
      <c r="P38" s="2492"/>
      <c r="Q38" s="2492"/>
      <c r="R38" s="2492"/>
      <c r="S38" s="2492"/>
      <c r="T38" s="2492"/>
      <c r="U38" s="2492"/>
      <c r="V38" s="2492"/>
      <c r="W38" s="2492"/>
      <c r="X38" s="2493"/>
      <c r="Y38" s="2485">
        <f>IF(T24&gt;=(T23+Y23+AD23+AI23),T28+Y28,0)</f>
        <v>12984491.380250528</v>
      </c>
      <c r="Z38" s="2485"/>
      <c r="AA38" s="2485"/>
      <c r="AB38" s="2485"/>
      <c r="AC38" s="2485"/>
      <c r="AD38" s="2485">
        <f>IF(T24&gt;=(T23+Y23+AD23+AI23),AD28+AI28,0)</f>
        <v>0</v>
      </c>
      <c r="AE38" s="2485"/>
      <c r="AF38" s="2485"/>
      <c r="AG38" s="2485"/>
      <c r="AH38" s="2485"/>
    </row>
    <row r="39" spans="1:76" ht="13" customHeight="1">
      <c r="B39" s="2491" t="s">
        <v>1952</v>
      </c>
      <c r="C39" s="2492"/>
      <c r="D39" s="2492"/>
      <c r="E39" s="2492"/>
      <c r="F39" s="2492"/>
      <c r="G39" s="2492"/>
      <c r="H39" s="2492"/>
      <c r="I39" s="2492"/>
      <c r="J39" s="2492"/>
      <c r="K39" s="2492"/>
      <c r="L39" s="2492"/>
      <c r="M39" s="2492"/>
      <c r="N39" s="2492"/>
      <c r="O39" s="2492"/>
      <c r="P39" s="2492"/>
      <c r="Q39" s="2492"/>
      <c r="R39" s="2492"/>
      <c r="S39" s="2492"/>
      <c r="T39" s="2492"/>
      <c r="U39" s="2492"/>
      <c r="V39" s="2492"/>
      <c r="W39" s="2492"/>
      <c r="X39" s="2493"/>
      <c r="Y39" s="2536">
        <v>0.04</v>
      </c>
      <c r="Z39" s="2536"/>
      <c r="AA39" s="2536"/>
      <c r="AB39" s="2536"/>
      <c r="AC39" s="2536"/>
      <c r="AD39" s="2536">
        <v>0.04</v>
      </c>
      <c r="AE39" s="2536"/>
      <c r="AF39" s="2536"/>
      <c r="AG39" s="2536"/>
      <c r="AH39" s="2536"/>
    </row>
    <row r="40" spans="1:76" ht="13" customHeight="1">
      <c r="A40" s="436"/>
      <c r="B40" s="2491" t="s">
        <v>651</v>
      </c>
      <c r="C40" s="2492"/>
      <c r="D40" s="2492"/>
      <c r="E40" s="2492"/>
      <c r="F40" s="2492"/>
      <c r="G40" s="2492"/>
      <c r="H40" s="2492"/>
      <c r="I40" s="2492"/>
      <c r="J40" s="2492"/>
      <c r="K40" s="2492"/>
      <c r="L40" s="2492"/>
      <c r="M40" s="2492"/>
      <c r="N40" s="2492"/>
      <c r="O40" s="2492"/>
      <c r="P40" s="2492"/>
      <c r="Q40" s="2492"/>
      <c r="R40" s="2492"/>
      <c r="S40" s="2492"/>
      <c r="T40" s="2492"/>
      <c r="U40" s="2492"/>
      <c r="V40" s="2492"/>
      <c r="W40" s="2492"/>
      <c r="X40" s="2493"/>
      <c r="Y40" s="2485">
        <f>ROUND(Y38*Y39,0)</f>
        <v>519380</v>
      </c>
      <c r="Z40" s="2485"/>
      <c r="AA40" s="2485"/>
      <c r="AB40" s="2485"/>
      <c r="AC40" s="2485"/>
      <c r="AD40" s="2484">
        <f>ROUND(AD38*AD39,0)</f>
        <v>0</v>
      </c>
      <c r="AE40" s="2485"/>
      <c r="AF40" s="2485"/>
      <c r="AG40" s="2485"/>
      <c r="AH40" s="2485"/>
    </row>
    <row r="41" spans="1:76" ht="13" customHeight="1">
      <c r="B41" s="2491" t="s">
        <v>652</v>
      </c>
      <c r="C41" s="2492"/>
      <c r="D41" s="2492"/>
      <c r="E41" s="2492"/>
      <c r="F41" s="2492"/>
      <c r="G41" s="2492"/>
      <c r="H41" s="2492"/>
      <c r="I41" s="2492"/>
      <c r="J41" s="2492"/>
      <c r="K41" s="2492"/>
      <c r="L41" s="2492"/>
      <c r="M41" s="2492"/>
      <c r="N41" s="2492"/>
      <c r="O41" s="2492"/>
      <c r="P41" s="2492"/>
      <c r="Q41" s="2492"/>
      <c r="R41" s="2492"/>
      <c r="S41" s="2492"/>
      <c r="T41" s="2492"/>
      <c r="U41" s="2492"/>
      <c r="V41" s="2492"/>
      <c r="W41" s="2492"/>
      <c r="X41" s="2493"/>
      <c r="Y41" s="2486">
        <f>Y40+AD40</f>
        <v>519380</v>
      </c>
      <c r="Z41" s="2487"/>
      <c r="AA41" s="2487"/>
      <c r="AB41" s="2487"/>
      <c r="AC41" s="2487"/>
      <c r="AD41" s="2487"/>
      <c r="AE41" s="2487"/>
      <c r="AF41" s="2487"/>
      <c r="AG41" s="2487"/>
      <c r="AH41" s="2484"/>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9" t="s">
        <v>1435</v>
      </c>
      <c r="B44" s="2489"/>
      <c r="C44" s="2489"/>
      <c r="D44" s="2489"/>
      <c r="E44" s="2489"/>
      <c r="F44" s="2489"/>
      <c r="G44" s="2489"/>
      <c r="H44" s="2489"/>
      <c r="I44" s="2489"/>
      <c r="J44" s="2489"/>
      <c r="K44" s="2489"/>
      <c r="L44" s="2489"/>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c r="AS44" s="2489"/>
      <c r="AT44" s="2489"/>
      <c r="AU44" s="2489"/>
      <c r="AV44" s="2489"/>
      <c r="AW44" s="2489"/>
      <c r="AX44" s="2489"/>
      <c r="AY44" s="2489"/>
      <c r="AZ44" s="2489"/>
      <c r="BA44" s="2489"/>
      <c r="BB44" s="2489"/>
      <c r="BC44" s="2489"/>
      <c r="BD44" s="2489"/>
      <c r="BE44" s="2489"/>
      <c r="BF44" s="2489"/>
      <c r="BG44" s="2489"/>
      <c r="BH44" s="2489"/>
      <c r="BI44" s="2489"/>
      <c r="BJ44" s="2489"/>
      <c r="BK44" s="2489"/>
      <c r="BL44" s="2489"/>
      <c r="BM44" s="2489"/>
      <c r="BN44" s="2489"/>
      <c r="BO44" s="2489"/>
      <c r="BP44" s="2489"/>
      <c r="BQ44" s="2489"/>
      <c r="BR44" s="2489"/>
      <c r="BS44" s="2489"/>
      <c r="BT44" s="2489"/>
      <c r="BU44" s="2489"/>
      <c r="BV44" s="2489"/>
      <c r="BW44" s="2489"/>
      <c r="BX44" s="2489"/>
    </row>
    <row r="45" spans="1:76" s="218" customFormat="1" ht="13" customHeight="1" thickTop="1"/>
    <row r="46" spans="1:76" ht="13" customHeight="1">
      <c r="A46" s="436" t="s">
        <v>595</v>
      </c>
      <c r="C46" s="436" t="s">
        <v>283</v>
      </c>
    </row>
    <row r="47" spans="1:76" ht="13" customHeight="1">
      <c r="D47" s="436" t="s">
        <v>284</v>
      </c>
      <c r="AB47" s="2501">
        <f>'Sources and Uses Budget'!B105-MAX(IF('Sources and Uses Budget'!B15="",0,'Sources and Uses Budget'!B15),IF(Application!AG393="",0,Application!AG393))</f>
        <v>11613342.208194248</v>
      </c>
      <c r="AC47" s="2502"/>
      <c r="AD47" s="2502"/>
      <c r="AE47" s="2502"/>
      <c r="AF47" s="2503"/>
    </row>
    <row r="48" spans="1:76" ht="13" customHeight="1">
      <c r="D48" s="436" t="s">
        <v>21</v>
      </c>
      <c r="AB48" s="2501">
        <f>Application!AO635-MAX(IF('Sources and Uses Budget'!B15="",0,'Sources and Uses Budget'!B15),IF(Application!AG393="",0,Application!AG393))</f>
        <v>4756198</v>
      </c>
      <c r="AC48" s="2502"/>
      <c r="AD48" s="2502"/>
      <c r="AE48" s="2502"/>
      <c r="AF48" s="2503"/>
    </row>
    <row r="49" spans="1:76" ht="13" customHeight="1">
      <c r="D49" s="436" t="s">
        <v>92</v>
      </c>
      <c r="AB49" s="2501">
        <f>AB47-AB48</f>
        <v>6857144.2081942484</v>
      </c>
      <c r="AC49" s="2502"/>
      <c r="AD49" s="2502"/>
      <c r="AE49" s="2502"/>
      <c r="AF49" s="2503"/>
    </row>
    <row r="50" spans="1:76" ht="13" customHeight="1">
      <c r="D50" s="436" t="s">
        <v>690</v>
      </c>
      <c r="AA50" s="447"/>
      <c r="AB50" s="2528">
        <v>0.89</v>
      </c>
      <c r="AC50" s="2529"/>
      <c r="AD50" s="2529"/>
      <c r="AE50" s="2529"/>
      <c r="AF50" s="2530"/>
    </row>
    <row r="51" spans="1:76" s="449" customFormat="1" ht="13" customHeight="1">
      <c r="A51" s="434"/>
      <c r="B51" s="434"/>
      <c r="C51" s="434"/>
      <c r="D51" s="434"/>
      <c r="E51" s="2531" t="s">
        <v>2113</v>
      </c>
      <c r="F51" s="2531"/>
      <c r="G51" s="2531"/>
      <c r="H51" s="2531"/>
      <c r="I51" s="2531"/>
      <c r="J51" s="2531"/>
      <c r="K51" s="2531"/>
      <c r="L51" s="2531"/>
      <c r="M51" s="2531"/>
      <c r="N51" s="2531"/>
      <c r="O51" s="2531"/>
      <c r="P51" s="2531"/>
      <c r="Q51" s="2531"/>
      <c r="R51" s="2531"/>
      <c r="S51" s="2531"/>
      <c r="T51" s="2531"/>
      <c r="U51" s="2531"/>
      <c r="V51" s="2531"/>
      <c r="W51" s="2531"/>
      <c r="X51" s="2531"/>
      <c r="Y51" s="2531"/>
      <c r="Z51" s="2531"/>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31"/>
      <c r="F52" s="2531"/>
      <c r="G52" s="2531"/>
      <c r="H52" s="2531"/>
      <c r="I52" s="2531"/>
      <c r="J52" s="2531"/>
      <c r="K52" s="2531"/>
      <c r="L52" s="2531"/>
      <c r="M52" s="2531"/>
      <c r="N52" s="2531"/>
      <c r="O52" s="2531"/>
      <c r="P52" s="2531"/>
      <c r="Q52" s="2531"/>
      <c r="R52" s="2531"/>
      <c r="S52" s="2531"/>
      <c r="T52" s="2531"/>
      <c r="U52" s="2531"/>
      <c r="V52" s="2531"/>
      <c r="W52" s="2531"/>
      <c r="X52" s="2531"/>
      <c r="Y52" s="2531"/>
      <c r="Z52" s="2531"/>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501">
        <f>ROUND(IF(ISERROR((AB49/AB50)),0,(AB49/AB50)),0)</f>
        <v>7704656</v>
      </c>
      <c r="AC54" s="2502"/>
      <c r="AD54" s="2502"/>
      <c r="AE54" s="2502"/>
      <c r="AF54" s="2503"/>
    </row>
    <row r="55" spans="1:76" ht="13" customHeight="1">
      <c r="D55" s="436" t="s">
        <v>334</v>
      </c>
      <c r="AB55" s="2501">
        <f>(AB54/10)</f>
        <v>770465.6</v>
      </c>
      <c r="AC55" s="2502"/>
      <c r="AD55" s="2502"/>
      <c r="AE55" s="2502"/>
      <c r="AF55" s="2503"/>
    </row>
    <row r="56" spans="1:76" ht="13" customHeight="1">
      <c r="D56" s="436" t="s">
        <v>768</v>
      </c>
      <c r="AB56" s="2532">
        <f>(IF((Y41&lt;AB55),Y41,AB55))</f>
        <v>519380</v>
      </c>
      <c r="AC56" s="2533"/>
      <c r="AD56" s="2533"/>
      <c r="AE56" s="2533"/>
      <c r="AF56" s="2534"/>
    </row>
    <row r="57" spans="1:76" ht="13" customHeight="1">
      <c r="D57" s="436" t="s">
        <v>767</v>
      </c>
      <c r="AB57" s="2501">
        <f>ROUND((10*AB56*AB50),0)</f>
        <v>4622482</v>
      </c>
      <c r="AC57" s="2502"/>
      <c r="AD57" s="2502"/>
      <c r="AE57" s="2502"/>
      <c r="AF57" s="2503"/>
    </row>
    <row r="58" spans="1:76" ht="13" customHeight="1">
      <c r="D58" s="436"/>
      <c r="AB58" s="455"/>
      <c r="AC58" s="455"/>
      <c r="AD58" s="455"/>
      <c r="AE58" s="455"/>
      <c r="AF58" s="455"/>
    </row>
    <row r="59" spans="1:76" ht="13" customHeight="1">
      <c r="D59" s="436" t="s">
        <v>766</v>
      </c>
      <c r="AB59" s="2524">
        <f>AB49-AB57</f>
        <v>2234662.2081942484</v>
      </c>
      <c r="AC59" s="2524"/>
      <c r="AD59" s="2524"/>
      <c r="AE59" s="2524"/>
      <c r="AF59" s="2524"/>
    </row>
    <row r="60" spans="1:76" ht="13" customHeight="1">
      <c r="D60" s="436"/>
      <c r="AB60" s="455"/>
      <c r="AC60" s="455"/>
      <c r="AD60" s="455"/>
      <c r="AE60" s="455"/>
      <c r="AF60" s="455"/>
    </row>
    <row r="61" spans="1:76" s="218" customFormat="1" ht="13" customHeight="1" thickBot="1">
      <c r="A61" s="2489" t="str">
        <f>IF(Application!AP204="yes","Farmworker State Credit", "State Credit" )</f>
        <v>State Credit</v>
      </c>
      <c r="B61" s="2489"/>
      <c r="C61" s="2489"/>
      <c r="D61" s="2489"/>
      <c r="E61" s="2489"/>
      <c r="F61" s="2489"/>
      <c r="G61" s="2489"/>
      <c r="H61" s="2489"/>
      <c r="I61" s="2489"/>
      <c r="J61" s="2489"/>
      <c r="K61" s="2489"/>
      <c r="L61" s="2489"/>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c r="AS61" s="2489"/>
      <c r="AT61" s="2489"/>
      <c r="AU61" s="2489"/>
      <c r="AV61" s="2489"/>
      <c r="AW61" s="2489"/>
      <c r="AX61" s="2489"/>
      <c r="AY61" s="2489"/>
      <c r="AZ61" s="2489"/>
      <c r="BA61" s="2489"/>
      <c r="BB61" s="2489"/>
      <c r="BC61" s="2489"/>
      <c r="BD61" s="2489"/>
      <c r="BE61" s="2489"/>
      <c r="BF61" s="2489"/>
      <c r="BG61" s="2489"/>
      <c r="BH61" s="2489"/>
      <c r="BI61" s="2489"/>
      <c r="BJ61" s="2489"/>
      <c r="BK61" s="2489"/>
      <c r="BL61" s="2489"/>
      <c r="BM61" s="2489"/>
      <c r="BN61" s="2489"/>
      <c r="BO61" s="2489"/>
      <c r="BP61" s="2489"/>
      <c r="BQ61" s="2489"/>
      <c r="BR61" s="2489"/>
      <c r="BS61" s="2489"/>
      <c r="BT61" s="2489"/>
      <c r="BU61" s="2489"/>
      <c r="BV61" s="2489"/>
      <c r="BW61" s="2489"/>
      <c r="BX61" s="2489"/>
    </row>
    <row r="62" spans="1:76" s="218" customFormat="1" ht="13" customHeight="1" thickTop="1"/>
    <row r="63" spans="1:76" ht="13" customHeight="1">
      <c r="A63" s="436" t="s">
        <v>598</v>
      </c>
      <c r="C63" s="219" t="s">
        <v>1405</v>
      </c>
      <c r="Y63" s="2525" t="s">
        <v>1024</v>
      </c>
      <c r="Z63" s="2525"/>
      <c r="AA63" s="2525"/>
      <c r="AB63" s="2525"/>
      <c r="AC63" s="2525"/>
      <c r="AD63" s="2525" t="s">
        <v>370</v>
      </c>
      <c r="AE63" s="2525"/>
      <c r="AF63" s="2525"/>
      <c r="AG63" s="2525"/>
      <c r="AH63" s="2525"/>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6">
        <f>IF(Application!Z204="(select)",0,((T23*T27)+Y28))</f>
        <v>9988070.2925004065</v>
      </c>
      <c r="Z64" s="2526"/>
      <c r="AA64" s="2526"/>
      <c r="AB64" s="2526"/>
      <c r="AC64" s="2527"/>
      <c r="AD64" s="2486">
        <f>IF(AND(OR(Application!D210="At-Risk",Application!D210="At-Risk and Special Needs"),Application!M357="yes"),AD28+AI28,0)</f>
        <v>0</v>
      </c>
      <c r="AE64" s="2526"/>
      <c r="AF64" s="2526"/>
      <c r="AG64" s="2526"/>
      <c r="AH64" s="2527"/>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42">
        <f>IF(Application!AP204="yes",0.75,IF(Application!Z203="15% set-aside",0.13,IF(Application!Z203="15% set-aside with qualifying low value rehab",0.95,0.3)))</f>
        <v>0.3</v>
      </c>
      <c r="Z67" s="2542"/>
      <c r="AA67" s="2542"/>
      <c r="AB67" s="2542"/>
      <c r="AC67" s="2542"/>
      <c r="AD67" s="2542">
        <f>IF(Application!Z203="15% set-aside with qualifying low value rehab", 0.95,0.13)</f>
        <v>0.13</v>
      </c>
      <c r="AE67" s="2542"/>
      <c r="AF67" s="2542"/>
      <c r="AG67" s="2542"/>
      <c r="AH67" s="2542"/>
    </row>
    <row r="68" spans="1:36" ht="13" customHeight="1">
      <c r="C68" s="436"/>
      <c r="D68" s="219" t="s">
        <v>1407</v>
      </c>
      <c r="Y68" s="2485">
        <f>ROUND(Y64*Y67,0)</f>
        <v>2996421</v>
      </c>
      <c r="Z68" s="2543"/>
      <c r="AA68" s="2543"/>
      <c r="AB68" s="2543"/>
      <c r="AC68" s="2543"/>
      <c r="AD68" s="2485">
        <f>ROUND(AD64*AD67,0)</f>
        <v>0</v>
      </c>
      <c r="AE68" s="2543"/>
      <c r="AF68" s="2543"/>
      <c r="AG68" s="2543"/>
      <c r="AH68" s="2543"/>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1408</v>
      </c>
      <c r="AB71" s="2528">
        <v>0.79</v>
      </c>
      <c r="AC71" s="2529"/>
      <c r="AD71" s="2529"/>
      <c r="AE71" s="2529"/>
      <c r="AF71" s="2530"/>
    </row>
    <row r="72" spans="1:36" ht="13" customHeight="1">
      <c r="A72" s="436"/>
      <c r="C72" s="436"/>
      <c r="D72" s="436"/>
      <c r="E72" s="2544" t="s">
        <v>1409</v>
      </c>
      <c r="F72" s="2544"/>
      <c r="G72" s="2544"/>
      <c r="H72" s="2544"/>
      <c r="I72" s="2544"/>
      <c r="J72" s="2544"/>
      <c r="K72" s="2544"/>
      <c r="L72" s="2544"/>
      <c r="M72" s="2544"/>
      <c r="N72" s="2544"/>
      <c r="O72" s="2544"/>
      <c r="P72" s="2544"/>
      <c r="Q72" s="2544"/>
      <c r="R72" s="2544"/>
      <c r="S72" s="2544"/>
      <c r="T72" s="2544"/>
      <c r="U72" s="2544"/>
      <c r="V72" s="2544"/>
      <c r="W72" s="2544"/>
      <c r="X72" s="2544"/>
      <c r="Y72" s="2544"/>
      <c r="Z72" s="2544"/>
      <c r="AA72" s="2544"/>
      <c r="AB72" s="472"/>
      <c r="AC72" s="472"/>
    </row>
    <row r="73" spans="1:36" ht="13" customHeight="1">
      <c r="A73" s="436"/>
      <c r="C73" s="436"/>
      <c r="D73" s="436"/>
      <c r="E73" s="2544"/>
      <c r="F73" s="2544"/>
      <c r="G73" s="2544"/>
      <c r="H73" s="2544"/>
      <c r="I73" s="2544"/>
      <c r="J73" s="2544"/>
      <c r="K73" s="2544"/>
      <c r="L73" s="2544"/>
      <c r="M73" s="2544"/>
      <c r="N73" s="2544"/>
      <c r="O73" s="2544"/>
      <c r="P73" s="2544"/>
      <c r="Q73" s="2544"/>
      <c r="R73" s="2544"/>
      <c r="S73" s="2544"/>
      <c r="T73" s="2544"/>
      <c r="U73" s="2544"/>
      <c r="V73" s="2544"/>
      <c r="W73" s="2544"/>
      <c r="X73" s="2544"/>
      <c r="Y73" s="2544"/>
      <c r="Z73" s="2544"/>
      <c r="AA73" s="2544"/>
      <c r="AB73" s="472"/>
      <c r="AC73" s="472"/>
    </row>
    <row r="74" spans="1:36" ht="13" customHeight="1">
      <c r="A74" s="436"/>
      <c r="C74" s="436"/>
      <c r="D74" s="436"/>
      <c r="E74" s="2544"/>
      <c r="F74" s="2544"/>
      <c r="G74" s="2544"/>
      <c r="H74" s="2544"/>
      <c r="I74" s="2544"/>
      <c r="J74" s="2544"/>
      <c r="K74" s="2544"/>
      <c r="L74" s="2544"/>
      <c r="M74" s="2544"/>
      <c r="N74" s="2544"/>
      <c r="O74" s="2544"/>
      <c r="P74" s="2544"/>
      <c r="Q74" s="2544"/>
      <c r="R74" s="2544"/>
      <c r="S74" s="2544"/>
      <c r="T74" s="2544"/>
      <c r="U74" s="2544"/>
      <c r="V74" s="2544"/>
      <c r="W74" s="2544"/>
      <c r="X74" s="2544"/>
      <c r="Y74" s="2544"/>
      <c r="Z74" s="2544"/>
      <c r="AA74" s="2544"/>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37">
        <f>ROUND(IF(ISERROR((AB59/AB71)),0,(AB59/AB71)),0)</f>
        <v>2828686</v>
      </c>
      <c r="AC76" s="2537"/>
      <c r="AD76" s="2537"/>
      <c r="AE76" s="2537"/>
      <c r="AF76" s="2537"/>
    </row>
    <row r="77" spans="1:36" ht="13" customHeight="1">
      <c r="C77" s="436"/>
      <c r="D77" s="219" t="s">
        <v>1411</v>
      </c>
      <c r="AB77" s="2538">
        <f>IF((Y68+AD68&lt;AB76),Y68+AD68,AB76)</f>
        <v>2828686</v>
      </c>
      <c r="AC77" s="2539"/>
      <c r="AD77" s="2539"/>
      <c r="AE77" s="2539"/>
      <c r="AF77" s="2540"/>
    </row>
    <row r="78" spans="1:36" ht="13" customHeight="1">
      <c r="C78" s="436"/>
      <c r="D78" s="219" t="s">
        <v>1412</v>
      </c>
      <c r="AB78" s="2541">
        <f>AB77*AB71</f>
        <v>2234661.94</v>
      </c>
      <c r="AC78" s="2541"/>
      <c r="AD78" s="2541"/>
      <c r="AE78" s="2541"/>
      <c r="AF78" s="2541"/>
    </row>
    <row r="79" spans="1:36" ht="13" customHeight="1">
      <c r="C79" s="436"/>
      <c r="D79" s="436"/>
      <c r="AB79" s="457"/>
      <c r="AC79" s="457"/>
      <c r="AD79" s="457"/>
      <c r="AE79" s="457"/>
      <c r="AF79" s="457"/>
    </row>
    <row r="80" spans="1:36" ht="13" customHeight="1">
      <c r="D80" s="436" t="s">
        <v>766</v>
      </c>
      <c r="AB80" s="2524">
        <f>AB49-(AB57+AB78)</f>
        <v>0.26819424889981747</v>
      </c>
      <c r="AC80" s="2524"/>
      <c r="AD80" s="2524"/>
      <c r="AE80" s="2524"/>
      <c r="AF80" s="2524"/>
    </row>
    <row r="81" spans="1:78" ht="13" customHeight="1">
      <c r="F81" s="557"/>
      <c r="J81" s="557" t="str">
        <f>IF(AB80&gt;0,"FUNDING GAP MUST NOT EXCEED ZERO","")</f>
        <v>FUNDING GAP MUST NOT EXCEED ZERO</v>
      </c>
    </row>
    <row r="82" spans="1:78" ht="13" customHeight="1">
      <c r="D82" s="558"/>
    </row>
    <row r="83" spans="1:78" ht="13" customHeight="1" thickBot="1">
      <c r="A83" s="2489"/>
      <c r="B83" s="2489"/>
      <c r="C83" s="2489"/>
      <c r="D83" s="2489"/>
      <c r="E83" s="2489"/>
      <c r="F83" s="2489"/>
      <c r="G83" s="2489"/>
      <c r="H83" s="2489"/>
      <c r="I83" s="2489"/>
      <c r="J83" s="2489"/>
      <c r="K83" s="2489"/>
      <c r="L83" s="2489"/>
      <c r="M83" s="2489"/>
      <c r="N83" s="2489"/>
      <c r="O83" s="2489"/>
      <c r="P83" s="2489"/>
      <c r="Q83" s="2489"/>
      <c r="R83" s="2489"/>
      <c r="S83" s="2489"/>
      <c r="T83" s="2489"/>
      <c r="U83" s="2489"/>
      <c r="V83" s="2489"/>
      <c r="W83" s="2489"/>
      <c r="X83" s="2489"/>
      <c r="Y83" s="2489"/>
      <c r="Z83" s="2489"/>
      <c r="AA83" s="2489"/>
      <c r="AB83" s="2489"/>
      <c r="AC83" s="2489"/>
      <c r="AD83" s="2489"/>
      <c r="AE83" s="2489"/>
      <c r="AF83" s="2489"/>
      <c r="AG83" s="2489"/>
      <c r="AH83" s="2489"/>
      <c r="AI83" s="2489"/>
      <c r="AJ83" s="2489"/>
      <c r="AK83" s="2489"/>
      <c r="AL83" s="2489"/>
      <c r="AM83" s="2489"/>
      <c r="AN83" s="2489"/>
      <c r="AO83" s="2489"/>
      <c r="AP83" s="2489"/>
      <c r="AQ83" s="2489"/>
      <c r="AR83" s="2489"/>
      <c r="AS83" s="2489"/>
      <c r="AT83" s="2489"/>
      <c r="AU83" s="2489"/>
      <c r="AV83" s="2489"/>
      <c r="AW83" s="2489"/>
      <c r="AX83" s="2489"/>
      <c r="AY83" s="2489"/>
      <c r="AZ83" s="2489"/>
      <c r="BA83" s="2489"/>
      <c r="BB83" s="2489"/>
      <c r="BC83" s="2489"/>
      <c r="BD83" s="2489"/>
      <c r="BE83" s="2489"/>
      <c r="BF83" s="2489"/>
      <c r="BG83" s="2489"/>
      <c r="BH83" s="2489"/>
      <c r="BI83" s="2489"/>
      <c r="BJ83" s="2489"/>
      <c r="BK83" s="2489"/>
      <c r="BL83" s="2489"/>
      <c r="BM83" s="2489"/>
      <c r="BN83" s="2489"/>
      <c r="BO83" s="2489"/>
      <c r="BP83" s="2489"/>
      <c r="BQ83" s="2489"/>
      <c r="BR83" s="2489"/>
      <c r="BS83" s="2489"/>
      <c r="BT83" s="2489"/>
      <c r="BU83" s="2489"/>
      <c r="BV83" s="2489"/>
      <c r="BW83" s="2489"/>
      <c r="BX83" s="2489"/>
    </row>
    <row r="84" spans="1:78" ht="13" customHeight="1" thickTop="1"/>
    <row r="85" spans="1:78" ht="13" customHeight="1">
      <c r="A85" s="436"/>
      <c r="C85" s="219"/>
    </row>
    <row r="86" spans="1:78" ht="13" customHeight="1">
      <c r="D86" s="219"/>
      <c r="AB86" s="2490"/>
      <c r="AC86" s="2490"/>
      <c r="AD86" s="2490"/>
      <c r="AE86" s="2490"/>
      <c r="AF86" s="2490"/>
    </row>
    <row r="87" spans="1:78" ht="13" customHeight="1" thickBot="1">
      <c r="D87" s="219"/>
      <c r="AB87" s="2488"/>
      <c r="AC87" s="2488"/>
      <c r="AD87" s="2488"/>
      <c r="AE87" s="2488"/>
      <c r="AF87" s="248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85" zoomScaleNormal="85" zoomScaleSheetLayoutView="100" workbookViewId="0">
      <selection activeCell="J30" sqref="J30"/>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45" t="s">
        <v>942</v>
      </c>
      <c r="B1" s="2545"/>
      <c r="C1" s="2545"/>
      <c r="D1" s="2545"/>
      <c r="E1" s="2545"/>
      <c r="F1" s="2545"/>
      <c r="G1" s="2545"/>
      <c r="H1" s="2545"/>
      <c r="I1" s="2545"/>
      <c r="J1" s="2545"/>
      <c r="K1" s="218"/>
      <c r="L1" s="218"/>
    </row>
    <row r="2" spans="1:12">
      <c r="A2" s="225"/>
      <c r="B2" s="225"/>
      <c r="C2" s="225"/>
      <c r="D2" s="225"/>
      <c r="E2" s="225"/>
      <c r="F2" s="225"/>
      <c r="G2" s="225"/>
      <c r="H2" s="225"/>
      <c r="I2" s="225"/>
      <c r="J2" s="225"/>
    </row>
    <row r="3" spans="1:12" ht="75">
      <c r="A3" s="458" t="s">
        <v>943</v>
      </c>
      <c r="B3" s="458" t="s">
        <v>944</v>
      </c>
      <c r="C3" s="458" t="s">
        <v>2342</v>
      </c>
      <c r="D3" s="1199" t="s">
        <v>945</v>
      </c>
      <c r="E3" s="218"/>
      <c r="F3" s="1199" t="s">
        <v>946</v>
      </c>
      <c r="G3" s="458" t="s">
        <v>947</v>
      </c>
      <c r="H3" s="459"/>
      <c r="I3" s="458" t="s">
        <v>948</v>
      </c>
      <c r="J3" s="458" t="s">
        <v>949</v>
      </c>
      <c r="K3" s="218"/>
      <c r="L3" s="328"/>
    </row>
    <row r="4" spans="1:12">
      <c r="A4" s="460" t="str">
        <f>Application!B714</f>
        <v>2 Bedrooms</v>
      </c>
      <c r="B4" s="1130">
        <f>Application!G714</f>
        <v>8</v>
      </c>
      <c r="C4" s="1131" t="s">
        <v>386</v>
      </c>
      <c r="D4" s="460">
        <f>Application!O714</f>
        <v>653</v>
      </c>
      <c r="E4" s="461"/>
      <c r="F4" s="1132">
        <v>1836</v>
      </c>
      <c r="G4" s="460">
        <f>F4*B4</f>
        <v>14688</v>
      </c>
      <c r="H4" s="461"/>
      <c r="I4" s="460">
        <f>IF(F4=0," ",(F4-D4))</f>
        <v>1183</v>
      </c>
      <c r="J4" s="460">
        <f>IF(F4=0," ",(I4*B4))</f>
        <v>9464</v>
      </c>
      <c r="K4" s="218"/>
      <c r="L4" s="328"/>
    </row>
    <row r="5" spans="1:12">
      <c r="A5" s="460" t="str">
        <f>Application!B715</f>
        <v>2 Bedrooms</v>
      </c>
      <c r="B5" s="1130">
        <f>Application!G715</f>
        <v>9</v>
      </c>
      <c r="C5" s="1131" t="s">
        <v>386</v>
      </c>
      <c r="D5" s="460">
        <f>Application!O715</f>
        <v>653</v>
      </c>
      <c r="E5" s="461"/>
      <c r="F5" s="1132">
        <v>1836</v>
      </c>
      <c r="G5" s="460">
        <f t="shared" ref="G5:G28" si="0">F5*B5</f>
        <v>16524</v>
      </c>
      <c r="H5" s="461"/>
      <c r="I5" s="460">
        <f t="shared" ref="I5:I28" si="1">IF(F5=0," ",(F5-D5))</f>
        <v>1183</v>
      </c>
      <c r="J5" s="460">
        <f t="shared" ref="J5:J28" si="2">IF(F5=0," ",(I5*B5))</f>
        <v>10647</v>
      </c>
      <c r="K5" s="218"/>
      <c r="L5" s="328"/>
    </row>
    <row r="6" spans="1:12">
      <c r="A6" s="460">
        <f>Application!B716</f>
        <v>0</v>
      </c>
      <c r="B6" s="1130">
        <f>Application!G716</f>
        <v>0</v>
      </c>
      <c r="C6" s="1131"/>
      <c r="D6" s="460">
        <f>Application!O716</f>
        <v>0</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11101</v>
      </c>
      <c r="E30" s="461"/>
      <c r="F30" s="461"/>
      <c r="G30" s="464">
        <f>SUM(G4:G28)*12</f>
        <v>374544</v>
      </c>
      <c r="H30" s="465"/>
      <c r="I30" s="463"/>
      <c r="J30" s="464">
        <f>SUM(J4:J28)*12</f>
        <v>241332</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125" zoomScaleNormal="85" zoomScaleSheetLayoutView="100" workbookViewId="0">
      <selection activeCell="A43" sqref="A43:XFD43"/>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2518</v>
      </c>
      <c r="B1" s="226"/>
    </row>
    <row r="2" spans="1:34"/>
    <row r="3" spans="1:34" ht="1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133212</v>
      </c>
      <c r="G4" s="235">
        <f>E4*$C$4</f>
        <v>136542.29999999999</v>
      </c>
      <c r="I4" s="235">
        <f>G4*$C$4</f>
        <v>139955.85749999998</v>
      </c>
      <c r="K4" s="235">
        <f>I4*$C$4</f>
        <v>143454.75393749998</v>
      </c>
      <c r="M4" s="235">
        <f>K4*$C$4</f>
        <v>147041.12278593745</v>
      </c>
      <c r="O4" s="235">
        <f>M4*$C$4</f>
        <v>150717.15085558587</v>
      </c>
      <c r="Q4" s="235">
        <f>O4*$C$4</f>
        <v>154485.07962697549</v>
      </c>
      <c r="S4" s="235">
        <f>Q4*$C$4</f>
        <v>158347.20661764988</v>
      </c>
      <c r="U4" s="235">
        <f>S4*$C$4</f>
        <v>162305.88678309112</v>
      </c>
      <c r="W4" s="235">
        <f>U4*$C$4</f>
        <v>166363.5339526684</v>
      </c>
      <c r="Y4" s="235">
        <f>W4*$C$4</f>
        <v>170522.6223014851</v>
      </c>
      <c r="AA4" s="235">
        <f>Y4*$C$4</f>
        <v>174785.6878590222</v>
      </c>
      <c r="AC4" s="235">
        <f>AA4*$C$4</f>
        <v>179155.33005549773</v>
      </c>
      <c r="AE4" s="235">
        <f>AC4*$C$4</f>
        <v>183634.21330688515</v>
      </c>
      <c r="AG4" s="235">
        <f>AE4*$C$4</f>
        <v>188225.06863955726</v>
      </c>
    </row>
    <row r="5" spans="1:34" s="225" customFormat="1" ht="14">
      <c r="B5" s="225" t="s">
        <v>866</v>
      </c>
      <c r="C5" s="254">
        <f>IF(Application!$D$210="Special Needs",0.1,0.05)</f>
        <v>0.05</v>
      </c>
      <c r="E5" s="237">
        <f>-E4*$C$5</f>
        <v>-6660.6</v>
      </c>
      <c r="F5" s="237"/>
      <c r="G5" s="237">
        <f>-G4*$C$5</f>
        <v>-6827.1149999999998</v>
      </c>
      <c r="H5" s="237"/>
      <c r="I5" s="237">
        <f>-I4*$C$5</f>
        <v>-6997.7928749999992</v>
      </c>
      <c r="J5" s="237"/>
      <c r="K5" s="237">
        <f>-K4*$C$5</f>
        <v>-7172.7376968749995</v>
      </c>
      <c r="L5" s="237"/>
      <c r="M5" s="237">
        <f>-M4*$C$5</f>
        <v>-7352.056139296873</v>
      </c>
      <c r="N5" s="237"/>
      <c r="O5" s="237">
        <f>-O4*$C$5</f>
        <v>-7535.8575427792939</v>
      </c>
      <c r="P5" s="237"/>
      <c r="Q5" s="237">
        <f>-Q4*$C$5</f>
        <v>-7724.2539813487747</v>
      </c>
      <c r="R5" s="237"/>
      <c r="S5" s="237">
        <f>-S4*$C$5</f>
        <v>-7917.3603308824941</v>
      </c>
      <c r="T5" s="237"/>
      <c r="U5" s="237">
        <f>-U4*$C$5</f>
        <v>-8115.2943391545559</v>
      </c>
      <c r="V5" s="237"/>
      <c r="W5" s="237">
        <f>-W4*$C$5</f>
        <v>-8318.1766976334202</v>
      </c>
      <c r="X5" s="237"/>
      <c r="Y5" s="237">
        <f>-Y4*$C$5</f>
        <v>-8526.1311150742549</v>
      </c>
      <c r="Z5" s="237"/>
      <c r="AA5" s="237">
        <f>-AA4*$C$5</f>
        <v>-8739.2843929511109</v>
      </c>
      <c r="AB5" s="237"/>
      <c r="AC5" s="237">
        <f>-AC4*$C$5</f>
        <v>-8957.7665027748862</v>
      </c>
      <c r="AD5" s="237"/>
      <c r="AE5" s="237">
        <f>-AE4*$C$5</f>
        <v>-9181.7106653442588</v>
      </c>
      <c r="AF5" s="237"/>
      <c r="AG5" s="237">
        <f>-AG4*$C$5</f>
        <v>-9411.2534319778624</v>
      </c>
    </row>
    <row r="6" spans="1:34" s="225" customFormat="1" ht="14">
      <c r="A6" s="225" t="s">
        <v>864</v>
      </c>
      <c r="C6" s="253">
        <v>1.0249999999999999</v>
      </c>
      <c r="E6" s="238">
        <f>Application!Z793</f>
        <v>241332</v>
      </c>
      <c r="F6" s="238"/>
      <c r="G6" s="238">
        <f>E6*$C$6</f>
        <v>247365.3</v>
      </c>
      <c r="H6" s="238"/>
      <c r="I6" s="238">
        <f>G6*$C$6</f>
        <v>253549.43249999997</v>
      </c>
      <c r="J6" s="238"/>
      <c r="K6" s="238">
        <f>I6*$C$6</f>
        <v>259888.16831249994</v>
      </c>
      <c r="L6" s="238"/>
      <c r="M6" s="238">
        <f>K6*$C$6</f>
        <v>266385.37252031243</v>
      </c>
      <c r="N6" s="238"/>
      <c r="O6" s="238">
        <f>M6*$C$6</f>
        <v>273045.00683332019</v>
      </c>
      <c r="P6" s="238"/>
      <c r="Q6" s="238">
        <f>O6*$C$6</f>
        <v>279871.13200415316</v>
      </c>
      <c r="R6" s="238"/>
      <c r="S6" s="238">
        <f>Q6*$C$6</f>
        <v>286867.91030425695</v>
      </c>
      <c r="T6" s="238"/>
      <c r="U6" s="238">
        <f>S6*$C$6</f>
        <v>294039.60806186334</v>
      </c>
      <c r="V6" s="238"/>
      <c r="W6" s="238">
        <f>U6*$C$6</f>
        <v>301390.59826340992</v>
      </c>
      <c r="X6" s="238"/>
      <c r="Y6" s="238">
        <f>W6*$C$6</f>
        <v>308925.36321999517</v>
      </c>
      <c r="Z6" s="238"/>
      <c r="AA6" s="238">
        <f>Y6*$C$6</f>
        <v>316648.49730049504</v>
      </c>
      <c r="AB6" s="238"/>
      <c r="AC6" s="238">
        <f>AA6*$C$6</f>
        <v>324564.70973300742</v>
      </c>
      <c r="AD6" s="238"/>
      <c r="AE6" s="238">
        <f>AC6*$C$6</f>
        <v>332678.82747633255</v>
      </c>
      <c r="AF6" s="238"/>
      <c r="AG6" s="238">
        <f>AE6*$C$6</f>
        <v>340995.79816324083</v>
      </c>
    </row>
    <row r="7" spans="1:34" s="225" customFormat="1" ht="14">
      <c r="B7" s="225" t="s">
        <v>866</v>
      </c>
      <c r="C7" s="254">
        <f>IF(Application!$D$210="Special Needs",0.1,0.05)</f>
        <v>0.05</v>
      </c>
      <c r="E7" s="237">
        <f>-E6*$C$7</f>
        <v>-12066.6</v>
      </c>
      <c r="F7" s="237"/>
      <c r="G7" s="237">
        <f>-G6*$C$7</f>
        <v>-12368.264999999999</v>
      </c>
      <c r="H7" s="237"/>
      <c r="I7" s="237">
        <f>-I6*$C$7</f>
        <v>-12677.471624999998</v>
      </c>
      <c r="J7" s="237"/>
      <c r="K7" s="237">
        <f>-K6*$C$7</f>
        <v>-12994.408415624997</v>
      </c>
      <c r="L7" s="237"/>
      <c r="M7" s="237">
        <f>-M6*$C$7</f>
        <v>-13319.268626015622</v>
      </c>
      <c r="N7" s="237"/>
      <c r="O7" s="237">
        <f>-O6*$C$7</f>
        <v>-13652.250341666011</v>
      </c>
      <c r="P7" s="237"/>
      <c r="Q7" s="237">
        <f>-Q6*$C$7</f>
        <v>-13993.556600207659</v>
      </c>
      <c r="R7" s="237"/>
      <c r="S7" s="237">
        <f>-S6*$C$7</f>
        <v>-14343.395515212847</v>
      </c>
      <c r="T7" s="237"/>
      <c r="U7" s="237">
        <f>-U6*$C$7</f>
        <v>-14701.980403093168</v>
      </c>
      <c r="V7" s="237"/>
      <c r="W7" s="237">
        <f>-W6*$C$7</f>
        <v>-15069.529913170496</v>
      </c>
      <c r="X7" s="237"/>
      <c r="Y7" s="237">
        <f>-Y6*$C$7</f>
        <v>-15446.26816099976</v>
      </c>
      <c r="Z7" s="237"/>
      <c r="AA7" s="237">
        <f>-AA6*$C$7</f>
        <v>-15832.424865024754</v>
      </c>
      <c r="AB7" s="237"/>
      <c r="AC7" s="237">
        <f>-AC6*$C$7</f>
        <v>-16228.235486650372</v>
      </c>
      <c r="AD7" s="237"/>
      <c r="AE7" s="237">
        <f>-AE6*$C$7</f>
        <v>-16633.941373816629</v>
      </c>
      <c r="AF7" s="237"/>
      <c r="AG7" s="237">
        <f>-AG6*$C$7</f>
        <v>-17049.789908162042</v>
      </c>
    </row>
    <row r="8" spans="1:34" s="225" customFormat="1" ht="14">
      <c r="A8" s="225" t="s">
        <v>289</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866</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355816.80000000005</v>
      </c>
      <c r="G11" s="239">
        <f>SUM(G4:G10)</f>
        <v>364712.22</v>
      </c>
      <c r="I11" s="239">
        <f>SUM(I4:I10)</f>
        <v>373830.02549999999</v>
      </c>
      <c r="K11" s="239">
        <f>SUM(K4:K10)</f>
        <v>383175.77613749995</v>
      </c>
      <c r="M11" s="239">
        <f>SUM(M4:M10)</f>
        <v>392755.17054093734</v>
      </c>
      <c r="O11" s="239">
        <f>SUM(O4:O10)</f>
        <v>402574.04980446078</v>
      </c>
      <c r="Q11" s="239">
        <f>SUM(Q4:Q10)</f>
        <v>412638.40104957222</v>
      </c>
      <c r="S11" s="239">
        <f>SUM(S4:S10)</f>
        <v>422954.3610758115</v>
      </c>
      <c r="U11" s="239">
        <f>SUM(U4:U10)</f>
        <v>433528.22010270675</v>
      </c>
      <c r="W11" s="239">
        <f>SUM(W4:W10)</f>
        <v>444366.42560527439</v>
      </c>
      <c r="Y11" s="239">
        <f>SUM(Y4:Y10)</f>
        <v>455475.58624540624</v>
      </c>
      <c r="AA11" s="239">
        <f>SUM(AA4:AA10)</f>
        <v>466862.47590154142</v>
      </c>
      <c r="AC11" s="239">
        <f>SUM(AC4:AC10)</f>
        <v>478534.0377990799</v>
      </c>
      <c r="AE11" s="239">
        <f>SUM(AE4:AE10)</f>
        <v>490497.38874405681</v>
      </c>
      <c r="AG11" s="239">
        <f>SUM(AG4:AG10)</f>
        <v>502759.82346265821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20000</v>
      </c>
      <c r="G15" s="235">
        <f>E15*$C$14</f>
        <v>20700</v>
      </c>
      <c r="I15" s="235">
        <f>G15*$C$14</f>
        <v>21424.5</v>
      </c>
      <c r="K15" s="235">
        <f>I15*$C$14</f>
        <v>22174.357499999998</v>
      </c>
      <c r="M15" s="235">
        <f>K15*$C$14</f>
        <v>22950.460012499996</v>
      </c>
      <c r="O15" s="235">
        <f>M15*$C$14</f>
        <v>23753.726112937493</v>
      </c>
      <c r="Q15" s="235">
        <f>O15*$C$14</f>
        <v>24585.106526890304</v>
      </c>
      <c r="S15" s="235">
        <f>Q15*$C$14</f>
        <v>25445.585255331462</v>
      </c>
      <c r="U15" s="235">
        <f>S15*$C$14</f>
        <v>26336.18073926806</v>
      </c>
      <c r="W15" s="235">
        <f>U15*$C$14</f>
        <v>27257.947065142442</v>
      </c>
      <c r="Y15" s="235">
        <f>W15*$C$14</f>
        <v>28211.975212422425</v>
      </c>
      <c r="AA15" s="235">
        <f>Y15*$C$14</f>
        <v>29199.394344857206</v>
      </c>
      <c r="AC15" s="235">
        <f>AA15*$C$14</f>
        <v>30221.373146927206</v>
      </c>
      <c r="AE15" s="235">
        <f>AC15*$C$14</f>
        <v>31279.121207069657</v>
      </c>
      <c r="AG15" s="235">
        <f>AE15*$C$14</f>
        <v>32373.890449317092</v>
      </c>
    </row>
    <row r="16" spans="1:34" s="225" customFormat="1" ht="14">
      <c r="A16" s="225" t="s">
        <v>345</v>
      </c>
      <c r="C16" s="249"/>
      <c r="E16" s="238">
        <f>Application!W833</f>
        <v>6000</v>
      </c>
      <c r="F16" s="238"/>
      <c r="G16" s="238">
        <f t="shared" ref="G16:AG21" si="0">E16*$C$14</f>
        <v>6209.9999999999991</v>
      </c>
      <c r="H16" s="238"/>
      <c r="I16" s="238">
        <f t="shared" si="0"/>
        <v>6427.3499999999985</v>
      </c>
      <c r="J16" s="238"/>
      <c r="K16" s="238">
        <f t="shared" si="0"/>
        <v>6652.307249999998</v>
      </c>
      <c r="L16" s="238"/>
      <c r="M16" s="238">
        <f t="shared" si="0"/>
        <v>6885.1380037499976</v>
      </c>
      <c r="N16" s="238"/>
      <c r="O16" s="238">
        <f t="shared" si="0"/>
        <v>7126.117833881247</v>
      </c>
      <c r="P16" s="238"/>
      <c r="Q16" s="238">
        <f t="shared" si="0"/>
        <v>7375.5319580670903</v>
      </c>
      <c r="R16" s="238"/>
      <c r="S16" s="238">
        <f t="shared" si="0"/>
        <v>7633.6755765994376</v>
      </c>
      <c r="T16" s="238"/>
      <c r="U16" s="238">
        <f t="shared" si="0"/>
        <v>7900.854221780417</v>
      </c>
      <c r="V16" s="238"/>
      <c r="W16" s="238">
        <f t="shared" si="0"/>
        <v>8177.3841195427312</v>
      </c>
      <c r="X16" s="238"/>
      <c r="Y16" s="238">
        <f t="shared" si="0"/>
        <v>8463.5925637267264</v>
      </c>
      <c r="Z16" s="238"/>
      <c r="AA16" s="238">
        <f t="shared" si="0"/>
        <v>8759.8183034571612</v>
      </c>
      <c r="AB16" s="238"/>
      <c r="AC16" s="238">
        <f t="shared" si="0"/>
        <v>9066.4119440781615</v>
      </c>
      <c r="AD16" s="238"/>
      <c r="AE16" s="238">
        <f t="shared" si="0"/>
        <v>9383.736362120897</v>
      </c>
      <c r="AF16" s="238"/>
      <c r="AG16" s="238">
        <f t="shared" si="0"/>
        <v>9712.1671347951269</v>
      </c>
    </row>
    <row r="17" spans="1:33" s="225" customFormat="1" ht="14">
      <c r="A17" s="225" t="s">
        <v>570</v>
      </c>
      <c r="C17" s="249"/>
      <c r="E17" s="238">
        <f>Application!W839</f>
        <v>12800</v>
      </c>
      <c r="F17" s="238"/>
      <c r="G17" s="238">
        <f t="shared" si="0"/>
        <v>13247.999999999998</v>
      </c>
      <c r="H17" s="238"/>
      <c r="I17" s="238">
        <f t="shared" si="0"/>
        <v>13711.679999999997</v>
      </c>
      <c r="J17" s="238"/>
      <c r="K17" s="238">
        <f t="shared" si="0"/>
        <v>14191.588799999996</v>
      </c>
      <c r="L17" s="238"/>
      <c r="M17" s="238">
        <f t="shared" si="0"/>
        <v>14688.294407999994</v>
      </c>
      <c r="N17" s="238"/>
      <c r="O17" s="238">
        <f t="shared" si="0"/>
        <v>15202.384712279993</v>
      </c>
      <c r="P17" s="238"/>
      <c r="Q17" s="238">
        <f t="shared" si="0"/>
        <v>15734.46817720979</v>
      </c>
      <c r="R17" s="238"/>
      <c r="S17" s="238">
        <f t="shared" si="0"/>
        <v>16285.174563412131</v>
      </c>
      <c r="T17" s="238"/>
      <c r="U17" s="238">
        <f t="shared" si="0"/>
        <v>16855.155673131554</v>
      </c>
      <c r="V17" s="238"/>
      <c r="W17" s="238">
        <f t="shared" si="0"/>
        <v>17445.086121691158</v>
      </c>
      <c r="X17" s="238"/>
      <c r="Y17" s="238">
        <f t="shared" si="0"/>
        <v>18055.664135950348</v>
      </c>
      <c r="Z17" s="238"/>
      <c r="AA17" s="238">
        <f t="shared" si="0"/>
        <v>18687.612380708608</v>
      </c>
      <c r="AB17" s="238"/>
      <c r="AC17" s="238">
        <f t="shared" si="0"/>
        <v>19341.678814033407</v>
      </c>
      <c r="AD17" s="238"/>
      <c r="AE17" s="238">
        <f t="shared" si="0"/>
        <v>20018.637572524574</v>
      </c>
      <c r="AF17" s="238"/>
      <c r="AG17" s="238">
        <f t="shared" si="0"/>
        <v>20719.289887562933</v>
      </c>
    </row>
    <row r="18" spans="1:33" s="225" customFormat="1" ht="14">
      <c r="A18" s="225" t="s">
        <v>870</v>
      </c>
      <c r="C18" s="249"/>
      <c r="E18" s="238">
        <f>Application!W846</f>
        <v>39800</v>
      </c>
      <c r="F18" s="238"/>
      <c r="G18" s="238">
        <f t="shared" si="0"/>
        <v>41193</v>
      </c>
      <c r="H18" s="238"/>
      <c r="I18" s="238">
        <f t="shared" si="0"/>
        <v>42634.754999999997</v>
      </c>
      <c r="J18" s="238"/>
      <c r="K18" s="238">
        <f t="shared" si="0"/>
        <v>44126.971424999996</v>
      </c>
      <c r="L18" s="238"/>
      <c r="M18" s="238">
        <f t="shared" si="0"/>
        <v>45671.415424874991</v>
      </c>
      <c r="N18" s="238"/>
      <c r="O18" s="238">
        <f t="shared" si="0"/>
        <v>47269.914964745614</v>
      </c>
      <c r="P18" s="238"/>
      <c r="Q18" s="238">
        <f t="shared" si="0"/>
        <v>48924.361988511708</v>
      </c>
      <c r="R18" s="238"/>
      <c r="S18" s="238">
        <f t="shared" si="0"/>
        <v>50636.714658109617</v>
      </c>
      <c r="T18" s="238"/>
      <c r="U18" s="238">
        <f t="shared" si="0"/>
        <v>52408.999671143451</v>
      </c>
      <c r="V18" s="238"/>
      <c r="W18" s="238">
        <f t="shared" si="0"/>
        <v>54243.31465963347</v>
      </c>
      <c r="X18" s="238"/>
      <c r="Y18" s="238">
        <f t="shared" si="0"/>
        <v>56141.830672720636</v>
      </c>
      <c r="Z18" s="238"/>
      <c r="AA18" s="238">
        <f t="shared" si="0"/>
        <v>58106.794746265856</v>
      </c>
      <c r="AB18" s="238"/>
      <c r="AC18" s="238">
        <f t="shared" si="0"/>
        <v>60140.532562385153</v>
      </c>
      <c r="AD18" s="238"/>
      <c r="AE18" s="238">
        <f t="shared" si="0"/>
        <v>62245.451202068631</v>
      </c>
      <c r="AF18" s="238"/>
      <c r="AG18" s="238">
        <f t="shared" si="0"/>
        <v>64424.041994141029</v>
      </c>
    </row>
    <row r="19" spans="1:33" s="225" customFormat="1" ht="14">
      <c r="A19" s="225" t="s">
        <v>156</v>
      </c>
      <c r="C19" s="249"/>
      <c r="E19" s="238">
        <f>Application!W847</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
      <c r="A20" s="225" t="s">
        <v>391</v>
      </c>
      <c r="C20" s="249"/>
      <c r="E20" s="238">
        <f>Application!W856</f>
        <v>15000</v>
      </c>
      <c r="F20" s="238"/>
      <c r="G20" s="238">
        <f t="shared" si="0"/>
        <v>15524.999999999998</v>
      </c>
      <c r="H20" s="238"/>
      <c r="I20" s="238">
        <f t="shared" si="0"/>
        <v>16068.374999999996</v>
      </c>
      <c r="J20" s="238"/>
      <c r="K20" s="238">
        <f t="shared" si="0"/>
        <v>16630.768124999995</v>
      </c>
      <c r="L20" s="238"/>
      <c r="M20" s="238">
        <f t="shared" si="0"/>
        <v>17212.845009374993</v>
      </c>
      <c r="N20" s="238"/>
      <c r="O20" s="238">
        <f t="shared" si="0"/>
        <v>17815.294584703115</v>
      </c>
      <c r="P20" s="238"/>
      <c r="Q20" s="238">
        <f t="shared" si="0"/>
        <v>18438.829895167724</v>
      </c>
      <c r="R20" s="238"/>
      <c r="S20" s="238">
        <f t="shared" si="0"/>
        <v>19084.188941498593</v>
      </c>
      <c r="T20" s="238"/>
      <c r="U20" s="238">
        <f t="shared" si="0"/>
        <v>19752.135554451041</v>
      </c>
      <c r="V20" s="238"/>
      <c r="W20" s="238">
        <f t="shared" si="0"/>
        <v>20443.460298856826</v>
      </c>
      <c r="X20" s="238"/>
      <c r="Y20" s="238">
        <f t="shared" si="0"/>
        <v>21158.981409316813</v>
      </c>
      <c r="Z20" s="238"/>
      <c r="AA20" s="238">
        <f t="shared" si="0"/>
        <v>21899.5457586429</v>
      </c>
      <c r="AB20" s="238"/>
      <c r="AC20" s="238">
        <f t="shared" si="0"/>
        <v>22666.029860195398</v>
      </c>
      <c r="AD20" s="238"/>
      <c r="AE20" s="238">
        <f t="shared" si="0"/>
        <v>23459.340905302237</v>
      </c>
      <c r="AF20" s="238"/>
      <c r="AG20" s="238">
        <f t="shared" si="0"/>
        <v>24280.417836987814</v>
      </c>
    </row>
    <row r="21" spans="1:33" s="225" customFormat="1" ht="14">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93600</v>
      </c>
      <c r="G22" s="239">
        <f>SUM(G15:G21)</f>
        <v>96876</v>
      </c>
      <c r="I22" s="239">
        <f>SUM(I15:I21)</f>
        <v>100266.66</v>
      </c>
      <c r="K22" s="239">
        <f>SUM(K15:K21)</f>
        <v>103775.99309999999</v>
      </c>
      <c r="M22" s="239">
        <f>SUM(M15:M21)</f>
        <v>107408.15285849996</v>
      </c>
      <c r="O22" s="239">
        <f>SUM(O15:O21)</f>
        <v>111167.43820854745</v>
      </c>
      <c r="Q22" s="239">
        <f>SUM(Q15:Q21)</f>
        <v>115058.29854584663</v>
      </c>
      <c r="S22" s="239">
        <f>SUM(S15:S21)</f>
        <v>119085.33899495123</v>
      </c>
      <c r="U22" s="239">
        <f>SUM(U15:U21)</f>
        <v>123253.32585977453</v>
      </c>
      <c r="W22" s="239">
        <f>SUM(W15:W21)</f>
        <v>127567.19226486662</v>
      </c>
      <c r="Y22" s="239">
        <f>SUM(Y15:Y21)</f>
        <v>132032.04399413697</v>
      </c>
      <c r="AA22" s="239">
        <f>SUM(AA15:AA21)</f>
        <v>136653.16553393172</v>
      </c>
      <c r="AC22" s="239">
        <f>SUM(AC15:AC21)</f>
        <v>141436.02632761933</v>
      </c>
      <c r="AE22" s="239">
        <f>SUM(AE15:AE21)</f>
        <v>146386.28724908599</v>
      </c>
      <c r="AG22" s="239">
        <f>SUM(AG15:AG21)</f>
        <v>151509.80730280399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7200</v>
      </c>
      <c r="F27" s="238"/>
      <c r="G27" s="238">
        <f>E27*$C$27</f>
        <v>7451.9999999999991</v>
      </c>
      <c r="H27" s="238"/>
      <c r="I27" s="238">
        <f>G27*$C$27</f>
        <v>7712.8199999999988</v>
      </c>
      <c r="J27" s="238"/>
      <c r="K27" s="238">
        <f>I27*$C$27</f>
        <v>7982.7686999999978</v>
      </c>
      <c r="L27" s="238"/>
      <c r="M27" s="238">
        <f>K27*$C$27</f>
        <v>8262.1656044999963</v>
      </c>
      <c r="N27" s="238"/>
      <c r="O27" s="238">
        <f>M27*$C$27</f>
        <v>8551.3414006574949</v>
      </c>
      <c r="P27" s="238"/>
      <c r="Q27" s="238">
        <f>O27*$C$27</f>
        <v>8850.6383496805065</v>
      </c>
      <c r="R27" s="238"/>
      <c r="S27" s="238">
        <f>Q27*$C$27</f>
        <v>9160.4106919193237</v>
      </c>
      <c r="T27" s="238"/>
      <c r="U27" s="238">
        <f>S27*$C$27</f>
        <v>9481.0250661364989</v>
      </c>
      <c r="V27" s="238"/>
      <c r="W27" s="238">
        <f>U27*$C$27</f>
        <v>9812.8609434512764</v>
      </c>
      <c r="X27" s="238"/>
      <c r="Y27" s="238">
        <f>W27*$C$27</f>
        <v>10156.31107647207</v>
      </c>
      <c r="Z27" s="238"/>
      <c r="AA27" s="238">
        <f>Y27*$C$27</f>
        <v>10511.781964148591</v>
      </c>
      <c r="AB27" s="238"/>
      <c r="AC27" s="238">
        <f>AA27*$C$27</f>
        <v>10879.69433289379</v>
      </c>
      <c r="AD27" s="238"/>
      <c r="AE27" s="238">
        <f>AC27*$C$27</f>
        <v>11260.483634545073</v>
      </c>
      <c r="AF27" s="238"/>
      <c r="AG27" s="238">
        <f>AE27*$C$27</f>
        <v>11654.60056175415</v>
      </c>
    </row>
    <row r="28" spans="1:33" s="225" customFormat="1" ht="14">
      <c r="A28" s="225" t="s">
        <v>874</v>
      </c>
      <c r="C28" s="253"/>
      <c r="E28" s="238">
        <f>Application!AC873</f>
        <v>5400</v>
      </c>
      <c r="F28" s="238"/>
      <c r="G28" s="238">
        <f>$E$28</f>
        <v>5400</v>
      </c>
      <c r="H28" s="238"/>
      <c r="I28" s="238">
        <f>$E$28</f>
        <v>5400</v>
      </c>
      <c r="J28" s="238"/>
      <c r="K28" s="238">
        <f>$E$28</f>
        <v>5400</v>
      </c>
      <c r="L28" s="238"/>
      <c r="M28" s="238">
        <f>$E$28</f>
        <v>5400</v>
      </c>
      <c r="N28" s="238"/>
      <c r="O28" s="238">
        <f>$E$28</f>
        <v>5400</v>
      </c>
      <c r="P28" s="238"/>
      <c r="Q28" s="238">
        <f>$E$28</f>
        <v>5400</v>
      </c>
      <c r="R28" s="238"/>
      <c r="S28" s="238">
        <f>$E$28</f>
        <v>5400</v>
      </c>
      <c r="T28" s="238"/>
      <c r="U28" s="238">
        <f>$E$28</f>
        <v>5400</v>
      </c>
      <c r="V28" s="238"/>
      <c r="W28" s="238">
        <f>$E$28</f>
        <v>5400</v>
      </c>
      <c r="X28" s="238"/>
      <c r="Y28" s="238">
        <f>$E$28</f>
        <v>5400</v>
      </c>
      <c r="Z28" s="238"/>
      <c r="AA28" s="238">
        <f>$E$28</f>
        <v>5400</v>
      </c>
      <c r="AB28" s="238"/>
      <c r="AC28" s="238">
        <f>$E$28</f>
        <v>5400</v>
      </c>
      <c r="AD28" s="238"/>
      <c r="AE28" s="238">
        <f>$E$28</f>
        <v>5400</v>
      </c>
      <c r="AF28" s="238"/>
      <c r="AG28" s="238">
        <f>$E$28</f>
        <v>5400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106200</v>
      </c>
      <c r="G35" s="239">
        <f>SUM(G22:G33)</f>
        <v>109728</v>
      </c>
      <c r="I35" s="239">
        <f>SUM(I22:I33)</f>
        <v>113379.48</v>
      </c>
      <c r="K35" s="239">
        <f>SUM(K22:K33)</f>
        <v>117158.76179999999</v>
      </c>
      <c r="M35" s="239">
        <f>SUM(M22:M33)</f>
        <v>121070.31846299996</v>
      </c>
      <c r="O35" s="239">
        <f>SUM(O22:O33)</f>
        <v>125118.77960920494</v>
      </c>
      <c r="Q35" s="239">
        <f>SUM(Q22:Q33)</f>
        <v>129308.93689552713</v>
      </c>
      <c r="S35" s="239">
        <f>SUM(S22:S33)</f>
        <v>133645.74968687055</v>
      </c>
      <c r="U35" s="239">
        <f>SUM(U22:U33)</f>
        <v>138134.35092591104</v>
      </c>
      <c r="W35" s="239">
        <f>SUM(W22:W33)</f>
        <v>142780.0532083179</v>
      </c>
      <c r="Y35" s="239">
        <f>SUM(Y22:Y33)</f>
        <v>147588.35507060905</v>
      </c>
      <c r="AA35" s="239">
        <f>SUM(AA22:AA33)</f>
        <v>152564.94749808032</v>
      </c>
      <c r="AC35" s="239">
        <f>SUM(AC22:AC33)</f>
        <v>157715.72066051312</v>
      </c>
      <c r="AE35" s="239">
        <f>SUM(AE22:AE33)</f>
        <v>163046.77088363105</v>
      </c>
      <c r="AG35" s="239">
        <f>SUM(AG22:AG33)</f>
        <v>168564.40786455813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249616.80000000005</v>
      </c>
      <c r="G37" s="239">
        <f>G11-G35</f>
        <v>254984.21999999997</v>
      </c>
      <c r="I37" s="239">
        <f>I11-I35</f>
        <v>260450.54550000001</v>
      </c>
      <c r="K37" s="239">
        <f>K11-K35</f>
        <v>266017.01433749998</v>
      </c>
      <c r="M37" s="239">
        <f>M11-M35</f>
        <v>271684.85207793739</v>
      </c>
      <c r="O37" s="239">
        <f>O11-O35</f>
        <v>277455.27019525587</v>
      </c>
      <c r="Q37" s="239">
        <f>Q11-Q35</f>
        <v>283329.4641540451</v>
      </c>
      <c r="S37" s="239">
        <f>S11-S35</f>
        <v>289308.61138894095</v>
      </c>
      <c r="U37" s="239">
        <f>U11-U35</f>
        <v>295393.86917679571</v>
      </c>
      <c r="W37" s="239">
        <f>W11-W35</f>
        <v>301586.37239695649</v>
      </c>
      <c r="Y37" s="239">
        <f>Y11-Y35</f>
        <v>307887.23117479717</v>
      </c>
      <c r="AA37" s="239">
        <f>AA11-AA35</f>
        <v>314297.5284034611</v>
      </c>
      <c r="AC37" s="239">
        <f>AC11-AC35</f>
        <v>320818.31713856675</v>
      </c>
      <c r="AE37" s="239">
        <f>AE11-AE35</f>
        <v>327450.61786042573</v>
      </c>
      <c r="AG37" s="239">
        <f>AG11-AG35</f>
        <v>334195.41559810005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R4 Tax-exempt construction-to-perm loan</v>
      </c>
      <c r="B40" s="242"/>
      <c r="C40" s="236"/>
      <c r="E40" s="238">
        <f>Application!AF623</f>
        <v>215186.86865204945</v>
      </c>
      <c r="F40" s="238"/>
      <c r="G40" s="238">
        <f>$E$40</f>
        <v>215186.86865204945</v>
      </c>
      <c r="H40" s="238"/>
      <c r="I40" s="238">
        <f>$E$40</f>
        <v>215186.86865204945</v>
      </c>
      <c r="J40" s="238"/>
      <c r="K40" s="238">
        <f>$E$40</f>
        <v>215186.86865204945</v>
      </c>
      <c r="L40" s="238"/>
      <c r="M40" s="238">
        <f>$E$40</f>
        <v>215186.86865204945</v>
      </c>
      <c r="N40" s="238"/>
      <c r="O40" s="238">
        <f>$E$40</f>
        <v>215186.86865204945</v>
      </c>
      <c r="P40" s="238"/>
      <c r="Q40" s="238">
        <f>$E$40</f>
        <v>215186.86865204945</v>
      </c>
      <c r="R40" s="238"/>
      <c r="S40" s="238">
        <f>$E$40</f>
        <v>215186.86865204945</v>
      </c>
      <c r="T40" s="238"/>
      <c r="U40" s="238">
        <f>$E$40</f>
        <v>215186.86865204945</v>
      </c>
      <c r="V40" s="238"/>
      <c r="W40" s="238">
        <f>$E$40</f>
        <v>215186.86865204945</v>
      </c>
      <c r="X40" s="238"/>
      <c r="Y40" s="238">
        <f>$E$40</f>
        <v>215186.86865204945</v>
      </c>
      <c r="Z40" s="238"/>
      <c r="AA40" s="238">
        <f>$E$40</f>
        <v>215186.86865204945</v>
      </c>
      <c r="AB40" s="238"/>
      <c r="AC40" s="238">
        <f>$E$40</f>
        <v>215186.86865204945</v>
      </c>
      <c r="AD40" s="238"/>
      <c r="AE40" s="238">
        <f>$E$40</f>
        <v>215186.86865204945</v>
      </c>
      <c r="AF40" s="238"/>
      <c r="AG40" s="238">
        <f>$E$40</f>
        <v>215186.86865204945</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215186.86865204945</v>
      </c>
      <c r="G43" s="239">
        <f>SUM(G40:G42)</f>
        <v>215186.86865204945</v>
      </c>
      <c r="I43" s="239">
        <f>SUM(I40:I42)</f>
        <v>215186.86865204945</v>
      </c>
      <c r="K43" s="239">
        <f>SUM(K40:K42)</f>
        <v>215186.86865204945</v>
      </c>
      <c r="M43" s="239">
        <f>SUM(M40:M42)</f>
        <v>215186.86865204945</v>
      </c>
      <c r="O43" s="239">
        <f>SUM(O40:O42)</f>
        <v>215186.86865204945</v>
      </c>
      <c r="Q43" s="239">
        <f>SUM(Q40:Q42)</f>
        <v>215186.86865204945</v>
      </c>
      <c r="S43" s="239">
        <f>SUM(S40:S42)</f>
        <v>215186.86865204945</v>
      </c>
      <c r="U43" s="239">
        <f>SUM(U40:U42)</f>
        <v>215186.86865204945</v>
      </c>
      <c r="W43" s="239">
        <f>SUM(W40:W42)</f>
        <v>215186.86865204945</v>
      </c>
      <c r="Y43" s="239">
        <f>SUM(Y40:Y42)</f>
        <v>215186.86865204945</v>
      </c>
      <c r="AA43" s="239">
        <f>SUM(AA40:AA42)</f>
        <v>215186.86865204945</v>
      </c>
      <c r="AC43" s="239">
        <f>SUM(AC40:AC42)</f>
        <v>215186.86865204945</v>
      </c>
      <c r="AE43" s="239">
        <f>SUM(AE40:AE42)</f>
        <v>215186.86865204945</v>
      </c>
      <c r="AG43" s="239">
        <f>SUM(AG40:AG42)</f>
        <v>215186.86865204945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34429.931347950594</v>
      </c>
      <c r="G45" s="239">
        <f>G37-G43</f>
        <v>39797.35134795052</v>
      </c>
      <c r="I45" s="239">
        <f>I37-I43</f>
        <v>45263.676847950555</v>
      </c>
      <c r="K45" s="239">
        <f>K37-K43</f>
        <v>50830.145685450523</v>
      </c>
      <c r="M45" s="239">
        <f>M37-M43</f>
        <v>56497.983425887942</v>
      </c>
      <c r="O45" s="239">
        <f>O37-O43</f>
        <v>62268.401543206419</v>
      </c>
      <c r="Q45" s="239">
        <f>Q37-Q43</f>
        <v>68142.595501995645</v>
      </c>
      <c r="S45" s="239">
        <f>S37-S43</f>
        <v>74121.742736891494</v>
      </c>
      <c r="U45" s="239">
        <f>U37-U43</f>
        <v>80207.000524746254</v>
      </c>
      <c r="W45" s="239">
        <f>W37-W43</f>
        <v>86399.503744907037</v>
      </c>
      <c r="Y45" s="239">
        <f>Y37-Y43</f>
        <v>92700.362522747717</v>
      </c>
      <c r="AA45" s="239">
        <f>AA37-AA43</f>
        <v>99110.659751411644</v>
      </c>
      <c r="AC45" s="239">
        <f>AC37-AC43</f>
        <v>105631.4484865173</v>
      </c>
      <c r="AE45" s="239">
        <f>AE37-AE43</f>
        <v>112263.74920837628</v>
      </c>
      <c r="AG45" s="239">
        <f>AG37-AG43</f>
        <v>119008.5469460506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9.1924930977269947E-2</v>
      </c>
      <c r="G47" s="243">
        <f>G45/(G4+G6+G8)</f>
        <v>0.10366387992306098</v>
      </c>
      <c r="I47" s="243">
        <f>I45/(I4+I6+I8)</f>
        <v>0.11502685732115714</v>
      </c>
      <c r="K47" s="243">
        <f>K45/(K4+K6+K8)</f>
        <v>0.12602215851935786</v>
      </c>
      <c r="M47" s="243">
        <f>M45/(M4+M6+M8)</f>
        <v>0.13665786800634652</v>
      </c>
      <c r="O47" s="243">
        <f>O45/(O4+O6+O8)</f>
        <v>0.14694186447134136</v>
      </c>
      <c r="Q47" s="243">
        <f>Q45/(Q4+Q6+Q8)</f>
        <v>0.15688182573952655</v>
      </c>
      <c r="S47" s="243">
        <f>S45/(S4+S6+S8)</f>
        <v>0.16648523358629094</v>
      </c>
      <c r="U47" s="243">
        <f>U45/(U4+U6+U8)</f>
        <v>0.1757593784332131</v>
      </c>
      <c r="W47" s="243">
        <f>W45/(W4+W6+W8)</f>
        <v>0.18471136392867804</v>
      </c>
      <c r="Y47" s="243">
        <f>Y45/(Y4+Y6+Y8)</f>
        <v>0.19334811141592448</v>
      </c>
      <c r="AA47" s="243">
        <f>AA45/(AA4+AA6+AA8)</f>
        <v>0.20167636429126473</v>
      </c>
      <c r="AC47" s="243">
        <f>AC45/(AC4+AC6+AC8)</f>
        <v>0.20970269225514301</v>
      </c>
      <c r="AE47" s="243">
        <f>AE45/(AE4+AE6+AE8)</f>
        <v>0.21743349545864368</v>
      </c>
      <c r="AG47" s="243">
        <f>AG45/(AG4+AG6+AG8)</f>
        <v>0.22487500854798376</v>
      </c>
    </row>
    <row r="48" spans="1:33" s="243" customFormat="1" ht="14">
      <c r="A48" s="243" t="s">
        <v>880</v>
      </c>
      <c r="C48" s="236"/>
      <c r="E48" s="243">
        <f>E45/E43</f>
        <v>0.16000015039775839</v>
      </c>
      <c r="G48" s="243">
        <f>G45/G43</f>
        <v>0.18494321515641185</v>
      </c>
      <c r="I48" s="243">
        <f>I45/I43</f>
        <v>0.21034590600944394</v>
      </c>
      <c r="K48" s="243">
        <f>K45/K43</f>
        <v>0.23621397534085273</v>
      </c>
      <c r="M48" s="243">
        <f>M45/M43</f>
        <v>0.26255311850484447</v>
      </c>
      <c r="O48" s="243">
        <f>O45/O43</f>
        <v>0.28936896537071</v>
      </c>
      <c r="Q48" s="243">
        <f>Q45/Q43</f>
        <v>0.31666707141029188</v>
      </c>
      <c r="S48" s="243">
        <f>S45/S43</f>
        <v>0.34445290830800679</v>
      </c>
      <c r="U48" s="243">
        <f>U45/U43</f>
        <v>0.37273185407255732</v>
      </c>
      <c r="W48" s="243">
        <f>W45/W43</f>
        <v>0.40150918262866858</v>
      </c>
      <c r="Y48" s="243">
        <f>Y45/Y43</f>
        <v>0.43079005286628969</v>
      </c>
      <c r="AA48" s="243">
        <f>AA45/AA43</f>
        <v>0.46057949712382557</v>
      </c>
      <c r="AC48" s="243">
        <f>AC45/AC43</f>
        <v>0.49088240908101183</v>
      </c>
      <c r="AE48" s="243">
        <f>AE45/AE43</f>
        <v>0.5217035310361029</v>
      </c>
      <c r="AG48" s="243">
        <f>AG45/AG43</f>
        <v>0.55304744054101074</v>
      </c>
    </row>
    <row r="49" spans="1:35" s="244" customFormat="1" ht="14">
      <c r="A49" s="244" t="s">
        <v>878</v>
      </c>
      <c r="C49" s="245"/>
      <c r="E49" s="244">
        <f>E37/E43</f>
        <v>1.1600001503977584</v>
      </c>
      <c r="G49" s="244">
        <f>G37/G43</f>
        <v>1.1849432151564119</v>
      </c>
      <c r="I49" s="244">
        <f>I37/I43</f>
        <v>1.2103459060094439</v>
      </c>
      <c r="K49" s="244">
        <f>K37/K43</f>
        <v>1.2362139753408528</v>
      </c>
      <c r="M49" s="244">
        <f>M37/M43</f>
        <v>1.2625531185048444</v>
      </c>
      <c r="O49" s="244">
        <f>O37/O43</f>
        <v>1.2893689653707101</v>
      </c>
      <c r="Q49" s="244">
        <f>Q37/Q43</f>
        <v>1.3166670714102919</v>
      </c>
      <c r="S49" s="244">
        <f>S37/S43</f>
        <v>1.3444529083080068</v>
      </c>
      <c r="U49" s="244">
        <f>U37/U43</f>
        <v>1.3727318540725573</v>
      </c>
      <c r="W49" s="244">
        <f>W37/W43</f>
        <v>1.4015091826286685</v>
      </c>
      <c r="Y49" s="244">
        <f>Y37/Y43</f>
        <v>1.4307900528662896</v>
      </c>
      <c r="AA49" s="244">
        <f>AA37/AA43</f>
        <v>1.4605794971238255</v>
      </c>
      <c r="AC49" s="244">
        <f>AC37/AC43</f>
        <v>1.4908824090810118</v>
      </c>
      <c r="AE49" s="244">
        <f>AE37/AE43</f>
        <v>1.5217035310361029</v>
      </c>
      <c r="AG49" s="244">
        <f>AG37/AG43</f>
        <v>1.5530474405410106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8" t="s">
        <v>1327</v>
      </c>
      <c r="B52" s="2548"/>
      <c r="C52" s="254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34429.931347950594</v>
      </c>
      <c r="G60" s="999">
        <f>G45-G58</f>
        <v>39797.35134795052</v>
      </c>
      <c r="I60" s="999">
        <f>I45-I58</f>
        <v>45263.676847950555</v>
      </c>
      <c r="K60" s="999">
        <f>K45-K58</f>
        <v>50830.145685450523</v>
      </c>
      <c r="M60" s="999">
        <f>M45-M58</f>
        <v>56497.983425887942</v>
      </c>
      <c r="O60" s="999">
        <f>O45-O58</f>
        <v>62268.401543206419</v>
      </c>
      <c r="Q60" s="999">
        <f>Q45-Q58</f>
        <v>68142.595501995645</v>
      </c>
      <c r="S60" s="999">
        <f>S45-S58</f>
        <v>74121.742736891494</v>
      </c>
      <c r="U60" s="999">
        <f>U45-U58</f>
        <v>80207.000524746254</v>
      </c>
      <c r="W60" s="999">
        <f>W45-W58</f>
        <v>86399.503744907037</v>
      </c>
      <c r="Y60" s="999">
        <f>Y45-Y58</f>
        <v>92700.362522747717</v>
      </c>
      <c r="AA60" s="999">
        <f>AA45-AA58</f>
        <v>99110.659751411644</v>
      </c>
      <c r="AC60" s="999">
        <f>AC45-AC58</f>
        <v>105631.4484865173</v>
      </c>
      <c r="AE60" s="999">
        <f>AE45-AE58</f>
        <v>112263.74920837628</v>
      </c>
      <c r="AG60" s="999">
        <f>AG45-AG58</f>
        <v>119008.5469460506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17214.965673975297</v>
      </c>
      <c r="G62" s="999">
        <f>G60*$C$62</f>
        <v>19898.67567397526</v>
      </c>
      <c r="I62" s="999">
        <f>I60*$C$62</f>
        <v>22631.838423975278</v>
      </c>
      <c r="K62" s="999">
        <f>K60*$C$62</f>
        <v>25415.072842725262</v>
      </c>
      <c r="M62" s="999">
        <f>M60*$C$62</f>
        <v>28248.991712943971</v>
      </c>
      <c r="O62" s="999">
        <f>O60*$C$62</f>
        <v>31134.200771603209</v>
      </c>
      <c r="Q62" s="999">
        <f>Q60*$C$62</f>
        <v>34071.297750997823</v>
      </c>
      <c r="S62" s="999">
        <f>S60*$C$62</f>
        <v>37060.871368445747</v>
      </c>
      <c r="U62" s="999">
        <f>U60*$C$62</f>
        <v>40103.500262373127</v>
      </c>
      <c r="W62" s="999">
        <f>W60*$C$62</f>
        <v>43199.751872453518</v>
      </c>
      <c r="Y62" s="999">
        <f>Y60*$C$62</f>
        <v>46350.181261373858</v>
      </c>
      <c r="AA62" s="999">
        <f>AA60*$C$62</f>
        <v>49555.329875705822</v>
      </c>
      <c r="AC62" s="999">
        <f>AC60*$C$62</f>
        <v>52815.72424325865</v>
      </c>
      <c r="AE62" s="999">
        <f>AE60*$C$62</f>
        <v>56131.874604188139</v>
      </c>
      <c r="AG62" s="999">
        <f>AG60*$C$62</f>
        <v>59504.2734730253</v>
      </c>
    </row>
    <row r="63" spans="1:35" s="999" customFormat="1">
      <c r="A63" s="2548" t="s">
        <v>1327</v>
      </c>
      <c r="B63" s="2548"/>
      <c r="C63" s="254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8607.4828369876486</v>
      </c>
      <c r="G66" s="997">
        <f>G60*$C$65</f>
        <v>9949.33783698763</v>
      </c>
      <c r="I66" s="997">
        <f>I60*$C$65</f>
        <v>11315.919211987639</v>
      </c>
      <c r="K66" s="997">
        <f>K60*$C$65</f>
        <v>12707.536421362631</v>
      </c>
      <c r="M66" s="997">
        <f>M60*$C$65</f>
        <v>14124.495856471985</v>
      </c>
      <c r="O66" s="997">
        <f>O60*$C$65</f>
        <v>15567.100385801605</v>
      </c>
      <c r="Q66" s="997">
        <f>Q60*$C$65</f>
        <v>17035.648875498911</v>
      </c>
      <c r="S66" s="997">
        <f>S60*$C$65</f>
        <v>18530.435684222874</v>
      </c>
      <c r="U66" s="997">
        <f>U60*$C$65</f>
        <v>20051.750131186564</v>
      </c>
      <c r="W66" s="997">
        <f>W60*$C$65</f>
        <v>21599.875936226759</v>
      </c>
      <c r="Y66" s="997">
        <f>Y60*$C$65</f>
        <v>23175.090630686929</v>
      </c>
      <c r="AA66" s="997">
        <f>AA60*$C$65</f>
        <v>24777.664937852911</v>
      </c>
      <c r="AC66" s="997">
        <f>AC60*$C$65</f>
        <v>26407.862121629325</v>
      </c>
      <c r="AE66" s="997">
        <f>AE60*$C$65</f>
        <v>28065.937302094069</v>
      </c>
      <c r="AG66" s="997">
        <f>AG60*$C$65</f>
        <v>29752.13673651265</v>
      </c>
    </row>
    <row r="67" spans="1:35" s="997" customFormat="1">
      <c r="A67" s="1002"/>
      <c r="B67" s="1002"/>
      <c r="C67" s="1007"/>
      <c r="E67" s="1001">
        <f>$E60*$C$65</f>
        <v>8607.4828369876486</v>
      </c>
      <c r="G67" s="997">
        <f>G60*$C$65</f>
        <v>9949.33783698763</v>
      </c>
      <c r="I67" s="997">
        <f>I60*$C$65</f>
        <v>11315.919211987639</v>
      </c>
      <c r="K67" s="997">
        <f>K60*$C$65</f>
        <v>12707.536421362631</v>
      </c>
      <c r="M67" s="997">
        <f>M60*$C$65</f>
        <v>14124.495856471985</v>
      </c>
      <c r="O67" s="997">
        <f>O60*$C$65</f>
        <v>15567.100385801605</v>
      </c>
      <c r="Q67" s="997">
        <f>Q60*$C$65</f>
        <v>17035.648875498911</v>
      </c>
      <c r="S67" s="997">
        <f>S60*$C$65</f>
        <v>18530.435684222874</v>
      </c>
      <c r="U67" s="997">
        <f>U60*$C$65</f>
        <v>20051.750131186564</v>
      </c>
      <c r="W67" s="997">
        <f>W60*$C$65</f>
        <v>21599.875936226759</v>
      </c>
      <c r="Y67" s="997">
        <f>Y60*$C$65</f>
        <v>23175.090630686929</v>
      </c>
      <c r="AA67" s="997">
        <f>AA60*$C$65</f>
        <v>24777.664937852911</v>
      </c>
      <c r="AC67" s="997">
        <f>AC60*$C$65</f>
        <v>26407.862121629325</v>
      </c>
      <c r="AE67" s="997">
        <f>AE60*$C$65</f>
        <v>28065.937302094069</v>
      </c>
      <c r="AG67" s="997">
        <f>AG60*$C$65</f>
        <v>29752.13673651265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17214.965673975297</v>
      </c>
      <c r="G70" s="997">
        <f>SUM(G66:G69)</f>
        <v>19898.67567397526</v>
      </c>
      <c r="I70" s="997">
        <f>SUM(I66:I69)</f>
        <v>22631.838423975278</v>
      </c>
      <c r="K70" s="997">
        <f>SUM(K66:K69)</f>
        <v>25415.072842725262</v>
      </c>
      <c r="M70" s="997">
        <f>SUM(M66:M69)</f>
        <v>28248.991712943971</v>
      </c>
      <c r="O70" s="997">
        <f>SUM(O66:O69)</f>
        <v>31134.200771603209</v>
      </c>
      <c r="Q70" s="997">
        <f>SUM(Q66:Q69)</f>
        <v>34071.297750997823</v>
      </c>
      <c r="S70" s="997">
        <f>SUM(S66:S69)</f>
        <v>37060.871368445747</v>
      </c>
      <c r="U70" s="997">
        <f>SUM(U66:U69)</f>
        <v>40103.500262373127</v>
      </c>
      <c r="W70" s="997">
        <f>SUM(W66:W69)</f>
        <v>43199.751872453518</v>
      </c>
      <c r="Y70" s="997">
        <f>SUM(Y66:Y69)</f>
        <v>46350.181261373858</v>
      </c>
      <c r="AA70" s="997">
        <f>SUM(AA66:AA69)</f>
        <v>49555.329875705822</v>
      </c>
      <c r="AC70" s="997">
        <f>SUM(AC66:AC69)</f>
        <v>52815.72424325865</v>
      </c>
      <c r="AE70" s="997">
        <f>SUM(AE66:AE69)</f>
        <v>56131.874604188139</v>
      </c>
      <c r="AG70" s="997">
        <f>SUM(AG66:AG69)</f>
        <v>59504.2734730253</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6" t="s">
        <v>1982</v>
      </c>
      <c r="B77" s="2547"/>
      <c r="C77" s="2547"/>
      <c r="D77" s="2547"/>
      <c r="E77" s="2547"/>
      <c r="F77" s="2547"/>
      <c r="G77" s="2547"/>
      <c r="H77" s="2547"/>
      <c r="I77" s="2547"/>
      <c r="J77" s="2547"/>
      <c r="K77" s="2547"/>
      <c r="L77" s="2547"/>
      <c r="M77" s="2547"/>
      <c r="N77" s="2547"/>
      <c r="O77" s="2547"/>
      <c r="P77" s="2547"/>
      <c r="Q77" s="2547"/>
      <c r="R77" s="2547"/>
      <c r="S77" s="2547"/>
      <c r="T77" s="2547"/>
      <c r="U77" s="2547"/>
      <c r="V77" s="2547"/>
      <c r="W77" s="2547"/>
      <c r="X77" s="2547"/>
      <c r="Y77" s="2547"/>
      <c r="Z77" s="2547"/>
      <c r="AA77" s="2547"/>
      <c r="AB77" s="2547"/>
      <c r="AC77" s="2547"/>
      <c r="AD77" s="2547"/>
      <c r="AE77" s="2547"/>
      <c r="AF77" s="2547"/>
      <c r="AG77" s="254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1011</v>
      </c>
    </row>
    <row r="2" spans="1:1" ht="16">
      <c r="A2" s="338"/>
    </row>
    <row r="3" spans="1:1" ht="16">
      <c r="A3" s="339" t="s">
        <v>1006</v>
      </c>
    </row>
    <row r="4" spans="1:1" ht="16">
      <c r="A4" s="339" t="s">
        <v>1007</v>
      </c>
    </row>
    <row r="5" spans="1:1" ht="16">
      <c r="A5" s="339" t="s">
        <v>1008</v>
      </c>
    </row>
    <row r="6" spans="1:1" ht="16">
      <c r="A6" s="339" t="s">
        <v>1010</v>
      </c>
    </row>
    <row r="7" spans="1:1" ht="16">
      <c r="A7" s="339" t="s">
        <v>1009</v>
      </c>
    </row>
    <row r="8" spans="1:1" ht="16">
      <c r="A8" s="375" t="s">
        <v>1085</v>
      </c>
    </row>
    <row r="9" spans="1:1" ht="1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4" zoomScaleNormal="100" zoomScaleSheetLayoutView="100" workbookViewId="0">
      <selection activeCell="A68" sqref="A68"/>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4">
      <c r="A4" s="284" t="s">
        <v>26</v>
      </c>
      <c r="B4" s="284"/>
      <c r="C4" s="284"/>
      <c r="D4" s="284"/>
      <c r="E4" s="303"/>
      <c r="F4" s="284"/>
      <c r="G4" s="384"/>
    </row>
    <row r="5" spans="1:7" s="381" customFormat="1">
      <c r="A5" s="396" t="s">
        <v>27</v>
      </c>
      <c r="B5" s="286">
        <f>'Sources and Uses Budget'!$C4</f>
        <v>915995</v>
      </c>
      <c r="C5" s="286">
        <f>'Sources and Uses Budget'!$C4</f>
        <v>915995</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915995</v>
      </c>
      <c r="C9" s="290">
        <f>SUM(C5:C8)</f>
        <v>915995</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915995</v>
      </c>
      <c r="C13" s="290">
        <f>SUM(C9+C12)</f>
        <v>915995</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6">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4">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0</v>
      </c>
      <c r="C28" s="286">
        <f>'Sources and Uses Budget'!$C$27</f>
        <v>0</v>
      </c>
      <c r="D28" s="290">
        <f t="shared" si="0"/>
        <v>0</v>
      </c>
      <c r="E28" s="288"/>
      <c r="F28" s="287"/>
      <c r="G28" s="384"/>
    </row>
    <row r="29" spans="1:7" s="381" customFormat="1" ht="14">
      <c r="A29" s="284" t="s">
        <v>143</v>
      </c>
      <c r="B29" s="284"/>
      <c r="C29" s="284"/>
      <c r="D29" s="284"/>
      <c r="E29" s="303"/>
      <c r="F29" s="284"/>
      <c r="G29" s="384"/>
    </row>
    <row r="30" spans="1:7" s="381" customFormat="1">
      <c r="A30" s="145" t="s">
        <v>607</v>
      </c>
      <c r="B30" s="286">
        <f>'Sources and Uses Budget'!$C29</f>
        <v>400000</v>
      </c>
      <c r="C30" s="286">
        <f>'Sources and Uses Budget'!$C29</f>
        <v>400000</v>
      </c>
      <c r="D30" s="290">
        <f t="shared" si="0"/>
        <v>0</v>
      </c>
      <c r="E30" s="288"/>
      <c r="F30" s="287"/>
      <c r="G30" s="384"/>
    </row>
    <row r="31" spans="1:7" s="381" customFormat="1">
      <c r="A31" s="145" t="s">
        <v>608</v>
      </c>
      <c r="B31" s="286">
        <f>'Sources and Uses Budget'!$C30</f>
        <v>5300000</v>
      </c>
      <c r="C31" s="286">
        <f>'Sources and Uses Budget'!$C30</f>
        <v>5300000</v>
      </c>
      <c r="D31" s="290">
        <f t="shared" si="0"/>
        <v>0</v>
      </c>
      <c r="E31" s="288"/>
      <c r="F31" s="287"/>
      <c r="G31" s="384"/>
    </row>
    <row r="32" spans="1:7" s="381" customFormat="1">
      <c r="A32" s="145" t="s">
        <v>609</v>
      </c>
      <c r="B32" s="286">
        <f>'Sources and Uses Budget'!$C31</f>
        <v>500000</v>
      </c>
      <c r="C32" s="286">
        <f>'Sources and Uses Budget'!$C31</f>
        <v>500000</v>
      </c>
      <c r="D32" s="290">
        <f t="shared" si="0"/>
        <v>0</v>
      </c>
      <c r="E32" s="288"/>
      <c r="F32" s="287"/>
      <c r="G32" s="384"/>
    </row>
    <row r="33" spans="1:7" s="381" customFormat="1">
      <c r="A33" s="145" t="s">
        <v>138</v>
      </c>
      <c r="B33" s="286">
        <f>'Sources and Uses Budget'!$C32</f>
        <v>120000</v>
      </c>
      <c r="C33" s="286">
        <f>'Sources and Uses Budget'!$C32</f>
        <v>120000</v>
      </c>
      <c r="D33" s="290">
        <f t="shared" si="0"/>
        <v>0</v>
      </c>
      <c r="E33" s="288"/>
      <c r="F33" s="287"/>
      <c r="G33" s="384"/>
    </row>
    <row r="34" spans="1:7" s="381" customFormat="1">
      <c r="A34" s="145" t="s">
        <v>139</v>
      </c>
      <c r="B34" s="286">
        <f>'Sources and Uses Budget'!$C33</f>
        <v>60000</v>
      </c>
      <c r="C34" s="286">
        <f>'Sources and Uses Budget'!$C33</f>
        <v>60000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60000</v>
      </c>
      <c r="C36" s="286">
        <f>'Sources and Uses Budget'!$C35</f>
        <v>60000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6440000</v>
      </c>
      <c r="C39" s="290">
        <f>SUM(C30:C38)</f>
        <v>6440000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342201</v>
      </c>
      <c r="C41" s="286">
        <f>'Sources and Uses Budget'!$C40</f>
        <v>342201</v>
      </c>
      <c r="D41" s="290">
        <f t="shared" si="0"/>
        <v>0</v>
      </c>
      <c r="E41" s="288"/>
      <c r="F41" s="287"/>
      <c r="G41" s="384"/>
    </row>
    <row r="42" spans="1:7" s="381" customFormat="1" ht="14">
      <c r="A42" s="289" t="s">
        <v>147</v>
      </c>
      <c r="B42" s="286">
        <f>'Sources and Uses Budget'!$C41</f>
        <v>12700</v>
      </c>
      <c r="C42" s="286">
        <f>'Sources and Uses Budget'!$C41</f>
        <v>12700</v>
      </c>
      <c r="D42" s="290">
        <f t="shared" si="0"/>
        <v>0</v>
      </c>
      <c r="E42" s="288"/>
      <c r="F42" s="287"/>
      <c r="G42" s="384"/>
    </row>
    <row r="43" spans="1:7" s="381" customFormat="1" ht="14">
      <c r="A43" s="291" t="s">
        <v>148</v>
      </c>
      <c r="B43" s="290">
        <f>SUM(B41:B42)</f>
        <v>354901</v>
      </c>
      <c r="C43" s="290">
        <f>SUM(C41:C42)</f>
        <v>354901</v>
      </c>
      <c r="D43" s="290">
        <f t="shared" si="0"/>
        <v>0</v>
      </c>
      <c r="E43" s="288"/>
      <c r="F43" s="287"/>
      <c r="G43" s="384"/>
    </row>
    <row r="44" spans="1:7" s="381" customFormat="1" ht="14">
      <c r="A44" s="291" t="s">
        <v>149</v>
      </c>
      <c r="B44" s="286">
        <f>'Sources and Uses Budget'!$C43</f>
        <v>84498.75</v>
      </c>
      <c r="C44" s="286">
        <f>'Sources and Uses Budget'!$C43</f>
        <v>84498.75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430920</v>
      </c>
      <c r="C46" s="286">
        <f>'Sources and Uses Budget'!$C45</f>
        <v>430920</v>
      </c>
      <c r="D46" s="290">
        <f t="shared" si="0"/>
        <v>0</v>
      </c>
      <c r="E46" s="288"/>
      <c r="F46" s="287"/>
      <c r="G46" s="384"/>
    </row>
    <row r="47" spans="1:7" s="381" customFormat="1">
      <c r="A47" s="145" t="s">
        <v>152</v>
      </c>
      <c r="B47" s="286">
        <f>'Sources and Uses Budget'!$C46</f>
        <v>55141</v>
      </c>
      <c r="C47" s="286">
        <f>'Sources and Uses Budget'!$C46</f>
        <v>55141</v>
      </c>
      <c r="D47" s="290">
        <f t="shared" si="0"/>
        <v>0</v>
      </c>
      <c r="E47" s="288"/>
      <c r="F47" s="287"/>
      <c r="G47" s="384"/>
    </row>
    <row r="48" spans="1:7" s="381" customFormat="1" ht="12" customHeight="1">
      <c r="A48" s="198" t="s">
        <v>153</v>
      </c>
      <c r="B48" s="286">
        <f>'Sources and Uses Budget'!$C47</f>
        <v>60946</v>
      </c>
      <c r="C48" s="286">
        <f>'Sources and Uses Budget'!$C47</f>
        <v>60946</v>
      </c>
      <c r="D48" s="290">
        <f t="shared" si="0"/>
        <v>0</v>
      </c>
      <c r="E48" s="288"/>
      <c r="F48" s="287"/>
      <c r="G48" s="384"/>
    </row>
    <row r="49" spans="1:7" s="381" customFormat="1">
      <c r="A49" s="145" t="s">
        <v>154</v>
      </c>
      <c r="B49" s="286">
        <f>'Sources and Uses Budget'!$C48</f>
        <v>25000</v>
      </c>
      <c r="C49" s="286">
        <f>'Sources and Uses Budget'!$C48</f>
        <v>25000</v>
      </c>
      <c r="D49" s="290">
        <f t="shared" si="0"/>
        <v>0</v>
      </c>
      <c r="E49" s="288"/>
      <c r="F49" s="287"/>
      <c r="G49" s="384"/>
    </row>
    <row r="50" spans="1:7" s="381" customFormat="1">
      <c r="A50" s="145" t="s">
        <v>57</v>
      </c>
      <c r="B50" s="286">
        <f>'Sources and Uses Budget'!$C49</f>
        <v>120000</v>
      </c>
      <c r="C50" s="286">
        <f>'Sources and Uses Budget'!$C49</f>
        <v>120000</v>
      </c>
      <c r="D50" s="290">
        <f t="shared" si="0"/>
        <v>0</v>
      </c>
      <c r="E50" s="288"/>
      <c r="F50" s="287"/>
      <c r="G50" s="384"/>
    </row>
    <row r="51" spans="1:7" s="381" customFormat="1">
      <c r="A51" s="145" t="s">
        <v>157</v>
      </c>
      <c r="B51" s="286">
        <f>'Sources and Uses Budget'!$C50</f>
        <v>25000</v>
      </c>
      <c r="C51" s="286">
        <f>'Sources and Uses Budget'!$C50</f>
        <v>25000</v>
      </c>
      <c r="D51" s="290">
        <f t="shared" si="0"/>
        <v>0</v>
      </c>
      <c r="E51" s="288"/>
      <c r="F51" s="287"/>
      <c r="G51" s="384"/>
    </row>
    <row r="52" spans="1:7" s="381" customFormat="1">
      <c r="A52" s="304" t="s">
        <v>155</v>
      </c>
      <c r="B52" s="286">
        <f>'Sources and Uses Budget'!$C51</f>
        <v>15000</v>
      </c>
      <c r="C52" s="286">
        <f>'Sources and Uses Budget'!$C51</f>
        <v>15000</v>
      </c>
      <c r="D52" s="290">
        <f t="shared" si="0"/>
        <v>0</v>
      </c>
      <c r="E52" s="288"/>
      <c r="F52" s="287"/>
      <c r="G52" s="384"/>
    </row>
    <row r="53" spans="1:7" s="381" customFormat="1">
      <c r="A53" s="145" t="s">
        <v>156</v>
      </c>
      <c r="B53" s="286">
        <f>'Sources and Uses Budget'!$C52</f>
        <v>30000</v>
      </c>
      <c r="C53" s="286">
        <f>'Sources and Uses Budget'!$C52</f>
        <v>30000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ht="14">
      <c r="A55" s="291" t="s">
        <v>158</v>
      </c>
      <c r="B55" s="293">
        <f>SUM(B46:B54)</f>
        <v>762007</v>
      </c>
      <c r="C55" s="293">
        <f>SUM(C46:C54)</f>
        <v>762007</v>
      </c>
      <c r="D55" s="290">
        <f t="shared" si="0"/>
        <v>0</v>
      </c>
      <c r="E55" s="288"/>
      <c r="F55" s="287"/>
      <c r="G55" s="385"/>
    </row>
    <row r="56" spans="1:7" s="381" customFormat="1" ht="14">
      <c r="A56" s="284" t="s">
        <v>419</v>
      </c>
      <c r="B56" s="284"/>
      <c r="C56" s="284"/>
      <c r="D56" s="284"/>
      <c r="E56" s="303"/>
      <c r="F56" s="284"/>
      <c r="G56" s="384"/>
    </row>
    <row r="57" spans="1:7" s="381" customFormat="1" ht="14">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0</v>
      </c>
      <c r="C59" s="286">
        <f>'Sources and Uses Budget'!$C58</f>
        <v>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302</v>
      </c>
      <c r="B63" s="290">
        <f>SUM(B57:B62)</f>
        <v>0</v>
      </c>
      <c r="C63" s="290">
        <f>SUM(C57:C62)</f>
        <v>0</v>
      </c>
      <c r="D63" s="290">
        <f t="shared" si="0"/>
        <v>0</v>
      </c>
      <c r="E63" s="288"/>
      <c r="F63" s="287"/>
      <c r="G63" s="384"/>
    </row>
    <row r="64" spans="1:7" s="381" customFormat="1" ht="14">
      <c r="A64" s="294" t="s">
        <v>303</v>
      </c>
      <c r="B64" s="290">
        <f>SUM(B9+B12+B14+B15+B17+B26+B28+B39+B43+B44+B55+B63)</f>
        <v>8557401.75</v>
      </c>
      <c r="C64" s="290">
        <f>SUM(C9+C12+C14+C15+C17+C26+C28+C39+C43+C44+C55+C63)</f>
        <v>8557401.75</v>
      </c>
      <c r="D64" s="290">
        <f t="shared" si="0"/>
        <v>0</v>
      </c>
      <c r="E64" s="288"/>
      <c r="F64" s="287"/>
      <c r="G64" s="384"/>
    </row>
    <row r="65" spans="1:7" s="381" customFormat="1" ht="26">
      <c r="A65" s="141" t="s">
        <v>1825</v>
      </c>
      <c r="B65" s="284"/>
      <c r="C65" s="284"/>
      <c r="D65" s="284"/>
      <c r="E65" s="303"/>
      <c r="F65" s="284"/>
      <c r="G65" s="384"/>
    </row>
    <row r="66" spans="1:7" s="381" customFormat="1">
      <c r="A66" s="145" t="s">
        <v>171</v>
      </c>
      <c r="B66" s="286">
        <f>'Sources and Uses Budget'!$C65</f>
        <v>0</v>
      </c>
      <c r="C66" s="286">
        <f>'Sources and Uses Budget'!$C65</f>
        <v>0</v>
      </c>
      <c r="D66" s="290">
        <f t="shared" si="0"/>
        <v>0</v>
      </c>
      <c r="E66" s="288"/>
      <c r="F66" s="287"/>
      <c r="G66" s="384"/>
    </row>
    <row r="67" spans="1:7" s="381" customFormat="1" ht="26">
      <c r="A67" s="304" t="s">
        <v>1822</v>
      </c>
      <c r="B67" s="286">
        <f>'Sources and Uses Budget'!$C66</f>
        <v>3000</v>
      </c>
      <c r="C67" s="286">
        <f>'Sources and Uses Budget'!$C66</f>
        <v>3000</v>
      </c>
      <c r="D67" s="290"/>
      <c r="E67" s="288"/>
      <c r="F67" s="287"/>
      <c r="G67" s="384"/>
    </row>
    <row r="68" spans="1:7" s="381" customFormat="1">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Developer Legal</v>
      </c>
      <c r="B70" s="286">
        <f>'Sources and Uses Budget'!$C69</f>
        <v>100000</v>
      </c>
      <c r="C70" s="286">
        <f>'Sources and Uses Budget'!$C69</f>
        <v>100000</v>
      </c>
      <c r="D70" s="290">
        <f t="shared" si="0"/>
        <v>0</v>
      </c>
      <c r="E70" s="288"/>
      <c r="F70" s="287"/>
      <c r="G70" s="384"/>
    </row>
    <row r="71" spans="1:7" s="381" customFormat="1">
      <c r="A71" s="149" t="s">
        <v>1826</v>
      </c>
      <c r="B71" s="290">
        <f>SUM(B66:B70)</f>
        <v>103000</v>
      </c>
      <c r="C71" s="290">
        <f>SUM(C66:C70)</f>
        <v>103000</v>
      </c>
      <c r="D71" s="290">
        <f t="shared" si="0"/>
        <v>0</v>
      </c>
      <c r="E71" s="288"/>
      <c r="F71" s="287"/>
      <c r="G71" s="384"/>
    </row>
    <row r="72" spans="1:7" s="381" customFormat="1" ht="14">
      <c r="A72" s="284" t="s">
        <v>611</v>
      </c>
      <c r="B72" s="284"/>
      <c r="C72" s="284"/>
      <c r="D72" s="284"/>
      <c r="E72" s="303"/>
      <c r="F72" s="284"/>
      <c r="G72" s="384"/>
    </row>
    <row r="73" spans="1:7" s="381" customFormat="1" ht="14">
      <c r="A73" s="289" t="s">
        <v>612</v>
      </c>
      <c r="B73" s="286">
        <f>'Sources and Uses Budget'!$C72</f>
        <v>0</v>
      </c>
      <c r="C73" s="286">
        <f>'Sources and Uses Budget'!$C72</f>
        <v>0</v>
      </c>
      <c r="D73" s="290">
        <f t="shared" si="0"/>
        <v>0</v>
      </c>
      <c r="E73" s="288"/>
      <c r="F73" s="287"/>
      <c r="G73" s="384"/>
    </row>
    <row r="74" spans="1:7" s="381" customFormat="1" ht="14">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5400</v>
      </c>
      <c r="C75" s="286">
        <f>'Sources and Uses Budget'!$C74</f>
        <v>5400</v>
      </c>
      <c r="D75" s="290">
        <f t="shared" si="0"/>
        <v>0</v>
      </c>
      <c r="E75" s="288"/>
      <c r="F75" s="287"/>
      <c r="G75" s="384"/>
    </row>
    <row r="76" spans="1:7" s="381" customFormat="1" ht="14">
      <c r="A76" s="289" t="s">
        <v>614</v>
      </c>
      <c r="B76" s="286">
        <f>'Sources and Uses Budget'!$C75</f>
        <v>160693</v>
      </c>
      <c r="C76" s="286">
        <f>'Sources and Uses Budget'!$C75</f>
        <v>160693</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615</v>
      </c>
      <c r="B78" s="290">
        <f>SUM(B73:B77)</f>
        <v>166093</v>
      </c>
      <c r="C78" s="290">
        <f>SUM(C73:C77)</f>
        <v>166093</v>
      </c>
      <c r="D78" s="290">
        <f t="shared" ref="D78:D106" si="1">C78-B78</f>
        <v>0</v>
      </c>
      <c r="E78" s="288"/>
      <c r="F78" s="287"/>
      <c r="G78" s="384"/>
    </row>
    <row r="79" spans="1:7" s="381" customFormat="1" ht="14">
      <c r="A79" s="284" t="s">
        <v>1353</v>
      </c>
      <c r="B79" s="284"/>
      <c r="C79" s="284"/>
      <c r="D79" s="284"/>
      <c r="E79" s="303"/>
      <c r="F79" s="284"/>
      <c r="G79" s="384"/>
    </row>
    <row r="80" spans="1:7" s="381" customFormat="1" ht="14">
      <c r="A80" s="545" t="s">
        <v>1355</v>
      </c>
      <c r="B80" s="286">
        <f>'Sources and Uses Budget'!$C79</f>
        <v>342000</v>
      </c>
      <c r="C80" s="286">
        <f>'Sources and Uses Budget'!$C79</f>
        <v>342000</v>
      </c>
      <c r="D80" s="290">
        <f t="shared" si="1"/>
        <v>0</v>
      </c>
      <c r="E80" s="288"/>
      <c r="F80" s="287"/>
      <c r="G80" s="384"/>
    </row>
    <row r="81" spans="1:7" s="381" customFormat="1" ht="14">
      <c r="A81" s="545" t="s">
        <v>58</v>
      </c>
      <c r="B81" s="286">
        <f>'Sources and Uses Budget'!$C80</f>
        <v>107174.72611084809</v>
      </c>
      <c r="C81" s="286">
        <f>'Sources and Uses Budget'!$C80</f>
        <v>107174.72611084809</v>
      </c>
      <c r="D81" s="290">
        <f>C81-B81</f>
        <v>0</v>
      </c>
      <c r="E81" s="288"/>
      <c r="F81" s="287"/>
      <c r="G81" s="384"/>
    </row>
    <row r="82" spans="1:7" s="381" customFormat="1" ht="14">
      <c r="A82" s="291" t="s">
        <v>1352</v>
      </c>
      <c r="B82" s="290">
        <f>SUM(B80:B81)</f>
        <v>449174.72611084807</v>
      </c>
      <c r="C82" s="290">
        <f>SUM(C80:C81)</f>
        <v>449174.72611084807</v>
      </c>
      <c r="D82" s="290">
        <f t="shared" si="1"/>
        <v>0</v>
      </c>
      <c r="E82" s="288"/>
      <c r="F82" s="287"/>
      <c r="G82" s="384"/>
    </row>
    <row r="83" spans="1:7" s="381" customFormat="1" ht="14">
      <c r="A83" s="284" t="s">
        <v>789</v>
      </c>
      <c r="B83" s="284"/>
      <c r="C83" s="284"/>
      <c r="D83" s="284"/>
      <c r="E83" s="303"/>
      <c r="F83" s="284"/>
      <c r="G83" s="384"/>
    </row>
    <row r="84" spans="1:7" s="381" customFormat="1" ht="13.75" customHeight="1">
      <c r="A84" s="289" t="s">
        <v>790</v>
      </c>
      <c r="B84" s="286">
        <f>'Sources and Uses Budget'!$C83</f>
        <v>5000</v>
      </c>
      <c r="C84" s="286">
        <f>'Sources and Uses Budget'!$C83</f>
        <v>5000</v>
      </c>
      <c r="D84" s="290">
        <f t="shared" si="1"/>
        <v>0</v>
      </c>
      <c r="E84" s="288"/>
      <c r="F84" s="287"/>
      <c r="G84" s="384"/>
    </row>
    <row r="85" spans="1:7" s="381" customFormat="1" ht="14">
      <c r="A85" s="289" t="s">
        <v>791</v>
      </c>
      <c r="B85" s="286">
        <f>'Sources and Uses Budget'!$C84</f>
        <v>5000</v>
      </c>
      <c r="C85" s="286">
        <f>'Sources and Uses Budget'!$C84</f>
        <v>5000</v>
      </c>
      <c r="D85" s="290">
        <f t="shared" si="1"/>
        <v>0</v>
      </c>
      <c r="E85" s="288"/>
      <c r="F85" s="287"/>
      <c r="G85" s="384"/>
    </row>
    <row r="86" spans="1:7" s="381" customFormat="1" ht="14">
      <c r="A86" s="289" t="s">
        <v>792</v>
      </c>
      <c r="B86" s="286">
        <f>'Sources and Uses Budget'!$C85</f>
        <v>409644.42</v>
      </c>
      <c r="C86" s="286">
        <f>'Sources and Uses Budget'!$C85</f>
        <v>409644.42</v>
      </c>
      <c r="D86" s="290">
        <f t="shared" si="1"/>
        <v>0</v>
      </c>
      <c r="E86" s="288"/>
      <c r="F86" s="287"/>
      <c r="G86" s="384"/>
    </row>
    <row r="87" spans="1:7" s="381" customFormat="1" ht="14">
      <c r="A87" s="289" t="s">
        <v>793</v>
      </c>
      <c r="B87" s="286">
        <f>'Sources and Uses Budget'!$C86</f>
        <v>31588.93</v>
      </c>
      <c r="C87" s="286">
        <f>'Sources and Uses Budget'!$C86</f>
        <v>31588.93</v>
      </c>
      <c r="D87" s="290">
        <f t="shared" si="1"/>
        <v>0</v>
      </c>
      <c r="E87" s="288"/>
      <c r="F87" s="287"/>
      <c r="G87" s="384"/>
    </row>
    <row r="88" spans="1:7" s="381" customFormat="1" ht="14">
      <c r="A88" s="289" t="s">
        <v>794</v>
      </c>
      <c r="B88" s="286">
        <f>'Sources and Uses Budget'!$C87</f>
        <v>0</v>
      </c>
      <c r="C88" s="286">
        <f>'Sources and Uses Budget'!$C87</f>
        <v>0</v>
      </c>
      <c r="D88" s="290">
        <f t="shared" si="1"/>
        <v>0</v>
      </c>
      <c r="E88" s="288"/>
      <c r="F88" s="287"/>
      <c r="G88" s="384"/>
    </row>
    <row r="89" spans="1:7" s="381" customFormat="1" ht="14">
      <c r="A89" s="289" t="s">
        <v>795</v>
      </c>
      <c r="B89" s="286">
        <f>'Sources and Uses Budget'!$C88</f>
        <v>15000</v>
      </c>
      <c r="C89" s="286">
        <f>'Sources and Uses Budget'!$C88</f>
        <v>15000</v>
      </c>
      <c r="D89" s="290">
        <f t="shared" si="1"/>
        <v>0</v>
      </c>
      <c r="E89" s="288"/>
      <c r="F89" s="287"/>
      <c r="G89" s="384"/>
    </row>
    <row r="90" spans="1:7" s="381" customFormat="1" ht="14">
      <c r="A90" s="289" t="s">
        <v>796</v>
      </c>
      <c r="B90" s="286">
        <f>'Sources and Uses Budget'!$C89</f>
        <v>0</v>
      </c>
      <c r="C90" s="286">
        <f>'Sources and Uses Budget'!$C89</f>
        <v>0</v>
      </c>
      <c r="D90" s="290">
        <f t="shared" si="1"/>
        <v>0</v>
      </c>
      <c r="E90" s="288"/>
      <c r="F90" s="287"/>
      <c r="G90" s="384"/>
    </row>
    <row r="91" spans="1:7" s="381" customFormat="1" ht="14">
      <c r="A91" s="289" t="s">
        <v>797</v>
      </c>
      <c r="B91" s="286">
        <f>'Sources and Uses Budget'!$C90</f>
        <v>15000</v>
      </c>
      <c r="C91" s="286">
        <f>'Sources and Uses Budget'!$C90</f>
        <v>15000</v>
      </c>
      <c r="D91" s="290">
        <f t="shared" si="1"/>
        <v>0</v>
      </c>
      <c r="E91" s="288"/>
      <c r="F91" s="287"/>
      <c r="G91" s="384"/>
    </row>
    <row r="92" spans="1:7" s="381" customFormat="1" ht="14">
      <c r="A92" s="289" t="s">
        <v>373</v>
      </c>
      <c r="B92" s="286">
        <f>'Sources and Uses Budget'!$C91</f>
        <v>20000</v>
      </c>
      <c r="C92" s="286">
        <f>'Sources and Uses Budget'!$C91</f>
        <v>20000</v>
      </c>
      <c r="D92" s="290">
        <f t="shared" si="1"/>
        <v>0</v>
      </c>
      <c r="E92" s="288"/>
      <c r="F92" s="287"/>
      <c r="G92" s="384"/>
    </row>
    <row r="93" spans="1:7" s="381" customFormat="1" ht="14">
      <c r="A93" s="545" t="s">
        <v>1354</v>
      </c>
      <c r="B93" s="286">
        <f>'Sources and Uses Budget'!$C92</f>
        <v>40166</v>
      </c>
      <c r="C93" s="286">
        <f>'Sources and Uses Budget'!$C92</f>
        <v>40166</v>
      </c>
      <c r="D93" s="290">
        <f t="shared" si="1"/>
        <v>0</v>
      </c>
      <c r="E93" s="288"/>
      <c r="F93" s="287"/>
      <c r="G93" s="384"/>
    </row>
    <row r="94" spans="1:7" s="381" customFormat="1" ht="14">
      <c r="A94" s="292" t="s">
        <v>34</v>
      </c>
      <c r="B94" s="286">
        <f>'Sources and Uses Budget'!$C93</f>
        <v>27675</v>
      </c>
      <c r="C94" s="286">
        <f>'Sources and Uses Budget'!$C93</f>
        <v>27675</v>
      </c>
      <c r="D94" s="290">
        <f t="shared" si="1"/>
        <v>0</v>
      </c>
      <c r="E94" s="288"/>
      <c r="F94" s="287"/>
      <c r="G94" s="384"/>
    </row>
    <row r="95" spans="1:7" s="381" customFormat="1" ht="14">
      <c r="A95" s="292" t="s">
        <v>34</v>
      </c>
      <c r="B95" s="286">
        <f>'Sources and Uses Budget'!$C94</f>
        <v>15000</v>
      </c>
      <c r="C95" s="286">
        <f>'Sources and Uses Budget'!$C94</f>
        <v>15000</v>
      </c>
      <c r="D95" s="290">
        <f t="shared" si="1"/>
        <v>0</v>
      </c>
      <c r="E95" s="288"/>
      <c r="F95" s="287"/>
      <c r="G95" s="384"/>
    </row>
    <row r="96" spans="1:7" s="381" customFormat="1" ht="14">
      <c r="A96" s="292" t="s">
        <v>34</v>
      </c>
      <c r="B96" s="286">
        <f>'Sources and Uses Budget'!$C95</f>
        <v>88920</v>
      </c>
      <c r="C96" s="286">
        <f>'Sources and Uses Budget'!$C95</f>
        <v>88920</v>
      </c>
      <c r="D96" s="290">
        <f t="shared" si="1"/>
        <v>0</v>
      </c>
      <c r="E96" s="288"/>
      <c r="F96" s="287"/>
      <c r="G96" s="384"/>
    </row>
    <row r="97" spans="1:7" s="381" customFormat="1" ht="14">
      <c r="A97" s="291" t="s">
        <v>798</v>
      </c>
      <c r="B97" s="290">
        <f>SUM(B84:B96)</f>
        <v>672994.35</v>
      </c>
      <c r="C97" s="290">
        <f>SUM(C84:C96)</f>
        <v>672994.35</v>
      </c>
      <c r="D97" s="290">
        <f t="shared" si="1"/>
        <v>0</v>
      </c>
      <c r="E97" s="288"/>
      <c r="F97" s="287"/>
      <c r="G97" s="384"/>
    </row>
    <row r="98" spans="1:7" s="381" customFormat="1" ht="14">
      <c r="A98" s="291" t="s">
        <v>799</v>
      </c>
      <c r="B98" s="290">
        <f>SUM(B64+B71+B78+B82+B97)</f>
        <v>9948663.8261108473</v>
      </c>
      <c r="C98" s="290">
        <f>SUM(C64+C71+C78+C82+C97)</f>
        <v>9948663.8261108473</v>
      </c>
      <c r="D98" s="290">
        <f t="shared" si="1"/>
        <v>0</v>
      </c>
      <c r="E98" s="288"/>
      <c r="F98" s="287"/>
      <c r="G98" s="384"/>
    </row>
    <row r="99" spans="1:7" s="381" customFormat="1" ht="14">
      <c r="A99" s="284" t="s">
        <v>800</v>
      </c>
      <c r="B99" s="284"/>
      <c r="C99" s="284"/>
      <c r="D99" s="284"/>
      <c r="E99" s="303"/>
      <c r="F99" s="284"/>
      <c r="G99" s="384"/>
    </row>
    <row r="100" spans="1:7" s="381" customFormat="1">
      <c r="A100" s="145" t="s">
        <v>801</v>
      </c>
      <c r="B100" s="286">
        <f>'Sources and Uses Budget'!$C99</f>
        <v>1664678.3820834011</v>
      </c>
      <c r="C100" s="286">
        <f>'Sources and Uses Budget'!$C99</f>
        <v>1664678.3820834011</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803</v>
      </c>
      <c r="B105" s="290">
        <f>SUM(B100:B104)</f>
        <v>1664678.3820834011</v>
      </c>
      <c r="C105" s="290">
        <f>SUM(C100:C104)</f>
        <v>1664678.3820834011</v>
      </c>
      <c r="D105" s="290">
        <f t="shared" si="1"/>
        <v>0</v>
      </c>
      <c r="E105" s="288"/>
      <c r="F105" s="287"/>
      <c r="G105" s="384"/>
    </row>
    <row r="106" spans="1:7" s="381" customFormat="1" ht="14">
      <c r="A106" s="291" t="s">
        <v>804</v>
      </c>
      <c r="B106" s="293">
        <f>SUM(B98+B105)</f>
        <v>11613342.208194248</v>
      </c>
      <c r="C106" s="293">
        <f>SUM(C98+C105)</f>
        <v>11613342.208194248</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308</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7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2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c r="A17" s="176"/>
      <c r="B17" s="469" t="s">
        <v>308</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308</v>
      </c>
      <c r="D21" s="1284" t="s">
        <v>1189</v>
      </c>
      <c r="E21" s="1284"/>
      <c r="F21" s="1284"/>
    </row>
    <row r="22" spans="1:6">
      <c r="A22" s="176"/>
      <c r="B22" s="176"/>
      <c r="D22" s="35"/>
    </row>
    <row r="23" spans="1:6">
      <c r="A23" s="176"/>
      <c r="B23" s="469" t="s">
        <v>308</v>
      </c>
      <c r="D23" s="1260" t="s">
        <v>1190</v>
      </c>
      <c r="E23" s="1260"/>
      <c r="F23" s="1260"/>
    </row>
    <row r="24" spans="1:6">
      <c r="A24" s="176"/>
      <c r="B24" s="176"/>
      <c r="D24" s="1260"/>
      <c r="E24" s="1260"/>
      <c r="F24" s="1260"/>
    </row>
    <row r="25" spans="1:6"/>
    <row r="26" spans="1:6">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c r="A34" s="176"/>
      <c r="B34" s="176"/>
      <c r="D34" s="220"/>
    </row>
    <row r="35" spans="1:6" ht="14.5" customHeight="1">
      <c r="A35" s="176"/>
      <c r="B35" s="469" t="s">
        <v>308</v>
      </c>
      <c r="D35" s="1260" t="s">
        <v>1193</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308</v>
      </c>
      <c r="D39" s="1260" t="s">
        <v>1194</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308</v>
      </c>
      <c r="D45" s="1260" t="s">
        <v>1195</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308</v>
      </c>
      <c r="D50" s="1260" t="s">
        <v>1196</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308</v>
      </c>
      <c r="C54" s="386"/>
      <c r="D54" s="1260" t="s">
        <v>1197</v>
      </c>
      <c r="E54" s="1260"/>
      <c r="F54" s="1260"/>
      <c r="G54" s="3"/>
    </row>
    <row r="55" spans="1:7">
      <c r="A55" s="176"/>
      <c r="B55" s="176"/>
      <c r="C55" s="386"/>
      <c r="D55" s="1260"/>
      <c r="E55" s="1260"/>
      <c r="F55" s="1260"/>
      <c r="G55" s="3"/>
    </row>
    <row r="56" spans="1:7">
      <c r="D56" s="220"/>
    </row>
    <row r="57" spans="1:7">
      <c r="A57" s="176"/>
      <c r="B57" s="469" t="s">
        <v>308</v>
      </c>
      <c r="D57" s="1260" t="s">
        <v>1198</v>
      </c>
      <c r="E57" s="1260"/>
      <c r="F57" s="1260"/>
    </row>
    <row r="58" spans="1:7">
      <c r="D58" s="1260"/>
      <c r="E58" s="1260"/>
      <c r="F58" s="1260"/>
    </row>
    <row r="59" spans="1:7">
      <c r="D59" s="1260"/>
      <c r="E59" s="1260"/>
      <c r="F59" s="1260"/>
    </row>
    <row r="60" spans="1:7">
      <c r="D60" s="3"/>
    </row>
    <row r="61" spans="1:7">
      <c r="A61" s="176"/>
      <c r="B61" s="469" t="s">
        <v>308</v>
      </c>
      <c r="D61" s="1260" t="s">
        <v>1199</v>
      </c>
      <c r="E61" s="1260"/>
      <c r="F61" s="1260"/>
    </row>
    <row r="62" spans="1:7">
      <c r="D62" s="1260"/>
      <c r="E62" s="1260"/>
      <c r="F62" s="1260"/>
    </row>
    <row r="63" spans="1:7"/>
    <row r="64" spans="1:7">
      <c r="A64" s="176"/>
      <c r="B64" s="469" t="s">
        <v>308</v>
      </c>
      <c r="D64" s="1260" t="s">
        <v>1200</v>
      </c>
      <c r="E64" s="1260"/>
      <c r="F64" s="1260"/>
    </row>
    <row r="65" spans="1:7">
      <c r="D65" s="1260"/>
      <c r="E65" s="1260"/>
      <c r="F65" s="1260"/>
    </row>
    <row r="66" spans="1:7">
      <c r="D66" s="1260"/>
      <c r="E66" s="1260"/>
      <c r="F66" s="1260"/>
    </row>
    <row r="67" spans="1:7">
      <c r="D67"/>
    </row>
    <row r="68" spans="1:7">
      <c r="A68" s="176"/>
      <c r="B68" s="469" t="s">
        <v>308</v>
      </c>
      <c r="D68" s="1260" t="s">
        <v>1201</v>
      </c>
      <c r="E68" s="1260"/>
      <c r="F68" s="1260"/>
    </row>
    <row r="69" spans="1:7">
      <c r="D69" s="1260"/>
      <c r="E69" s="1260"/>
      <c r="F69" s="1260"/>
    </row>
    <row r="70" spans="1:7">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c r="A76" s="176"/>
      <c r="B76" s="469" t="s">
        <v>308</v>
      </c>
      <c r="D76" s="1260" t="s">
        <v>1207</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308</v>
      </c>
      <c r="D83" s="1263" t="s">
        <v>1306</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308</v>
      </c>
      <c r="D97" s="1260" t="s">
        <v>1208</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308</v>
      </c>
      <c r="C106" s="179"/>
      <c r="D106" s="1301" t="s">
        <v>1209</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308</v>
      </c>
      <c r="C114"/>
      <c r="D114" s="1302" t="s">
        <v>1210</v>
      </c>
      <c r="E114" s="1302"/>
      <c r="F114" s="1302"/>
      <c r="G114"/>
    </row>
    <row r="115" spans="1:7">
      <c r="A115" s="176"/>
      <c r="B115" s="176"/>
      <c r="C115"/>
      <c r="D115" s="1302"/>
      <c r="E115" s="1302"/>
      <c r="F115" s="1302"/>
      <c r="G115"/>
    </row>
    <row r="116" spans="1:7"/>
    <row r="117" spans="1:7">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308</v>
      </c>
      <c r="D123" s="1260" t="s">
        <v>1212</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308</v>
      </c>
      <c r="D136" s="1260" t="s">
        <v>1320</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308</v>
      </c>
      <c r="C156" s="218"/>
      <c r="D156" s="1263" t="s">
        <v>1213</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308</v>
      </c>
      <c r="C159" s="218"/>
      <c r="D159" s="1263" t="s">
        <v>1214</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308</v>
      </c>
      <c r="D164" s="1297" t="s">
        <v>1215</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2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c r="A178" s="176"/>
      <c r="B178" s="469" t="s">
        <v>308</v>
      </c>
      <c r="D178" s="1275" t="s">
        <v>1217</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c r="A186" s="176"/>
      <c r="B186" s="469" t="s">
        <v>308</v>
      </c>
      <c r="C186" s="386"/>
      <c r="D186" s="1260" t="s">
        <v>1216</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1240</v>
      </c>
      <c r="E194" s="1286"/>
      <c r="F194" s="1286"/>
    </row>
    <row r="195" spans="1:6" ht="12" customHeight="1">
      <c r="A195" s="13"/>
      <c r="B195" s="13"/>
      <c r="C195" s="13"/>
    </row>
    <row r="196" spans="1:6" ht="13.25" customHeight="1">
      <c r="A196" s="13"/>
      <c r="C196" s="13"/>
      <c r="D196" s="1279" t="s">
        <v>555</v>
      </c>
      <c r="E196" s="1279"/>
      <c r="F196" s="1279"/>
    </row>
    <row r="197" spans="1:6">
      <c r="A197" s="176"/>
      <c r="B197" s="469" t="s">
        <v>308</v>
      </c>
      <c r="D197" s="1260" t="s">
        <v>1234</v>
      </c>
      <c r="E197" s="1260"/>
      <c r="F197" s="1260"/>
    </row>
    <row r="198" spans="1:6">
      <c r="A198" s="176"/>
      <c r="B198" s="176"/>
      <c r="D198" s="1260"/>
      <c r="E198" s="1260"/>
      <c r="F198" s="1260"/>
    </row>
    <row r="199" spans="1:6"/>
    <row r="200" spans="1:6">
      <c r="A200" s="176"/>
      <c r="B200" s="469" t="s">
        <v>308</v>
      </c>
      <c r="D200" s="1260" t="s">
        <v>1235</v>
      </c>
      <c r="E200" s="1260"/>
      <c r="F200" s="1260"/>
    </row>
    <row r="201" spans="1:6">
      <c r="A201" s="176"/>
      <c r="B201" s="176"/>
      <c r="D201" s="1260"/>
      <c r="E201" s="1260"/>
      <c r="F201" s="1260"/>
    </row>
    <row r="202" spans="1:6">
      <c r="A202" s="176"/>
      <c r="B202" s="176"/>
      <c r="D202" s="1260"/>
      <c r="E202" s="1260"/>
      <c r="F202" s="1260"/>
    </row>
    <row r="203" spans="1:6" ht="5" customHeight="1">
      <c r="A203" s="176"/>
      <c r="B203" s="176"/>
      <c r="D203" s="35"/>
      <c r="E203" s="35"/>
      <c r="F203" s="35"/>
    </row>
    <row r="204" spans="1:6">
      <c r="A204" s="176"/>
      <c r="B204" s="176"/>
      <c r="D204" s="1260" t="s">
        <v>1236</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308</v>
      </c>
      <c r="D210" s="1260" t="s">
        <v>1237</v>
      </c>
      <c r="E210" s="1260"/>
      <c r="F210" s="1260"/>
    </row>
    <row r="211" spans="1:7">
      <c r="A211" s="176"/>
      <c r="B211" s="176"/>
      <c r="D211" s="1260"/>
      <c r="E211" s="1260"/>
      <c r="F211" s="1260"/>
    </row>
    <row r="212" spans="1:7">
      <c r="A212" s="176"/>
      <c r="B212" s="176"/>
      <c r="D212" s="1278" t="s">
        <v>927</v>
      </c>
      <c r="E212" s="1278"/>
      <c r="F212" s="1278"/>
    </row>
    <row r="213" spans="1:7">
      <c r="A213" s="176"/>
      <c r="B213" s="176"/>
      <c r="D213" s="35"/>
      <c r="E213" s="35"/>
      <c r="F213" s="35"/>
    </row>
    <row r="214" spans="1:7" ht="14.5" customHeight="1">
      <c r="A214" s="176"/>
      <c r="B214" s="469" t="s">
        <v>308</v>
      </c>
      <c r="D214" s="1260" t="s">
        <v>1239</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308</v>
      </c>
      <c r="D220" s="1260" t="s">
        <v>1238</v>
      </c>
      <c r="E220" s="1260"/>
      <c r="F220" s="1260"/>
    </row>
    <row r="221" spans="1:7">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c r="A228" s="176"/>
      <c r="B228" s="469" t="s">
        <v>308</v>
      </c>
      <c r="D228" s="1309" t="s">
        <v>1242</v>
      </c>
      <c r="E228" s="1309"/>
      <c r="F228" s="1309"/>
    </row>
    <row r="229" spans="1:6">
      <c r="A229" s="176"/>
      <c r="B229" s="176"/>
      <c r="D229" s="1309"/>
      <c r="E229" s="1309"/>
      <c r="F229" s="1309"/>
    </row>
    <row r="230" spans="1:6">
      <c r="D230" s="35"/>
      <c r="E230" s="35"/>
      <c r="F230" s="35"/>
    </row>
    <row r="231" spans="1:6" ht="14.5" customHeight="1">
      <c r="A231" s="176"/>
      <c r="B231" s="469" t="s">
        <v>308</v>
      </c>
      <c r="D231" s="1260" t="s">
        <v>1243</v>
      </c>
      <c r="E231" s="1260"/>
      <c r="F231" s="1260"/>
    </row>
    <row r="232" spans="1:6">
      <c r="D232" s="1260"/>
      <c r="E232" s="1260"/>
      <c r="F232" s="1260"/>
    </row>
    <row r="233" spans="1:6">
      <c r="D233" s="1286" t="s">
        <v>918</v>
      </c>
      <c r="E233" s="1286"/>
      <c r="F233" s="1286"/>
    </row>
    <row r="234" spans="1:6">
      <c r="D234" s="35"/>
      <c r="E234" s="35"/>
      <c r="F234" s="35"/>
    </row>
    <row r="235" spans="1:6" ht="14.5"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c r="A253" s="176"/>
      <c r="B253" s="469" t="s">
        <v>308</v>
      </c>
      <c r="D253" s="1260" t="s">
        <v>1248</v>
      </c>
      <c r="E253" s="1260"/>
      <c r="F253" s="1260"/>
    </row>
    <row r="254" spans="1:7">
      <c r="A254" s="176"/>
      <c r="B254" s="176"/>
      <c r="D254" s="1260"/>
      <c r="E254" s="1260"/>
      <c r="F254" s="1260"/>
    </row>
    <row r="255" spans="1:7">
      <c r="D255" s="35"/>
      <c r="E255" s="35"/>
      <c r="F255" s="35"/>
    </row>
    <row r="256" spans="1:7">
      <c r="A256" s="176"/>
      <c r="B256" s="469" t="s">
        <v>308</v>
      </c>
      <c r="D256" s="1260" t="s">
        <v>1249</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308</v>
      </c>
      <c r="D260" s="1260" t="s">
        <v>1250</v>
      </c>
      <c r="E260" s="1260"/>
      <c r="F260" s="1260"/>
    </row>
    <row r="261" spans="1:7">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308</v>
      </c>
      <c r="D268" s="1280" t="s">
        <v>1252</v>
      </c>
      <c r="E268" s="1280"/>
      <c r="F268" s="1280"/>
    </row>
    <row r="269" spans="1:7">
      <c r="A269" s="176"/>
      <c r="B269" s="176"/>
      <c r="D269" s="342"/>
      <c r="E269" s="343"/>
      <c r="F269" s="343"/>
    </row>
    <row r="270" spans="1:7" ht="13.25" customHeight="1">
      <c r="B270" s="469" t="s">
        <v>308</v>
      </c>
      <c r="D270" s="1310" t="s">
        <v>1253</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308</v>
      </c>
      <c r="D276" s="1310" t="s">
        <v>1254</v>
      </c>
      <c r="E276" s="1310"/>
      <c r="F276" s="1310"/>
    </row>
    <row r="277" spans="1:6">
      <c r="D277" s="1310"/>
      <c r="E277" s="1310"/>
      <c r="F277" s="1310"/>
    </row>
    <row r="278" spans="1:6">
      <c r="A278" s="176"/>
      <c r="B278" s="176"/>
      <c r="D278" s="342"/>
      <c r="E278" s="343"/>
      <c r="F278" s="343"/>
    </row>
    <row r="279" spans="1:6">
      <c r="B279" s="469" t="s">
        <v>308</v>
      </c>
      <c r="D279" s="1280" t="s">
        <v>1255</v>
      </c>
      <c r="E279" s="1280"/>
      <c r="F279" s="1280"/>
    </row>
    <row r="280" spans="1:6">
      <c r="E280" s="35"/>
      <c r="F280" s="35"/>
    </row>
    <row r="281" spans="1:6">
      <c r="A281" s="176"/>
      <c r="B281" s="469" t="s">
        <v>308</v>
      </c>
      <c r="D281" s="1260" t="s">
        <v>1256</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1019</v>
      </c>
      <c r="E314" s="1306"/>
      <c r="F314" s="1306"/>
      <c r="G314"/>
    </row>
    <row r="315" spans="1:7" ht="14" thickTop="1">
      <c r="D315" s="1307" t="s">
        <v>1259</v>
      </c>
      <c r="E315" s="1307"/>
      <c r="F315" s="1307"/>
      <c r="G315"/>
    </row>
    <row r="316" spans="1:7">
      <c r="A316" s="218"/>
      <c r="B316" s="218"/>
      <c r="C316" s="218"/>
      <c r="D316" s="220"/>
      <c r="E316" s="220"/>
      <c r="F316" s="35"/>
      <c r="G316"/>
    </row>
    <row r="317" spans="1:7">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308</v>
      </c>
      <c r="C367" s="218"/>
      <c r="D367" s="1263" t="s">
        <v>1266</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308</v>
      </c>
      <c r="C373" s="179"/>
      <c r="D373" s="1260" t="s">
        <v>1267</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308</v>
      </c>
      <c r="C416" s="176"/>
      <c r="D416" s="1260" t="s">
        <v>1271</v>
      </c>
      <c r="E416" s="1260"/>
      <c r="F416" s="1260"/>
      <c r="G416"/>
    </row>
    <row r="417" spans="1:7">
      <c r="D417" s="1260"/>
      <c r="E417" s="1260"/>
      <c r="F417" s="1260"/>
      <c r="G417"/>
    </row>
    <row r="418" spans="1:7">
      <c r="D418" s="35"/>
      <c r="E418" s="35"/>
      <c r="F418" s="35"/>
      <c r="G418"/>
    </row>
    <row r="419" spans="1:7">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c r="A445" s="176"/>
      <c r="B445" s="176"/>
      <c r="D445" s="1308" t="s">
        <v>1275</v>
      </c>
      <c r="E445" s="1308"/>
      <c r="F445" s="1308"/>
    </row>
    <row r="446" spans="1:7">
      <c r="A446" s="176"/>
      <c r="B446" s="176"/>
      <c r="D446" s="482"/>
      <c r="E446" s="3"/>
      <c r="F446" s="3"/>
    </row>
    <row r="447" spans="1:7">
      <c r="A447" s="176"/>
      <c r="B447" s="469" t="s">
        <v>308</v>
      </c>
      <c r="D447" s="1263" t="s">
        <v>1276</v>
      </c>
      <c r="E447" s="1263"/>
      <c r="F447" s="1263"/>
    </row>
    <row r="448" spans="1:7">
      <c r="A448" s="176"/>
      <c r="B448" s="176"/>
      <c r="D448" s="1263"/>
      <c r="E448" s="1263"/>
      <c r="F448" s="1263"/>
    </row>
    <row r="449" spans="1:7">
      <c r="A449" s="176"/>
      <c r="B449" s="176"/>
      <c r="D449" s="118"/>
      <c r="E449" s="3"/>
      <c r="F449" s="3"/>
    </row>
    <row r="450" spans="1:7">
      <c r="B450" s="469" t="s">
        <v>308</v>
      </c>
      <c r="D450" s="1297" t="s">
        <v>1277</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308</v>
      </c>
      <c r="D455" s="1260" t="s">
        <v>1278</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308</v>
      </c>
      <c r="D459" s="1280" t="s">
        <v>1279</v>
      </c>
      <c r="E459" s="1280"/>
      <c r="F459" s="1280"/>
      <c r="G459"/>
    </row>
    <row r="460" spans="1:7">
      <c r="A460" s="176"/>
      <c r="B460" s="176"/>
      <c r="D460" s="118"/>
      <c r="E460" s="3"/>
      <c r="F460" s="3"/>
      <c r="G460"/>
    </row>
    <row r="461" spans="1:7">
      <c r="A461" s="176"/>
      <c r="B461" s="469" t="s">
        <v>308</v>
      </c>
      <c r="D461" s="1260" t="s">
        <v>1280</v>
      </c>
      <c r="E461" s="1260"/>
      <c r="F461" s="1260"/>
      <c r="G461"/>
    </row>
    <row r="462" spans="1:7">
      <c r="A462" s="176"/>
      <c r="D462" s="1260"/>
      <c r="E462" s="1260"/>
      <c r="F462" s="1260"/>
      <c r="G462"/>
    </row>
    <row r="463" spans="1:7">
      <c r="A463" s="13"/>
      <c r="B463" s="13"/>
      <c r="D463" s="482"/>
      <c r="E463" s="3"/>
      <c r="F463" s="3"/>
      <c r="G463"/>
    </row>
    <row r="464" spans="1:7">
      <c r="A464" s="13"/>
      <c r="B464" s="469" t="s">
        <v>308</v>
      </c>
      <c r="D464" s="1280" t="s">
        <v>1281</v>
      </c>
      <c r="E464" s="1280"/>
      <c r="F464" s="1280"/>
      <c r="G464"/>
    </row>
    <row r="465" spans="1:7">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2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308</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25" customHeight="1">
      <c r="A519" s="176"/>
      <c r="B519" s="469" t="s">
        <v>308</v>
      </c>
      <c r="C519" s="179"/>
      <c r="D519" s="1280" t="s">
        <v>913</v>
      </c>
      <c r="E519" s="1280"/>
      <c r="F519" s="1280"/>
      <c r="G519"/>
    </row>
    <row r="520" spans="1:7" ht="13.25" customHeight="1">
      <c r="A520" s="179"/>
      <c r="B520" s="179"/>
      <c r="C520" s="179"/>
      <c r="D520" s="118"/>
      <c r="E520"/>
      <c r="F520"/>
      <c r="G520"/>
    </row>
    <row r="521" spans="1:7">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308</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c r="A546" s="176"/>
      <c r="B546" s="176"/>
      <c r="C546" s="179"/>
      <c r="E546" s="35"/>
      <c r="F546" s="35"/>
    </row>
    <row r="547" spans="1:7">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308</v>
      </c>
      <c r="C552" s="179"/>
      <c r="D552" s="1260" t="s">
        <v>1186</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1135</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1138</v>
      </c>
      <c r="E573" s="1297"/>
      <c r="F573" s="1297"/>
    </row>
    <row r="574" spans="1:6">
      <c r="A574" s="13"/>
      <c r="B574" s="13"/>
      <c r="D574" s="1297"/>
      <c r="E574" s="1297"/>
      <c r="F574" s="1297"/>
    </row>
    <row r="575" spans="1:6">
      <c r="A575" s="13"/>
      <c r="B575" s="13"/>
      <c r="D575" s="255"/>
    </row>
    <row r="576" spans="1:6">
      <c r="A576" s="13"/>
      <c r="B576" s="469" t="s">
        <v>308</v>
      </c>
      <c r="D576" s="1297" t="s">
        <v>1139</v>
      </c>
      <c r="E576" s="1297"/>
      <c r="F576" s="1297"/>
    </row>
    <row r="577" spans="1:7">
      <c r="A577" s="13"/>
      <c r="B577" s="13"/>
      <c r="D577" s="1297"/>
      <c r="E577" s="1297"/>
      <c r="F577" s="1297"/>
    </row>
    <row r="578" spans="1:7">
      <c r="A578" s="13"/>
      <c r="B578" s="13"/>
      <c r="D578" s="255"/>
    </row>
    <row r="579" spans="1:7">
      <c r="A579" s="176"/>
      <c r="B579" s="469" t="s">
        <v>308</v>
      </c>
      <c r="D579" s="1297" t="s">
        <v>914</v>
      </c>
      <c r="E579" s="1297"/>
      <c r="F579" s="1297"/>
    </row>
    <row r="580" spans="1:7">
      <c r="A580" s="176"/>
      <c r="B580" s="176"/>
      <c r="D580" s="255"/>
    </row>
    <row r="581" spans="1:7">
      <c r="A581" s="176"/>
      <c r="B581" s="469" t="s">
        <v>308</v>
      </c>
      <c r="D581" s="1297" t="s">
        <v>1140</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c r="A593" s="176"/>
      <c r="B593" s="469" t="s">
        <v>308</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c r="C609" s="180"/>
      <c r="D609" s="1277"/>
      <c r="E609" s="1277"/>
      <c r="F609" s="1277"/>
    </row>
    <row r="610" spans="1:7">
      <c r="C610" s="180"/>
    </row>
    <row r="611" spans="1:7">
      <c r="B611" s="469" t="s">
        <v>308</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308</v>
      </c>
      <c r="C628" s="179"/>
      <c r="D628" s="1275" t="s">
        <v>1231</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5" customHeight="1">
      <c r="A640" s="176"/>
      <c r="B640" s="469" t="s">
        <v>308</v>
      </c>
      <c r="C640" s="179"/>
      <c r="D640" s="1260" t="s">
        <v>1284</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308</v>
      </c>
      <c r="C646" s="179"/>
      <c r="D646" s="1294" t="s">
        <v>1134</v>
      </c>
      <c r="E646" s="1294"/>
      <c r="F646" s="1294"/>
    </row>
    <row r="647" spans="1:11">
      <c r="A647" s="176"/>
      <c r="B647" s="176"/>
      <c r="C647" s="179"/>
      <c r="D647" s="1293" t="s">
        <v>1285</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308</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308</v>
      </c>
      <c r="C669" s="175"/>
      <c r="D669" s="1280" t="s">
        <v>954</v>
      </c>
      <c r="E669" s="1280"/>
      <c r="F669" s="1280"/>
      <c r="H669" s="181"/>
      <c r="I669" s="181"/>
      <c r="J669" s="181"/>
      <c r="K669" s="181"/>
    </row>
    <row r="670" spans="1:11">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c r="A673" s="176"/>
      <c r="B673" s="469" t="s">
        <v>308</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308</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308</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308</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308</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c r="A759" s="176"/>
      <c r="B759" s="469" t="s">
        <v>308</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2135</v>
      </c>
      <c r="B2" s="1314"/>
      <c r="C2" s="1314"/>
      <c r="D2" s="1314"/>
      <c r="E2" s="1314"/>
      <c r="F2" s="1314"/>
      <c r="G2" s="1314"/>
      <c r="H2" s="1314"/>
      <c r="I2" s="1314"/>
      <c r="J2" s="1314"/>
    </row>
    <row r="3" spans="1:10" ht="16">
      <c r="A3" s="1317" t="s">
        <v>1427</v>
      </c>
      <c r="B3" s="1318"/>
      <c r="C3" s="1318"/>
      <c r="D3" s="1318"/>
      <c r="E3" s="1318"/>
      <c r="F3" s="1318"/>
      <c r="G3" s="1318"/>
      <c r="H3" s="1318"/>
      <c r="I3" s="1318"/>
      <c r="J3" s="1318"/>
    </row>
    <row r="4" spans="1:10" ht="13"/>
    <row r="5" spans="1:10" ht="12.75" customHeight="1">
      <c r="A5" s="1315" t="s">
        <v>2447</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
    <row r="11" spans="1:10" ht="12.75" customHeight="1">
      <c r="A11" s="1319" t="s">
        <v>2140</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2139</v>
      </c>
      <c r="B18" s="448"/>
      <c r="C18" s="448"/>
      <c r="D18" s="448"/>
      <c r="E18" s="448"/>
      <c r="F18" s="448"/>
      <c r="G18" s="448"/>
      <c r="H18" s="448"/>
      <c r="I18" s="448"/>
      <c r="J18" s="448"/>
    </row>
    <row r="19" spans="1:10" ht="14">
      <c r="A19" s="448" t="s">
        <v>251</v>
      </c>
      <c r="B19" s="448"/>
      <c r="C19" s="448"/>
      <c r="D19" s="448"/>
      <c r="E19" s="448"/>
      <c r="F19" s="448"/>
      <c r="G19" s="448"/>
      <c r="H19" s="448"/>
      <c r="I19" s="448"/>
      <c r="J19" s="448"/>
    </row>
    <row r="20" spans="1:10" ht="13">
      <c r="A20" s="1318" t="s">
        <v>1332</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1333</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1332</v>
      </c>
    </row>
    <row r="62" spans="1:10" ht="13"/>
    <row r="63" spans="1:10" ht="13"/>
    <row r="64" spans="1:10" ht="13"/>
    <row r="65" spans="1:9" ht="13"/>
    <row r="66" spans="1:9" ht="13"/>
    <row r="67" spans="1:9" ht="13"/>
    <row r="68" spans="1:9" ht="13"/>
    <row r="69" spans="1:9" ht="13"/>
    <row r="70" spans="1:9" ht="13"/>
    <row r="71" spans="1:9" ht="13"/>
    <row r="72" spans="1:9" ht="13">
      <c r="A72" s="1316" t="s">
        <v>2136</v>
      </c>
      <c r="B72" s="1316"/>
      <c r="C72" s="1316"/>
      <c r="D72" s="1316"/>
      <c r="E72" s="1316"/>
      <c r="F72" s="1316"/>
      <c r="G72" s="1316"/>
      <c r="H72" s="1316"/>
      <c r="I72" s="1316"/>
    </row>
    <row r="73" spans="1:9" ht="13">
      <c r="A73" s="1267" t="s">
        <v>2445</v>
      </c>
      <c r="B73" s="1267"/>
      <c r="C73" s="1267"/>
      <c r="D73" s="1267"/>
      <c r="E73" s="1267"/>
    </row>
    <row r="74" spans="1:9" ht="13">
      <c r="A74" s="1267" t="s">
        <v>2446</v>
      </c>
      <c r="B74" s="1267"/>
      <c r="C74" s="1267"/>
      <c r="D74" s="1267"/>
      <c r="E74" s="1267"/>
    </row>
    <row r="75" spans="1:9" ht="13">
      <c r="A75" s="1267" t="s">
        <v>2137</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336" zoomScale="150" zoomScaleNormal="100" zoomScaleSheetLayoutView="100" workbookViewId="0">
      <selection activeCell="B988" sqref="B988"/>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2765</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c r="A20" s="519"/>
      <c r="B20" s="520" t="s">
        <v>2765</v>
      </c>
      <c r="D20" s="1275" t="s">
        <v>2305</v>
      </c>
      <c r="E20" s="1275"/>
      <c r="F20" s="1275"/>
      <c r="I20" s="436" t="s">
        <v>2149</v>
      </c>
    </row>
    <row r="21" spans="1:9">
      <c r="A21" s="519"/>
      <c r="D21" s="1275"/>
      <c r="E21" s="1275"/>
      <c r="F21" s="1275"/>
    </row>
    <row r="22" spans="1:9">
      <c r="A22" s="519"/>
      <c r="D22" s="424"/>
      <c r="E22" s="96" t="s">
        <v>2301</v>
      </c>
      <c r="F22" s="424"/>
    </row>
    <row r="23" spans="1:9">
      <c r="A23" s="519"/>
      <c r="B23" s="519"/>
      <c r="D23" s="481"/>
    </row>
    <row r="24" spans="1:9">
      <c r="A24" s="519"/>
      <c r="B24" s="520" t="s">
        <v>2766</v>
      </c>
      <c r="D24" s="1275" t="s">
        <v>1190</v>
      </c>
      <c r="E24" s="1275"/>
      <c r="F24" s="1275"/>
      <c r="I24" s="436" t="s">
        <v>2149</v>
      </c>
    </row>
    <row r="25" spans="1:9">
      <c r="A25" s="519"/>
      <c r="B25" s="519"/>
      <c r="D25" s="1275"/>
      <c r="E25" s="1275"/>
      <c r="F25" s="1275"/>
    </row>
    <row r="26" spans="1:9"/>
    <row r="27" spans="1:9">
      <c r="A27" s="519"/>
      <c r="B27" s="520" t="s">
        <v>2765</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2766</v>
      </c>
      <c r="D33" s="1275" t="s">
        <v>2449</v>
      </c>
      <c r="E33" s="1275"/>
      <c r="F33" s="1275"/>
      <c r="I33" s="436" t="s">
        <v>2148</v>
      </c>
    </row>
    <row r="34" spans="1:9">
      <c r="D34" s="1275"/>
      <c r="E34" s="1275"/>
      <c r="F34" s="1275"/>
    </row>
    <row r="35" spans="1:9">
      <c r="A35" s="519"/>
      <c r="B35" s="519"/>
      <c r="D35" s="482"/>
    </row>
    <row r="36" spans="1:9" ht="14.5" customHeight="1">
      <c r="A36" s="519"/>
      <c r="B36" s="520" t="s">
        <v>2766</v>
      </c>
      <c r="D36" s="1275" t="s">
        <v>1357</v>
      </c>
      <c r="E36" s="1275"/>
      <c r="F36" s="1275"/>
      <c r="I36" s="436" t="s">
        <v>2219</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2766</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2765</v>
      </c>
      <c r="D47" s="1275" t="s">
        <v>1195</v>
      </c>
      <c r="E47" s="1275"/>
      <c r="F47" s="1275"/>
      <c r="I47" s="436" t="s">
        <v>2219</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2766</v>
      </c>
      <c r="D52" s="1275" t="s">
        <v>1196</v>
      </c>
      <c r="E52" s="1275"/>
      <c r="F52" s="1275"/>
      <c r="I52" s="436" t="s">
        <v>2219</v>
      </c>
    </row>
    <row r="53" spans="1:9">
      <c r="A53" s="519"/>
      <c r="B53" s="519"/>
      <c r="D53" s="1275"/>
      <c r="E53" s="1275"/>
      <c r="F53" s="1275"/>
    </row>
    <row r="54" spans="1:9">
      <c r="A54" s="519"/>
      <c r="B54" s="519"/>
      <c r="D54" s="1275"/>
      <c r="E54" s="1275"/>
      <c r="F54" s="1275"/>
    </row>
    <row r="55" spans="1:9">
      <c r="A55" s="519"/>
      <c r="B55" s="519"/>
    </row>
    <row r="56" spans="1:9">
      <c r="A56" s="519"/>
      <c r="B56" s="520" t="s">
        <v>2765</v>
      </c>
      <c r="D56" s="1334" t="s">
        <v>1197</v>
      </c>
      <c r="E56" s="1334"/>
      <c r="F56" s="1334"/>
    </row>
    <row r="57" spans="1:9">
      <c r="A57" s="519"/>
      <c r="B57" s="519"/>
      <c r="D57" s="1334"/>
      <c r="E57" s="1334"/>
      <c r="F57" s="1334"/>
    </row>
    <row r="58" spans="1:9">
      <c r="A58" s="519"/>
      <c r="B58" s="519"/>
      <c r="D58" s="424" t="s">
        <v>2303</v>
      </c>
      <c r="E58" s="480"/>
      <c r="F58" s="480"/>
    </row>
    <row r="59" spans="1:9">
      <c r="A59" s="519"/>
      <c r="B59" s="519"/>
      <c r="D59" s="480"/>
      <c r="E59" s="336" t="s">
        <v>2302</v>
      </c>
      <c r="F59" s="480"/>
    </row>
    <row r="60" spans="1:9">
      <c r="D60" s="482"/>
    </row>
    <row r="61" spans="1:9">
      <c r="A61" s="519"/>
      <c r="B61" s="520" t="s">
        <v>2766</v>
      </c>
      <c r="D61" s="1275" t="s">
        <v>1198</v>
      </c>
      <c r="E61" s="1275"/>
      <c r="F61" s="1275"/>
      <c r="I61" s="436" t="s">
        <v>2150</v>
      </c>
    </row>
    <row r="62" spans="1:9">
      <c r="D62" s="1275"/>
      <c r="E62" s="1275"/>
      <c r="F62" s="1275"/>
    </row>
    <row r="63" spans="1:9">
      <c r="D63" s="1275"/>
      <c r="E63" s="1275"/>
      <c r="F63" s="1275"/>
    </row>
    <row r="64" spans="1:9"/>
    <row r="65" spans="1:9">
      <c r="A65" s="519"/>
      <c r="B65" s="520" t="s">
        <v>2766</v>
      </c>
      <c r="D65" s="1275" t="s">
        <v>1199</v>
      </c>
      <c r="E65" s="1275"/>
      <c r="F65" s="1275"/>
      <c r="I65" s="436" t="s">
        <v>2151</v>
      </c>
    </row>
    <row r="66" spans="1:9">
      <c r="D66" s="1275"/>
      <c r="E66" s="1275"/>
      <c r="F66" s="1275"/>
    </row>
    <row r="67" spans="1:9"/>
    <row r="68" spans="1:9">
      <c r="A68" s="519"/>
      <c r="B68" s="520" t="s">
        <v>2765</v>
      </c>
      <c r="D68" s="1275" t="s">
        <v>1200</v>
      </c>
      <c r="E68" s="1275"/>
      <c r="F68" s="1275"/>
    </row>
    <row r="69" spans="1:9">
      <c r="D69" s="1275"/>
      <c r="E69" s="1275"/>
      <c r="F69" s="1275"/>
      <c r="I69" s="436" t="s">
        <v>2152</v>
      </c>
    </row>
    <row r="70" spans="1:9">
      <c r="D70" s="1275"/>
      <c r="E70" s="1275"/>
      <c r="F70" s="1275"/>
    </row>
    <row r="71" spans="1:9"/>
    <row r="72" spans="1:9">
      <c r="A72" s="519"/>
      <c r="B72" s="520" t="s">
        <v>2765</v>
      </c>
      <c r="D72" s="1275" t="s">
        <v>1201</v>
      </c>
      <c r="E72" s="1275"/>
      <c r="F72" s="1275"/>
      <c r="I72" s="436" t="s">
        <v>2152</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5" customHeight="1">
      <c r="A80" s="519"/>
      <c r="B80" s="520" t="s">
        <v>2765</v>
      </c>
      <c r="D80" s="1275" t="s">
        <v>1401</v>
      </c>
      <c r="E80" s="1275"/>
      <c r="F80" s="1275"/>
      <c r="I80" s="436" t="s">
        <v>2153</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2765</v>
      </c>
      <c r="D89" s="1275" t="s">
        <v>2004</v>
      </c>
      <c r="E89" s="1275"/>
      <c r="F89" s="1275"/>
      <c r="I89" s="436" t="s">
        <v>2154</v>
      </c>
    </row>
    <row r="90" spans="1:9">
      <c r="A90" s="519"/>
      <c r="B90" s="519"/>
      <c r="D90" s="1275"/>
      <c r="E90" s="1275"/>
      <c r="F90" s="1275"/>
    </row>
    <row r="91" spans="1:9">
      <c r="A91" s="519"/>
      <c r="B91" s="519"/>
      <c r="D91" s="480"/>
      <c r="E91" s="480"/>
      <c r="F91" s="480"/>
    </row>
    <row r="92" spans="1:9">
      <c r="A92" s="519"/>
      <c r="B92" s="520" t="s">
        <v>2765</v>
      </c>
      <c r="D92" s="1275" t="s">
        <v>2007</v>
      </c>
      <c r="E92" s="1275"/>
      <c r="F92" s="1275"/>
      <c r="I92" s="436" t="s">
        <v>2155</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2765</v>
      </c>
      <c r="D96" s="1275" t="s">
        <v>2006</v>
      </c>
      <c r="E96" s="1275"/>
      <c r="F96" s="1275"/>
      <c r="I96" s="436" t="s">
        <v>2200</v>
      </c>
    </row>
    <row r="97" spans="1:9" s="1024" customFormat="1">
      <c r="A97" s="1022"/>
      <c r="B97" s="1022"/>
      <c r="C97" s="1023"/>
      <c r="D97" s="1275"/>
      <c r="E97" s="1275"/>
      <c r="F97" s="1275"/>
      <c r="I97" s="1063"/>
    </row>
    <row r="98" spans="1:9">
      <c r="A98" s="519"/>
      <c r="B98" s="519"/>
      <c r="D98" s="424"/>
      <c r="E98" s="336" t="s">
        <v>2306</v>
      </c>
      <c r="F98" s="480"/>
    </row>
    <row r="99" spans="1:9">
      <c r="A99" s="519"/>
      <c r="B99" s="519"/>
      <c r="D99" s="417"/>
      <c r="E99" s="417"/>
      <c r="F99" s="417"/>
    </row>
    <row r="100" spans="1:9">
      <c r="A100" s="519"/>
      <c r="B100" s="520" t="s">
        <v>2766</v>
      </c>
      <c r="D100" s="1275" t="s">
        <v>2005</v>
      </c>
      <c r="E100" s="1275"/>
      <c r="F100" s="1275"/>
      <c r="I100" s="436" t="s">
        <v>2156</v>
      </c>
    </row>
    <row r="101" spans="1:9">
      <c r="A101" s="519"/>
      <c r="B101" s="519"/>
      <c r="D101" s="1275"/>
      <c r="E101" s="1275"/>
      <c r="F101" s="1275"/>
    </row>
    <row r="102" spans="1:9">
      <c r="A102" s="519"/>
      <c r="B102" s="519"/>
      <c r="D102" s="480"/>
      <c r="E102" s="480"/>
      <c r="F102" s="480"/>
    </row>
    <row r="103" spans="1:9" ht="14.5" customHeight="1">
      <c r="A103" s="519"/>
      <c r="B103" s="520" t="s">
        <v>2766</v>
      </c>
      <c r="D103" s="1275" t="s">
        <v>1337</v>
      </c>
      <c r="E103" s="1275"/>
      <c r="F103" s="1275"/>
      <c r="I103" s="436" t="s">
        <v>2157</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2766</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2765</v>
      </c>
      <c r="C128" s="434"/>
      <c r="D128" s="1302" t="s">
        <v>2450</v>
      </c>
      <c r="E128" s="1302"/>
      <c r="F128" s="1302"/>
      <c r="I128" s="436" t="s">
        <v>2158</v>
      </c>
    </row>
    <row r="129" spans="1:9">
      <c r="A129" s="519"/>
      <c r="B129" s="519"/>
      <c r="C129" s="434"/>
      <c r="D129" s="1302"/>
      <c r="E129" s="1302"/>
      <c r="F129" s="1302"/>
    </row>
    <row r="130" spans="1:9"/>
    <row r="131" spans="1:9">
      <c r="A131" s="519"/>
      <c r="B131" s="520" t="s">
        <v>2765</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2765</v>
      </c>
      <c r="D137" s="1275" t="s">
        <v>1212</v>
      </c>
      <c r="E137" s="1275"/>
      <c r="F137" s="1275"/>
      <c r="I137" s="436" t="s">
        <v>2159</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2766</v>
      </c>
      <c r="D151" s="1275" t="s">
        <v>1320</v>
      </c>
      <c r="E151" s="1275"/>
      <c r="F151" s="1275"/>
      <c r="I151" s="436" t="s">
        <v>2160</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2475</v>
      </c>
      <c r="E169" s="1335"/>
      <c r="F169" s="1335"/>
      <c r="G169" s="542"/>
    </row>
    <row r="170" spans="1:9" ht="13.75" customHeight="1">
      <c r="D170" s="1308"/>
      <c r="E170" s="1308"/>
      <c r="F170" s="1308"/>
      <c r="G170" s="1308"/>
    </row>
    <row r="171" spans="1:9" ht="14.5" customHeight="1">
      <c r="A171" s="524"/>
      <c r="B171" s="520" t="s">
        <v>2766</v>
      </c>
      <c r="C171" s="511"/>
      <c r="D171" s="1263" t="s">
        <v>1367</v>
      </c>
      <c r="E171" s="1263"/>
      <c r="F171" s="1263"/>
      <c r="G171" s="511"/>
      <c r="I171" s="436" t="s">
        <v>2155</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2766</v>
      </c>
      <c r="C175" s="511"/>
      <c r="D175" s="1263" t="s">
        <v>1214</v>
      </c>
      <c r="E175" s="1263"/>
      <c r="F175" s="1263"/>
      <c r="G175" s="511"/>
      <c r="I175" s="436" t="s">
        <v>2161</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2766</v>
      </c>
      <c r="D180" s="1297" t="s">
        <v>2451</v>
      </c>
      <c r="E180" s="1297"/>
      <c r="F180" s="1297"/>
      <c r="I180" s="436" t="s">
        <v>2162</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2766</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2766</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2766</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2766</v>
      </c>
      <c r="D207" s="418" t="s">
        <v>2277</v>
      </c>
      <c r="E207" s="417"/>
      <c r="F207" s="417"/>
      <c r="I207" s="436" t="s">
        <v>2214</v>
      </c>
    </row>
    <row r="208" spans="1:9">
      <c r="A208" s="519"/>
      <c r="B208" s="519"/>
      <c r="D208" s="1280" t="s">
        <v>2284</v>
      </c>
      <c r="E208" s="1280"/>
      <c r="F208" s="1280"/>
    </row>
    <row r="209" spans="1:9">
      <c r="D209" s="417"/>
      <c r="E209" s="1331" t="s">
        <v>2310</v>
      </c>
      <c r="F209" s="1331"/>
    </row>
    <row r="210" spans="1:9">
      <c r="D210" s="482"/>
    </row>
    <row r="211" spans="1:9">
      <c r="B211" s="520" t="s">
        <v>2766</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c r="A215" s="519"/>
      <c r="B215" s="520" t="s">
        <v>2766</v>
      </c>
      <c r="D215" s="1275" t="s">
        <v>1359</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75" customHeight="1">
      <c r="A225" s="525"/>
      <c r="C225" s="525"/>
      <c r="D225" s="1273" t="s">
        <v>555</v>
      </c>
      <c r="E225" s="1273"/>
      <c r="F225" s="1273"/>
      <c r="I225" s="436" t="s">
        <v>2163</v>
      </c>
    </row>
    <row r="226" spans="1:9">
      <c r="A226" s="519"/>
      <c r="B226" s="520" t="s">
        <v>2765</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2765</v>
      </c>
      <c r="D231" s="1275" t="s">
        <v>2016</v>
      </c>
      <c r="E231" s="1275"/>
      <c r="F231" s="1275"/>
      <c r="I231" s="436" t="s">
        <v>2164</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2163</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2765</v>
      </c>
      <c r="D243" s="1275" t="s">
        <v>2453</v>
      </c>
      <c r="E243" s="1275"/>
      <c r="F243" s="1275"/>
      <c r="I243" s="436" t="s">
        <v>2202</v>
      </c>
    </row>
    <row r="244" spans="1:9">
      <c r="A244" s="519"/>
      <c r="B244" s="519"/>
      <c r="D244" s="1275"/>
      <c r="E244" s="1275"/>
      <c r="F244" s="1275"/>
    </row>
    <row r="245" spans="1:9">
      <c r="A245" s="519"/>
      <c r="B245" s="519"/>
      <c r="D245" s="1275"/>
      <c r="E245" s="1275"/>
      <c r="F245" s="1275"/>
    </row>
    <row r="246" spans="1:9">
      <c r="A246" s="519"/>
      <c r="B246" s="519"/>
      <c r="E246" s="1080" t="s">
        <v>2278</v>
      </c>
    </row>
    <row r="247" spans="1:9">
      <c r="A247" s="519"/>
      <c r="B247" s="519"/>
      <c r="D247" s="481"/>
      <c r="E247" s="481"/>
      <c r="F247" s="481"/>
    </row>
    <row r="248" spans="1:9" ht="14.5" customHeight="1">
      <c r="A248" s="519"/>
      <c r="B248" s="520" t="s">
        <v>2766</v>
      </c>
      <c r="D248" s="1275" t="s">
        <v>2454</v>
      </c>
      <c r="E248" s="1275"/>
      <c r="F248" s="1275"/>
      <c r="I248" s="436" t="s">
        <v>2220</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2765</v>
      </c>
      <c r="D254" s="424" t="s">
        <v>2455</v>
      </c>
      <c r="E254" s="480"/>
      <c r="F254" s="480"/>
      <c r="I254" s="436" t="s">
        <v>2201</v>
      </c>
    </row>
    <row r="255" spans="1:9">
      <c r="A255" s="519"/>
      <c r="B255" s="519"/>
      <c r="E255" s="1080" t="s">
        <v>2279</v>
      </c>
    </row>
    <row r="256" spans="1:9">
      <c r="D256" s="481"/>
      <c r="E256" s="481"/>
      <c r="F256" s="481"/>
    </row>
    <row r="257" spans="1:9">
      <c r="A257" s="519"/>
      <c r="B257" s="520" t="s">
        <v>2765</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5" customHeight="1">
      <c r="A265" s="519"/>
      <c r="B265" s="520" t="s">
        <v>2765</v>
      </c>
      <c r="D265" s="1275" t="s">
        <v>1339</v>
      </c>
      <c r="E265" s="1275"/>
      <c r="F265" s="1275"/>
    </row>
    <row r="266" spans="1:9">
      <c r="D266" s="1275"/>
      <c r="E266" s="1275"/>
      <c r="F266" s="1275"/>
    </row>
    <row r="267" spans="1:9">
      <c r="E267" s="1080" t="s">
        <v>2280</v>
      </c>
    </row>
    <row r="268" spans="1:9">
      <c r="D268" s="481"/>
      <c r="E268" s="481"/>
      <c r="F268" s="481"/>
    </row>
    <row r="269" spans="1:9" ht="14.5" customHeight="1">
      <c r="A269" s="519"/>
      <c r="B269" s="520" t="s">
        <v>2766</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2766</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1247</v>
      </c>
      <c r="E286" s="1328"/>
      <c r="F286" s="1328"/>
    </row>
    <row r="287" spans="1:9">
      <c r="E287" s="481"/>
      <c r="F287" s="481"/>
    </row>
    <row r="288" spans="1:9">
      <c r="A288" s="519"/>
      <c r="B288" s="520" t="s">
        <v>2766</v>
      </c>
      <c r="D288" s="1275" t="s">
        <v>1248</v>
      </c>
      <c r="E288" s="1275"/>
      <c r="F288" s="1275"/>
      <c r="I288" s="436" t="s">
        <v>2165</v>
      </c>
    </row>
    <row r="289" spans="1:9">
      <c r="A289" s="519"/>
      <c r="B289" s="519"/>
      <c r="D289" s="1275"/>
      <c r="E289" s="1275"/>
      <c r="F289" s="1275"/>
    </row>
    <row r="290" spans="1:9">
      <c r="D290" s="481"/>
      <c r="E290" s="481"/>
      <c r="F290" s="481"/>
    </row>
    <row r="291" spans="1:9">
      <c r="A291" s="519"/>
      <c r="B291" s="520" t="s">
        <v>2766</v>
      </c>
      <c r="D291" s="1275" t="s">
        <v>1249</v>
      </c>
      <c r="E291" s="1275"/>
      <c r="F291" s="1275"/>
      <c r="I291" s="436" t="s">
        <v>2165</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2766</v>
      </c>
      <c r="D295" s="1275" t="s">
        <v>1250</v>
      </c>
      <c r="E295" s="1275"/>
      <c r="F295" s="1275"/>
      <c r="I295" s="436" t="s">
        <v>2165</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2766</v>
      </c>
      <c r="D303" s="1304" t="s">
        <v>1252</v>
      </c>
      <c r="E303" s="1304"/>
      <c r="F303" s="1304"/>
      <c r="I303" s="436" t="s">
        <v>2166</v>
      </c>
    </row>
    <row r="304" spans="1:9">
      <c r="A304" s="519"/>
      <c r="B304" s="519"/>
      <c r="D304" s="529"/>
      <c r="E304" s="530"/>
      <c r="F304" s="530"/>
    </row>
    <row r="305" spans="1:9" ht="13.75" customHeight="1">
      <c r="B305" s="520" t="s">
        <v>2766</v>
      </c>
      <c r="D305" s="1325" t="s">
        <v>1363</v>
      </c>
      <c r="E305" s="1325"/>
      <c r="F305" s="1325"/>
      <c r="I305" s="436" t="s">
        <v>2166</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2766</v>
      </c>
      <c r="D311" s="1325" t="s">
        <v>1254</v>
      </c>
      <c r="E311" s="1325"/>
      <c r="F311" s="1325"/>
      <c r="I311" s="436" t="s">
        <v>2166</v>
      </c>
    </row>
    <row r="312" spans="1:9">
      <c r="D312" s="1325"/>
      <c r="E312" s="1325"/>
      <c r="F312" s="1325"/>
    </row>
    <row r="313" spans="1:9">
      <c r="A313" s="519"/>
      <c r="B313" s="519"/>
      <c r="D313" s="529"/>
      <c r="E313" s="530"/>
      <c r="F313" s="530"/>
    </row>
    <row r="314" spans="1:9">
      <c r="B314" s="520" t="s">
        <v>2766</v>
      </c>
      <c r="D314" s="1304" t="s">
        <v>1255</v>
      </c>
      <c r="E314" s="1304"/>
      <c r="F314" s="1304"/>
      <c r="I314" s="436" t="s">
        <v>2152</v>
      </c>
    </row>
    <row r="315" spans="1:9">
      <c r="E315" s="481"/>
      <c r="F315" s="481"/>
    </row>
    <row r="316" spans="1:9">
      <c r="A316" s="519"/>
      <c r="B316" s="520" t="s">
        <v>2766</v>
      </c>
      <c r="D316" s="1275" t="s">
        <v>2476</v>
      </c>
      <c r="E316" s="1275"/>
      <c r="F316" s="1275"/>
      <c r="I316" s="436" t="s">
        <v>2167</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2766</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2766</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4" thickBot="1">
      <c r="A349" s="1059"/>
      <c r="B349" s="1059"/>
      <c r="C349" s="1059"/>
      <c r="D349" s="1336" t="s">
        <v>1019</v>
      </c>
      <c r="E349" s="1336"/>
      <c r="F349" s="1336"/>
      <c r="G349" s="1069"/>
      <c r="H349" s="1069"/>
      <c r="I349" s="1070"/>
    </row>
    <row r="350" spans="1:9" ht="14" thickTop="1">
      <c r="D350" s="1326" t="s">
        <v>1259</v>
      </c>
      <c r="E350" s="1326"/>
      <c r="F350" s="1326"/>
    </row>
    <row r="351" spans="1:9">
      <c r="D351" s="481"/>
      <c r="E351" s="481"/>
      <c r="F351" s="481"/>
    </row>
    <row r="352" spans="1:9">
      <c r="A352" s="511"/>
      <c r="B352" s="511"/>
      <c r="C352" s="511"/>
      <c r="D352" s="482"/>
      <c r="E352" s="482"/>
      <c r="F352" s="481"/>
      <c r="I352" s="436" t="s">
        <v>2168</v>
      </c>
    </row>
    <row r="353" spans="1:9">
      <c r="A353" s="519"/>
      <c r="B353" s="520" t="s">
        <v>2766</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c r="A358" s="519"/>
      <c r="B358" s="520" t="s">
        <v>2766</v>
      </c>
      <c r="C358" s="511"/>
      <c r="D358" s="1308" t="s">
        <v>2457</v>
      </c>
      <c r="E358" s="1308"/>
      <c r="F358" s="1308"/>
      <c r="I358" s="434"/>
    </row>
    <row r="359" spans="1:9">
      <c r="A359" s="511"/>
      <c r="B359" s="511"/>
      <c r="C359" s="511"/>
      <c r="D359" s="482"/>
      <c r="E359" s="482"/>
      <c r="F359" s="481"/>
    </row>
    <row r="360" spans="1:9">
      <c r="A360" s="511"/>
      <c r="B360" s="520" t="s">
        <v>2766</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2766</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2766</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2766</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2766</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2766</v>
      </c>
      <c r="D421" s="1263" t="s">
        <v>2205</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2766</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c r="A433" s="519"/>
      <c r="B433" s="520" t="s">
        <v>2766</v>
      </c>
      <c r="C433" s="522"/>
      <c r="D433" s="1275" t="s">
        <v>2459</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2766</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2766</v>
      </c>
      <c r="C469" s="519"/>
      <c r="D469" s="1275" t="s">
        <v>1340</v>
      </c>
      <c r="E469" s="1275"/>
      <c r="F469" s="1275"/>
    </row>
    <row r="470" spans="1:6">
      <c r="D470" s="1275"/>
      <c r="E470" s="1275"/>
      <c r="F470" s="1275"/>
    </row>
    <row r="471" spans="1:6">
      <c r="D471" s="481"/>
      <c r="E471" s="481"/>
      <c r="F471" s="481"/>
    </row>
    <row r="472" spans="1:6">
      <c r="B472" s="520" t="s">
        <v>2766</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2766</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2766</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2766</v>
      </c>
      <c r="C484" s="434"/>
      <c r="D484" s="1275"/>
      <c r="E484" s="1275"/>
      <c r="F484" s="1275"/>
    </row>
    <row r="485" spans="1:9">
      <c r="A485" s="434"/>
      <c r="C485" s="434"/>
      <c r="D485" s="1275"/>
      <c r="E485" s="1275"/>
      <c r="F485" s="1275"/>
    </row>
    <row r="486" spans="1:9">
      <c r="A486" s="434"/>
      <c r="B486" s="520" t="s">
        <v>2766</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2766</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1275</v>
      </c>
      <c r="E497" s="1308"/>
      <c r="F497" s="1308"/>
    </row>
    <row r="498" spans="1:9">
      <c r="A498" s="519"/>
      <c r="B498" s="519"/>
      <c r="D498" s="482"/>
    </row>
    <row r="499" spans="1:9">
      <c r="A499" s="519"/>
      <c r="B499" s="520" t="s">
        <v>2766</v>
      </c>
      <c r="D499" s="1263" t="s">
        <v>1276</v>
      </c>
      <c r="E499" s="1263"/>
      <c r="F499" s="1263"/>
      <c r="I499" s="436" t="s">
        <v>2169</v>
      </c>
    </row>
    <row r="500" spans="1:9">
      <c r="A500" s="519"/>
      <c r="B500" s="519"/>
      <c r="D500" s="1263"/>
      <c r="E500" s="1263"/>
      <c r="F500" s="1263"/>
    </row>
    <row r="501" spans="1:9">
      <c r="A501" s="519"/>
      <c r="B501" s="519"/>
      <c r="D501" s="481"/>
    </row>
    <row r="502" spans="1:9" ht="12.75" customHeight="1">
      <c r="B502" s="520" t="s">
        <v>2766</v>
      </c>
      <c r="D502" s="1297" t="s">
        <v>1432</v>
      </c>
      <c r="E502" s="1297"/>
      <c r="F502" s="1297"/>
      <c r="I502" s="436" t="s">
        <v>2170</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2766</v>
      </c>
      <c r="D507" s="1304" t="s">
        <v>1279</v>
      </c>
      <c r="E507" s="1304"/>
      <c r="F507" s="1304"/>
      <c r="I507" s="436" t="s">
        <v>2171</v>
      </c>
    </row>
    <row r="508" spans="1:9">
      <c r="A508" s="519"/>
      <c r="B508" s="519"/>
      <c r="D508" s="481"/>
    </row>
    <row r="509" spans="1:9">
      <c r="A509" s="519"/>
      <c r="B509" s="520" t="s">
        <v>2766</v>
      </c>
      <c r="D509" s="1275" t="s">
        <v>1280</v>
      </c>
      <c r="E509" s="1275"/>
      <c r="F509" s="1275"/>
      <c r="I509" s="436" t="s">
        <v>2171</v>
      </c>
    </row>
    <row r="510" spans="1:9">
      <c r="A510" s="519"/>
      <c r="D510" s="1275"/>
      <c r="E510" s="1275"/>
      <c r="F510" s="1275"/>
    </row>
    <row r="511" spans="1:9">
      <c r="A511" s="525"/>
      <c r="B511" s="525"/>
      <c r="D511" s="482"/>
    </row>
    <row r="512" spans="1:9">
      <c r="A512" s="525"/>
      <c r="B512" s="520" t="s">
        <v>2766</v>
      </c>
      <c r="D512" s="1304" t="s">
        <v>1281</v>
      </c>
      <c r="E512" s="1304"/>
      <c r="F512" s="1304"/>
      <c r="I512" s="436" t="s">
        <v>2224</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2765</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2765</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2766</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5" customHeight="1">
      <c r="A541" s="519"/>
      <c r="B541" s="520" t="s">
        <v>2765</v>
      </c>
      <c r="C541" s="522"/>
      <c r="D541" s="1304" t="s">
        <v>913</v>
      </c>
      <c r="E541" s="1304"/>
      <c r="F541" s="1304"/>
      <c r="I541" s="436" t="s">
        <v>2222</v>
      </c>
    </row>
    <row r="542" spans="1:9" ht="13.75" customHeight="1">
      <c r="A542" s="522"/>
      <c r="B542" s="522"/>
      <c r="C542" s="522"/>
      <c r="D542" s="481"/>
    </row>
    <row r="543" spans="1:9">
      <c r="A543" s="519"/>
      <c r="B543" s="520" t="s">
        <v>2765</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c r="A546" s="519"/>
      <c r="B546" s="520" t="s">
        <v>2765</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c r="A549" s="519"/>
      <c r="B549" s="520" t="s">
        <v>2765</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c r="A552" s="519"/>
      <c r="B552" s="520" t="s">
        <v>2765</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2765</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c r="A559" s="519"/>
      <c r="B559" s="520" t="s">
        <v>2765</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c r="A562" s="519"/>
      <c r="B562" s="520" t="s">
        <v>2765</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c r="A565" s="519"/>
      <c r="B565" s="519"/>
      <c r="C565" s="522"/>
      <c r="E565" s="481"/>
      <c r="F565" s="481"/>
    </row>
    <row r="566" spans="1:9">
      <c r="A566" s="519"/>
      <c r="B566" s="520" t="s">
        <v>2765</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2765</v>
      </c>
      <c r="C571" s="522"/>
      <c r="D571" s="1275" t="s">
        <v>2463</v>
      </c>
      <c r="E571" s="1275"/>
      <c r="F571" s="1275"/>
      <c r="I571" s="436" t="s">
        <v>2176</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2765</v>
      </c>
      <c r="D581" s="1297" t="s">
        <v>919</v>
      </c>
      <c r="E581" s="1297"/>
      <c r="F581" s="1297"/>
    </row>
    <row r="582" spans="1:9">
      <c r="A582" s="525"/>
      <c r="B582" s="525"/>
      <c r="D582" s="511"/>
    </row>
    <row r="583" spans="1:9">
      <c r="A583" s="525"/>
      <c r="B583" s="520" t="s">
        <v>2765</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2766</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2765</v>
      </c>
      <c r="D592" s="1297" t="s">
        <v>2465</v>
      </c>
      <c r="E592" s="1297"/>
      <c r="F592" s="1297"/>
    </row>
    <row r="593" spans="1:9">
      <c r="A593" s="525"/>
      <c r="B593" s="525"/>
      <c r="D593" s="1297"/>
      <c r="E593" s="1297"/>
      <c r="F593" s="1297"/>
    </row>
    <row r="594" spans="1:9">
      <c r="A594" s="525"/>
      <c r="B594" s="525"/>
      <c r="D594" s="534"/>
    </row>
    <row r="595" spans="1:9">
      <c r="A595" s="525"/>
      <c r="B595" s="520" t="s">
        <v>2766</v>
      </c>
      <c r="D595" s="1297" t="s">
        <v>1139</v>
      </c>
      <c r="E595" s="1297"/>
      <c r="F595" s="1297"/>
      <c r="I595" s="436" t="s">
        <v>2226</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2765</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2765</v>
      </c>
      <c r="D613" s="1277" t="s">
        <v>1225</v>
      </c>
      <c r="E613" s="1277"/>
      <c r="F613" s="1277"/>
      <c r="I613" s="436" t="s">
        <v>2227</v>
      </c>
    </row>
    <row r="614" spans="1:9">
      <c r="D614" s="1277"/>
      <c r="E614" s="1277"/>
      <c r="F614" s="1277"/>
    </row>
    <row r="615" spans="1:9"/>
    <row r="616" spans="1:9">
      <c r="B616" s="520" t="s">
        <v>2765</v>
      </c>
      <c r="D616" s="1277" t="s">
        <v>1226</v>
      </c>
      <c r="E616" s="1277"/>
      <c r="F616" s="1277"/>
      <c r="I616" s="436" t="s">
        <v>2180</v>
      </c>
    </row>
    <row r="617" spans="1:9">
      <c r="C617" s="535"/>
      <c r="D617" s="1277"/>
      <c r="E617" s="1277"/>
      <c r="F617" s="1277"/>
    </row>
    <row r="618" spans="1:9">
      <c r="C618" s="535"/>
    </row>
    <row r="619" spans="1:9">
      <c r="B619" s="520" t="s">
        <v>2766</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2766</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c r="A633" s="519"/>
      <c r="B633" s="520" t="s">
        <v>2766</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c r="A636" s="519"/>
      <c r="B636" s="520" t="s">
        <v>2766</v>
      </c>
      <c r="C636" s="522"/>
      <c r="D636" s="1275" t="s">
        <v>1372</v>
      </c>
      <c r="E636" s="1275"/>
      <c r="F636" s="1275"/>
      <c r="I636" s="436" t="s">
        <v>2181</v>
      </c>
    </row>
    <row r="637" spans="1:9">
      <c r="A637" s="519"/>
      <c r="B637" s="519"/>
      <c r="C637" s="522"/>
      <c r="D637" s="1275"/>
      <c r="E637" s="1275"/>
      <c r="F637" s="1275"/>
    </row>
    <row r="638" spans="1:9">
      <c r="A638" s="519"/>
      <c r="B638" s="519"/>
      <c r="C638" s="522"/>
      <c r="D638" s="1275"/>
      <c r="E638" s="1275"/>
      <c r="F638" s="1275"/>
    </row>
    <row r="639" spans="1:9">
      <c r="A639" s="522"/>
      <c r="B639" s="520" t="s">
        <v>2766</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2765</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2765</v>
      </c>
      <c r="C651" s="522"/>
      <c r="D651" s="1275" t="s">
        <v>1448</v>
      </c>
      <c r="E651" s="1275"/>
      <c r="F651" s="1275"/>
      <c r="I651" s="436" t="s">
        <v>2233</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308</v>
      </c>
      <c r="C657" s="522"/>
      <c r="D657" s="1275" t="s">
        <v>1447</v>
      </c>
      <c r="E657" s="1275"/>
      <c r="F657" s="1275"/>
      <c r="I657" s="436" t="s">
        <v>2233</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2766</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308</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308</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c r="A687" s="519"/>
      <c r="B687" s="520" t="s">
        <v>2765</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308</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308</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308</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2766</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2766</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2766</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2766</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308</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2765</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2765</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2765</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2766</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2766</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2765</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2766</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2766</v>
      </c>
      <c r="C780" s="1026"/>
      <c r="D780" s="1293" t="s">
        <v>2020</v>
      </c>
      <c r="E780" s="1293"/>
      <c r="F780" s="1293"/>
      <c r="G780" s="1025"/>
      <c r="I780" s="1065" t="s">
        <v>2234</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2766</v>
      </c>
      <c r="C784" s="1026"/>
      <c r="D784" s="1293" t="s">
        <v>2021</v>
      </c>
      <c r="E784" s="1293"/>
      <c r="F784" s="1293"/>
      <c r="G784" s="1025"/>
      <c r="I784" s="1065" t="s">
        <v>2234</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2065</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2766</v>
      </c>
      <c r="C794" s="1026"/>
      <c r="D794" s="1293" t="s">
        <v>2022</v>
      </c>
      <c r="E794" s="1293"/>
      <c r="F794" s="1293"/>
      <c r="G794" s="1025"/>
      <c r="I794" s="1065" t="s">
        <v>2234</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2766</v>
      </c>
      <c r="C801" s="1026"/>
      <c r="D801" s="1293" t="s">
        <v>2023</v>
      </c>
      <c r="E801" s="1293"/>
      <c r="F801" s="1293"/>
      <c r="G801" s="1025"/>
      <c r="I801" s="1065" t="s">
        <v>2234</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2766</v>
      </c>
      <c r="C808" s="1026"/>
      <c r="D808" s="1301" t="s">
        <v>2024</v>
      </c>
      <c r="E808" s="1301"/>
      <c r="F808" s="1301"/>
      <c r="G808" s="1025"/>
      <c r="I808" s="1065" t="s">
        <v>2234</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2765</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2765</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2766</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2766</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2766</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2765</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2765</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2766</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2766</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2766</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2765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2765</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2765</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2766</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2766</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2766</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2766</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2766</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2765</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2765</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2766</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2765</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2766</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2766</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2765</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2766</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2766</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2765</v>
      </c>
      <c r="C996" s="386"/>
      <c r="D996" s="1280" t="s">
        <v>2052</v>
      </c>
      <c r="E996" s="1280"/>
      <c r="F996" s="1280"/>
      <c r="G996"/>
    </row>
    <row r="997" spans="1:7" ht="12.75" customHeight="1">
      <c r="A997" s="386"/>
      <c r="B997" s="386"/>
      <c r="C997" s="386"/>
      <c r="D997" s="3"/>
      <c r="E997" s="3"/>
      <c r="F997" s="3"/>
      <c r="G997"/>
    </row>
    <row r="998" spans="1:7" ht="12.75" customHeight="1">
      <c r="A998" s="176"/>
      <c r="B998" s="520" t="s">
        <v>2765</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2766</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2766</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2766</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2766</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2766</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2766</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2765</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2765</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2766</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2766</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2765</v>
      </c>
      <c r="C1048" s="434"/>
      <c r="D1048" s="434" t="s">
        <v>2075</v>
      </c>
      <c r="I1048" s="436" t="s">
        <v>2190</v>
      </c>
    </row>
    <row r="1049" spans="1:9">
      <c r="A1049" s="434"/>
      <c r="B1049" s="434"/>
      <c r="C1049" s="434"/>
    </row>
    <row r="1050" spans="1:9">
      <c r="A1050" s="434"/>
      <c r="B1050" s="520" t="s">
        <v>2765</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2766</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2766</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2766</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2766</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2766</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2766</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2766</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2765</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2765</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40" zoomScaleNormal="100" zoomScaleSheetLayoutView="80" workbookViewId="0">
      <selection activeCell="D1068" sqref="D1068:AK1070"/>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32" t="s">
        <v>101</v>
      </c>
      <c r="B8" s="1732"/>
      <c r="C8" s="1732"/>
      <c r="D8" s="1732"/>
      <c r="E8" s="1732"/>
      <c r="F8" s="1732"/>
      <c r="G8" s="1732"/>
      <c r="H8" s="1732"/>
      <c r="I8" s="1732"/>
      <c r="J8" s="1732"/>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c r="AJ8" s="1732"/>
      <c r="AK8" s="1732"/>
      <c r="AL8" s="1732"/>
      <c r="AM8" s="935"/>
      <c r="AN8" s="935"/>
      <c r="AO8" s="935"/>
      <c r="AP8" s="935"/>
      <c r="AQ8" s="935"/>
      <c r="AR8" s="935"/>
      <c r="AS8" s="935"/>
      <c r="AT8" s="935"/>
      <c r="AU8" s="935"/>
      <c r="AV8" s="935"/>
      <c r="AW8" s="935"/>
      <c r="AX8" s="935"/>
      <c r="AY8" s="935"/>
    </row>
    <row r="9" spans="1:51" ht="13"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7" t="s">
        <v>2622</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c r="AM12" s="6"/>
      <c r="AN12" s="6"/>
      <c r="AO12" s="6"/>
      <c r="AP12" s="6"/>
      <c r="AQ12" s="6"/>
      <c r="AR12" s="6"/>
      <c r="AS12" s="6"/>
      <c r="AT12" s="6"/>
      <c r="AU12" s="6"/>
      <c r="AV12" s="6"/>
      <c r="AW12" s="6"/>
      <c r="AX12" s="6"/>
      <c r="AY12" s="6"/>
    </row>
    <row r="13" spans="1:51" ht="13"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2482</v>
      </c>
      <c r="C16" s="4"/>
      <c r="D16" s="4"/>
      <c r="E16" s="4"/>
      <c r="F16" s="4"/>
      <c r="G16" s="4"/>
      <c r="H16" s="1560" t="s">
        <v>2625</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 customHeight="1"/>
    <row r="18" spans="1:52" ht="13" customHeight="1">
      <c r="A18" s="57" t="s">
        <v>102</v>
      </c>
      <c r="C18" s="4"/>
      <c r="D18" s="4"/>
      <c r="E18" s="4"/>
      <c r="F18" s="4"/>
      <c r="G18" s="4"/>
      <c r="H18" s="1554" t="s">
        <v>2626</v>
      </c>
      <c r="I18" s="1541"/>
      <c r="J18" s="1541"/>
      <c r="K18" s="1541"/>
      <c r="L18" s="1541"/>
      <c r="M18" s="1541"/>
      <c r="N18" s="1541"/>
      <c r="O18" s="1541"/>
      <c r="P18" s="1541"/>
      <c r="Q18" s="1541"/>
      <c r="R18" s="1541"/>
      <c r="S18" s="1541"/>
      <c r="T18" s="1541"/>
      <c r="U18" s="1541"/>
      <c r="V18" s="1541"/>
      <c r="W18" s="1541"/>
      <c r="X18" s="1541"/>
      <c r="Y18" s="1541"/>
      <c r="Z18" s="1541"/>
      <c r="AA18" s="1541"/>
      <c r="AB18" s="1541"/>
      <c r="AC18" s="1541"/>
      <c r="AD18" s="1541"/>
      <c r="AE18" s="1541"/>
      <c r="AF18" s="1541"/>
      <c r="AG18" s="1541"/>
      <c r="AH18" s="1541"/>
      <c r="AI18" s="1541"/>
      <c r="AJ18" s="1541"/>
    </row>
    <row r="19" spans="1:52" ht="13" customHeight="1"/>
    <row r="20" spans="1:52" ht="13" customHeight="1">
      <c r="A20" s="1552" t="s">
        <v>901</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937"/>
      <c r="AN20" s="937"/>
      <c r="AO20" s="937"/>
      <c r="AP20" s="937"/>
      <c r="AQ20" s="937"/>
      <c r="AR20" s="937"/>
      <c r="AS20" s="937"/>
      <c r="AT20" s="937"/>
      <c r="AU20" s="937"/>
      <c r="AV20" s="937"/>
      <c r="AW20" s="937"/>
      <c r="AX20" s="937"/>
      <c r="AY20" s="937"/>
    </row>
    <row r="21" spans="1:52" ht="13" customHeight="1">
      <c r="A21" s="1561" t="s">
        <v>1066</v>
      </c>
      <c r="B21" s="1561"/>
      <c r="C21" s="1561"/>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9">
        <f>'Basis &amp; Credits'!AB56</f>
        <v>519380</v>
      </c>
      <c r="N26" s="1559"/>
      <c r="O26" s="1559"/>
      <c r="P26" s="1559"/>
      <c r="Q26" s="1559"/>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9">
        <f>'Basis &amp; Credits'!AB77</f>
        <v>2828686</v>
      </c>
      <c r="N27" s="1499"/>
      <c r="O27" s="1499"/>
      <c r="P27" s="1499"/>
      <c r="Q27" s="1499"/>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373" t="s">
        <v>554</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549"/>
      <c r="H122" s="1549"/>
      <c r="I122" s="3" t="s">
        <v>182</v>
      </c>
      <c r="L122" s="1549"/>
      <c r="M122" s="1549"/>
      <c r="N122" s="1549"/>
      <c r="O122" s="1566" t="s">
        <v>1426</v>
      </c>
      <c r="P122" s="1566"/>
      <c r="Q122" s="1566"/>
      <c r="R122" s="156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70"/>
      <c r="D124" s="1470"/>
      <c r="E124" s="1470"/>
      <c r="F124" s="1470"/>
      <c r="G124" s="1470"/>
      <c r="H124" s="1470"/>
      <c r="I124" s="1470"/>
      <c r="J124" s="1470"/>
      <c r="K124" s="1470"/>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9"/>
      <c r="Z126" s="1549"/>
      <c r="AA126" s="1549"/>
      <c r="AB126" s="1549"/>
      <c r="AC126" s="1549"/>
      <c r="AD126" s="1549"/>
      <c r="AE126" s="1549"/>
      <c r="AF126" s="1549"/>
      <c r="AG126" s="1549"/>
      <c r="AH126" s="1549"/>
      <c r="AI126" s="1549"/>
      <c r="AJ126" s="1549"/>
      <c r="AK126" s="1549"/>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9"/>
      <c r="Z129" s="1549"/>
      <c r="AA129" s="1549"/>
      <c r="AB129" s="1549"/>
      <c r="AC129" s="1549"/>
      <c r="AD129" s="1549"/>
      <c r="AE129" s="1549"/>
      <c r="AF129" s="1549"/>
      <c r="AG129" s="1549"/>
      <c r="AH129" s="1549"/>
      <c r="AI129" s="1549"/>
      <c r="AJ129" s="1549"/>
      <c r="AK129" s="154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9"/>
      <c r="Z132" s="1549"/>
      <c r="AA132" s="1549"/>
      <c r="AB132" s="1549"/>
      <c r="AC132" s="1549"/>
      <c r="AD132" s="1549"/>
      <c r="AE132" s="1549"/>
      <c r="AF132" s="1549"/>
      <c r="AG132" s="1549"/>
      <c r="AH132" s="1549"/>
      <c r="AI132" s="1549"/>
      <c r="AJ132" s="1549"/>
      <c r="AK132" s="1549"/>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41" t="s">
        <v>2627</v>
      </c>
      <c r="P153" s="1541"/>
      <c r="Q153" s="1541"/>
      <c r="R153" s="1541"/>
      <c r="S153" s="1541"/>
      <c r="T153" s="1541"/>
      <c r="U153" s="1541"/>
      <c r="V153" s="1541"/>
      <c r="W153" s="1541"/>
      <c r="X153" s="1541"/>
      <c r="Y153" s="1541"/>
      <c r="Z153" s="1541"/>
      <c r="AA153" s="1541"/>
      <c r="AB153" s="1541"/>
      <c r="AC153" s="1541"/>
      <c r="AD153" s="1541"/>
      <c r="AE153" s="1541"/>
      <c r="AF153" s="1541"/>
      <c r="AG153" s="1541"/>
      <c r="AH153" s="1541"/>
    </row>
    <row r="154" spans="1:72" ht="13" customHeight="1">
      <c r="D154" s="325" t="s">
        <v>442</v>
      </c>
      <c r="O154" s="1469" t="s">
        <v>2628</v>
      </c>
      <c r="P154" s="1469"/>
      <c r="Q154" s="1469"/>
      <c r="R154" s="1469"/>
      <c r="S154" s="1469"/>
      <c r="T154" s="1469"/>
      <c r="U154" s="1469"/>
      <c r="V154" s="1469"/>
      <c r="W154" s="1469"/>
      <c r="X154" s="1469"/>
      <c r="Y154" s="1469"/>
      <c r="Z154" s="1469"/>
      <c r="AA154" s="1469"/>
      <c r="AB154" s="1469"/>
      <c r="AC154" s="1469"/>
      <c r="AD154" s="1469"/>
      <c r="AE154" s="1469"/>
      <c r="AF154" s="1469"/>
      <c r="AG154" s="1469"/>
      <c r="AH154" s="1469"/>
    </row>
    <row r="155" spans="1:72" ht="13" customHeight="1">
      <c r="D155" s="8" t="s">
        <v>444</v>
      </c>
      <c r="F155" s="8"/>
      <c r="G155" s="8"/>
      <c r="H155" s="8"/>
      <c r="I155" s="8"/>
      <c r="J155" s="8"/>
      <c r="K155" s="8"/>
      <c r="L155" s="8"/>
      <c r="M155" s="8"/>
      <c r="N155" s="8"/>
      <c r="O155" s="1563" t="s">
        <v>443</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3" customHeight="1">
      <c r="D156" t="s">
        <v>314</v>
      </c>
      <c r="O156" s="1394" t="s">
        <v>2629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308</v>
      </c>
    </row>
    <row r="157" spans="1:72" ht="13" customHeight="1">
      <c r="D157" t="s">
        <v>315</v>
      </c>
      <c r="O157" s="1541" t="s">
        <v>2627</v>
      </c>
      <c r="P157" s="1541"/>
      <c r="Q157" s="1541"/>
      <c r="R157" s="1541"/>
      <c r="S157" s="1541"/>
      <c r="T157" s="1541"/>
      <c r="U157" s="1541"/>
      <c r="V157" s="1541"/>
      <c r="W157" s="1541"/>
      <c r="X157" s="1541"/>
      <c r="Y157" s="8"/>
      <c r="Z157" s="8"/>
      <c r="AA157" s="8"/>
      <c r="AB157" s="8"/>
      <c r="AC157" s="8"/>
      <c r="AD157" s="8"/>
      <c r="AE157" s="8"/>
      <c r="AF157" s="8"/>
      <c r="BN157" s="23" t="s">
        <v>645</v>
      </c>
      <c r="BT157" t="s">
        <v>485</v>
      </c>
    </row>
    <row r="158" spans="1:72" ht="13" customHeight="1">
      <c r="D158" t="s">
        <v>316</v>
      </c>
      <c r="O158" s="1564">
        <v>95691</v>
      </c>
      <c r="P158" s="1564"/>
      <c r="Q158" s="1564"/>
      <c r="R158" s="1564"/>
      <c r="S158" s="9"/>
      <c r="T158" s="9"/>
      <c r="U158" s="9"/>
      <c r="V158" s="9"/>
      <c r="W158" s="9"/>
      <c r="X158" s="9"/>
      <c r="Y158" s="9"/>
      <c r="Z158" s="9"/>
      <c r="AA158" s="9"/>
      <c r="AB158" s="9"/>
      <c r="AC158" s="9"/>
      <c r="AD158" s="9"/>
      <c r="AE158" s="9"/>
      <c r="AF158" s="9"/>
      <c r="BN158" s="23" t="s">
        <v>646</v>
      </c>
      <c r="BT158" t="s">
        <v>486</v>
      </c>
    </row>
    <row r="159" spans="1:72" ht="13" customHeight="1">
      <c r="D159" t="s">
        <v>317</v>
      </c>
      <c r="O159" s="1471" t="s">
        <v>2630</v>
      </c>
      <c r="P159" s="1471"/>
      <c r="Q159" s="1471"/>
      <c r="R159" s="1471"/>
      <c r="S159" s="1471"/>
      <c r="T159" s="1471"/>
      <c r="V159" s="97" t="s">
        <v>272</v>
      </c>
      <c r="W159" s="1565"/>
      <c r="X159" s="1565"/>
      <c r="Y159" s="10"/>
      <c r="Z159" s="10"/>
      <c r="AA159" s="10"/>
      <c r="AB159" s="10"/>
      <c r="AC159" s="10"/>
      <c r="AD159" s="10"/>
      <c r="AE159" s="10"/>
      <c r="AF159" s="10"/>
      <c r="BN159" s="23" t="s">
        <v>340</v>
      </c>
      <c r="BT159" t="s">
        <v>487</v>
      </c>
    </row>
    <row r="160" spans="1:72" ht="13" customHeight="1">
      <c r="D160" t="s">
        <v>318</v>
      </c>
      <c r="O160" s="1471" t="s">
        <v>2631</v>
      </c>
      <c r="P160" s="1471"/>
      <c r="Q160" s="1471"/>
      <c r="R160" s="1471"/>
      <c r="S160" s="1471"/>
      <c r="T160" s="1471"/>
      <c r="U160" s="10"/>
      <c r="V160" s="10"/>
      <c r="W160" s="10"/>
      <c r="X160" s="10"/>
      <c r="Y160" s="10"/>
      <c r="Z160" s="10"/>
      <c r="AA160" s="10"/>
      <c r="AB160" s="10"/>
      <c r="AC160" s="10"/>
      <c r="AD160" s="10"/>
      <c r="AE160" s="10"/>
      <c r="AF160" s="10"/>
      <c r="BN160" s="23" t="s">
        <v>669</v>
      </c>
      <c r="BT160" t="s">
        <v>488</v>
      </c>
    </row>
    <row r="161" spans="1:72" ht="13" customHeight="1">
      <c r="D161" t="s">
        <v>319</v>
      </c>
      <c r="O161" s="1472" t="s">
        <v>2632</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73" t="s">
        <v>1387</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682</v>
      </c>
      <c r="BT169" t="s">
        <v>497</v>
      </c>
    </row>
    <row r="170" spans="1:72" ht="13"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562" t="s">
        <v>372</v>
      </c>
      <c r="K173" s="1562"/>
      <c r="L173" s="1562"/>
      <c r="M173" s="1562"/>
      <c r="N173" s="1562"/>
      <c r="O173" s="1562"/>
      <c r="P173" s="1562"/>
      <c r="Q173" s="1562"/>
      <c r="R173" s="1562"/>
      <c r="S173" s="1562"/>
      <c r="U173" s="25"/>
      <c r="X173" s="25"/>
      <c r="BN173" s="23" t="s">
        <v>215</v>
      </c>
      <c r="BT173" t="s">
        <v>501</v>
      </c>
    </row>
    <row r="174" spans="1:72" ht="13" customHeight="1">
      <c r="C174" s="24"/>
      <c r="D174" s="3" t="s">
        <v>1345</v>
      </c>
      <c r="J174" s="1394" t="s">
        <v>2530</v>
      </c>
      <c r="K174" s="1394"/>
      <c r="L174" s="1394"/>
      <c r="M174" s="1394"/>
      <c r="N174" s="1394"/>
      <c r="O174" s="1394"/>
      <c r="P174" s="1394"/>
      <c r="Q174" s="1394"/>
      <c r="R174" s="1394"/>
      <c r="S174" s="1394"/>
      <c r="T174" s="1394"/>
      <c r="U174" s="1394"/>
      <c r="V174" s="1394"/>
      <c r="W174" s="1394"/>
      <c r="X174" s="1394"/>
      <c r="Y174" s="1394"/>
      <c r="Z174" s="1394"/>
      <c r="AA174" s="1394"/>
      <c r="AB174" s="1394"/>
      <c r="BN174" s="23" t="s">
        <v>217</v>
      </c>
      <c r="BT174" t="s">
        <v>502</v>
      </c>
    </row>
    <row r="175" spans="1:72" ht="13" customHeight="1">
      <c r="C175" s="8"/>
      <c r="D175" s="3" t="s">
        <v>323</v>
      </c>
      <c r="O175" s="27"/>
      <c r="U175" s="1373" t="s">
        <v>678</v>
      </c>
      <c r="V175" s="1373"/>
      <c r="BN175" s="23" t="s">
        <v>218</v>
      </c>
      <c r="BT175" t="s">
        <v>503</v>
      </c>
    </row>
    <row r="176" spans="1:72" ht="13" customHeight="1">
      <c r="C176" s="8"/>
      <c r="D176" s="26"/>
      <c r="E176" t="s">
        <v>305</v>
      </c>
      <c r="O176" s="27"/>
      <c r="P176" t="s">
        <v>2502</v>
      </c>
      <c r="T176" s="27" t="s">
        <v>306</v>
      </c>
      <c r="U176" s="1553" t="s">
        <v>600</v>
      </c>
      <c r="V176" s="1553"/>
      <c r="W176" s="1" t="s">
        <v>307</v>
      </c>
      <c r="X176" s="1567" t="s">
        <v>600</v>
      </c>
      <c r="Y176" s="1567"/>
      <c r="BN176" s="23" t="s">
        <v>220</v>
      </c>
      <c r="BT176" t="s">
        <v>504</v>
      </c>
    </row>
    <row r="177" spans="1:72" ht="13" customHeight="1">
      <c r="C177" s="24"/>
      <c r="D177" t="s">
        <v>250</v>
      </c>
      <c r="R177" s="1373" t="s">
        <v>678</v>
      </c>
      <c r="S177" s="1373"/>
      <c r="BN177" s="23" t="s">
        <v>221</v>
      </c>
      <c r="BT177" t="s">
        <v>505</v>
      </c>
    </row>
    <row r="178" spans="1:72" ht="13" customHeight="1">
      <c r="C178" s="24"/>
      <c r="D178" s="3" t="s">
        <v>1346</v>
      </c>
      <c r="AA178" t="s">
        <v>2502</v>
      </c>
      <c r="AE178" s="27" t="s">
        <v>306</v>
      </c>
      <c r="AF178" s="1738" t="s">
        <v>2633</v>
      </c>
      <c r="AG178" s="1739"/>
      <c r="AH178" s="1" t="s">
        <v>307</v>
      </c>
      <c r="AI178" s="1474" t="s">
        <v>678</v>
      </c>
      <c r="AJ178" s="1474"/>
      <c r="AK178" s="1474"/>
      <c r="BN178" s="23" t="s">
        <v>222</v>
      </c>
      <c r="BT178" t="s">
        <v>53</v>
      </c>
    </row>
    <row r="179" spans="1:72" ht="13" customHeight="1">
      <c r="C179" s="24"/>
      <c r="BN179" s="23" t="s">
        <v>223</v>
      </c>
      <c r="BT179" t="s">
        <v>54</v>
      </c>
    </row>
    <row r="180" spans="1:72" ht="13" customHeight="1">
      <c r="C180" s="24"/>
      <c r="D180" t="s">
        <v>2503</v>
      </c>
      <c r="X180" s="1373" t="s">
        <v>678</v>
      </c>
      <c r="Y180" s="1373"/>
      <c r="BN180" s="23" t="s">
        <v>225</v>
      </c>
      <c r="BT180" t="s">
        <v>55</v>
      </c>
    </row>
    <row r="181" spans="1:72" ht="13" customHeight="1">
      <c r="C181" s="8"/>
      <c r="E181" s="4" t="s">
        <v>1016</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518" t="str">
        <f>H18</f>
        <v>219-221 5th Street</v>
      </c>
      <c r="J184" s="1518"/>
      <c r="K184" s="1518"/>
      <c r="L184" s="1518"/>
      <c r="M184" s="1518"/>
      <c r="N184" s="1518"/>
      <c r="O184" s="1518"/>
      <c r="P184" s="1518"/>
      <c r="Q184" s="1518"/>
      <c r="R184" s="1518"/>
      <c r="S184" s="1518"/>
      <c r="T184" s="1518"/>
      <c r="U184" s="1518"/>
      <c r="V184" s="1518"/>
      <c r="W184" s="1518"/>
      <c r="X184" s="1518"/>
      <c r="Y184" s="1518"/>
      <c r="Z184" s="1518"/>
      <c r="AA184" s="1518"/>
      <c r="AB184" s="1518"/>
      <c r="AC184" s="1518"/>
      <c r="AD184" s="1518"/>
      <c r="AE184" s="1518"/>
      <c r="BC184" t="s">
        <v>596</v>
      </c>
      <c r="BN184" s="23" t="s">
        <v>231</v>
      </c>
      <c r="BT184" t="s">
        <v>62</v>
      </c>
    </row>
    <row r="185" spans="1:72" ht="13" customHeight="1">
      <c r="C185" s="21"/>
      <c r="D185" t="s">
        <v>588</v>
      </c>
      <c r="I185" s="1366" t="s">
        <v>2634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3" customHeight="1">
      <c r="C186" s="21"/>
      <c r="E186" t="s">
        <v>168</v>
      </c>
      <c r="BN186" s="23" t="s">
        <v>233</v>
      </c>
      <c r="BT186" t="s">
        <v>64</v>
      </c>
    </row>
    <row r="187" spans="1:72" ht="13" customHeight="1">
      <c r="C187" s="21"/>
      <c r="E187" s="1447" t="s">
        <v>600</v>
      </c>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234</v>
      </c>
      <c r="BT187" t="s">
        <v>65</v>
      </c>
    </row>
    <row r="188" spans="1:72" ht="13"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236</v>
      </c>
      <c r="BT188" t="s">
        <v>66</v>
      </c>
    </row>
    <row r="189" spans="1:72" ht="13" customHeight="1">
      <c r="C189" s="21"/>
      <c r="D189" t="s">
        <v>589</v>
      </c>
      <c r="I189" s="1394" t="s">
        <v>2627</v>
      </c>
      <c r="J189" s="1394"/>
      <c r="K189" s="1394"/>
      <c r="L189" s="1394"/>
      <c r="M189" s="1394"/>
      <c r="N189" s="1394"/>
      <c r="O189" s="1394"/>
      <c r="P189" s="1394"/>
      <c r="Q189" t="s">
        <v>591</v>
      </c>
      <c r="T189" s="1394" t="s">
        <v>205</v>
      </c>
      <c r="U189" s="1394"/>
      <c r="V189" s="1394"/>
      <c r="W189" s="1394"/>
      <c r="X189" s="1394"/>
      <c r="Y189" s="1394"/>
      <c r="Z189" s="1394"/>
      <c r="AA189" s="1394"/>
      <c r="AB189" s="1394"/>
      <c r="AC189" s="1394"/>
      <c r="AD189" s="1394"/>
      <c r="AE189" s="1394"/>
      <c r="BC189" t="s">
        <v>308</v>
      </c>
      <c r="BH189" s="3" t="s">
        <v>600</v>
      </c>
      <c r="BN189" s="23" t="s">
        <v>237</v>
      </c>
      <c r="BT189" t="s">
        <v>67</v>
      </c>
    </row>
    <row r="190" spans="1:72" ht="13" customHeight="1">
      <c r="C190" s="21"/>
      <c r="D190" t="s">
        <v>592</v>
      </c>
      <c r="I190" s="1366">
        <v>95605</v>
      </c>
      <c r="J190" s="1366"/>
      <c r="K190" s="1366"/>
      <c r="L190" s="1366"/>
      <c r="M190" s="1366"/>
      <c r="N190" s="1366"/>
      <c r="O190" t="s">
        <v>594</v>
      </c>
      <c r="T190" s="1555" t="s">
        <v>2635</v>
      </c>
      <c r="U190" s="1555"/>
      <c r="V190" s="1555"/>
      <c r="W190" s="1555"/>
      <c r="X190" s="1555"/>
      <c r="Y190" s="1555"/>
      <c r="Z190" s="1555"/>
      <c r="AA190" s="1555"/>
      <c r="AB190" s="1555"/>
      <c r="AC190" s="1555"/>
      <c r="AD190" s="1555"/>
      <c r="AE190" s="1555"/>
      <c r="BC190" t="s">
        <v>1102</v>
      </c>
      <c r="BH190" t="s">
        <v>1102</v>
      </c>
      <c r="BN190" s="23" t="s">
        <v>644</v>
      </c>
      <c r="BT190" t="s">
        <v>68</v>
      </c>
    </row>
    <row r="191" spans="1:72" ht="13" customHeight="1">
      <c r="C191" s="21"/>
      <c r="D191" t="s">
        <v>471</v>
      </c>
      <c r="N191" s="1447" t="s">
        <v>2636</v>
      </c>
      <c r="O191" s="1447"/>
      <c r="P191" s="1447"/>
      <c r="Q191" s="1447"/>
      <c r="R191" s="1447"/>
      <c r="S191" s="1447"/>
      <c r="T191" s="1447"/>
      <c r="U191" s="1447"/>
      <c r="V191" s="1447"/>
      <c r="W191" s="1447"/>
      <c r="X191" s="1447"/>
      <c r="Y191" s="1447"/>
      <c r="Z191" s="1447"/>
      <c r="AA191" s="1447"/>
      <c r="AB191" s="1447"/>
      <c r="AC191" s="1447"/>
      <c r="AD191" s="1447"/>
      <c r="AE191" s="1447"/>
      <c r="BC191" t="s">
        <v>1101</v>
      </c>
      <c r="BH191" t="s">
        <v>1101</v>
      </c>
      <c r="BN191" s="23" t="s">
        <v>698</v>
      </c>
      <c r="BT191" t="s">
        <v>739</v>
      </c>
    </row>
    <row r="192" spans="1:72" ht="13"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1104</v>
      </c>
      <c r="BH192" s="3" t="s">
        <v>1808</v>
      </c>
      <c r="BN192" s="23" t="s">
        <v>699</v>
      </c>
      <c r="BT192" t="s">
        <v>740</v>
      </c>
    </row>
    <row r="193" spans="1:74" ht="13" customHeight="1">
      <c r="C193" s="21"/>
      <c r="D193" t="s">
        <v>2504</v>
      </c>
      <c r="M193" s="40"/>
      <c r="N193" s="930"/>
      <c r="O193" s="930"/>
      <c r="P193" s="930"/>
      <c r="Q193" s="930"/>
      <c r="R193" s="930"/>
      <c r="S193" s="930"/>
      <c r="T193" s="1570" t="s">
        <v>2637</v>
      </c>
      <c r="U193" s="1570"/>
      <c r="V193" s="1570"/>
      <c r="W193" s="1570"/>
      <c r="X193" s="1570"/>
      <c r="Y193" s="1570"/>
      <c r="Z193" s="1570"/>
      <c r="AA193" s="1570"/>
      <c r="AB193" s="1570"/>
      <c r="AC193" s="1570"/>
      <c r="AD193" s="1570"/>
      <c r="AE193" s="1570"/>
      <c r="AF193" s="1570"/>
      <c r="AG193" s="1570"/>
      <c r="AH193" s="1570"/>
      <c r="AI193" s="1570"/>
      <c r="BC193" t="s">
        <v>1103</v>
      </c>
      <c r="BH193" s="3" t="s">
        <v>1809</v>
      </c>
      <c r="BN193" s="23" t="s">
        <v>700</v>
      </c>
      <c r="BT193" t="s">
        <v>741</v>
      </c>
    </row>
    <row r="194" spans="1:74" ht="13" customHeight="1">
      <c r="C194" s="21"/>
      <c r="D194" t="s">
        <v>332</v>
      </c>
      <c r="T194" s="1373" t="s">
        <v>678</v>
      </c>
      <c r="U194" s="1373"/>
      <c r="W194" t="s">
        <v>694</v>
      </c>
      <c r="AH194" s="1373">
        <v>6</v>
      </c>
      <c r="AI194" s="1373"/>
      <c r="BC194" t="s">
        <v>1537</v>
      </c>
      <c r="BN194" s="23" t="s">
        <v>701</v>
      </c>
      <c r="BT194" t="s">
        <v>742</v>
      </c>
    </row>
    <row r="195" spans="1:74" ht="13" customHeight="1">
      <c r="C195" s="21"/>
      <c r="D195" t="s">
        <v>387</v>
      </c>
      <c r="T195" s="1355" t="s">
        <v>554</v>
      </c>
      <c r="U195" s="1355"/>
      <c r="W195" t="s">
        <v>695</v>
      </c>
      <c r="AH195" s="1373">
        <v>7</v>
      </c>
      <c r="AI195" s="1373"/>
      <c r="BC195" t="s">
        <v>2120</v>
      </c>
      <c r="BN195" s="23" t="s">
        <v>243</v>
      </c>
      <c r="BT195" t="s">
        <v>743</v>
      </c>
    </row>
    <row r="196" spans="1:74" ht="13" customHeight="1">
      <c r="C196" s="21"/>
      <c r="D196" s="3" t="s">
        <v>169</v>
      </c>
      <c r="T196" s="1355" t="s">
        <v>678</v>
      </c>
      <c r="U196" s="1355"/>
      <c r="W196" t="s">
        <v>696</v>
      </c>
      <c r="AH196" s="1373">
        <v>6</v>
      </c>
      <c r="AI196" s="1373"/>
      <c r="BN196" s="23" t="s">
        <v>244</v>
      </c>
      <c r="BT196" t="s">
        <v>69</v>
      </c>
    </row>
    <row r="197" spans="1:74" ht="13" customHeight="1">
      <c r="C197" s="21"/>
      <c r="D197" s="3" t="s">
        <v>1833</v>
      </c>
      <c r="T197" s="1462" t="s">
        <v>600</v>
      </c>
      <c r="U197" s="1355"/>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2505</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 customHeight="1">
      <c r="A202" s="2" t="s">
        <v>595</v>
      </c>
      <c r="C202" s="2" t="s">
        <v>137</v>
      </c>
      <c r="BC202" t="s">
        <v>1128</v>
      </c>
      <c r="BD202" s="470"/>
      <c r="BN202" s="23" t="s">
        <v>711</v>
      </c>
      <c r="BO202" s="14"/>
      <c r="BP202" s="32"/>
      <c r="BQ202" s="32"/>
      <c r="BR202" s="32"/>
      <c r="BS202" s="32"/>
      <c r="BT202" s="32" t="s">
        <v>196</v>
      </c>
    </row>
    <row r="203" spans="1:74" ht="13" customHeight="1">
      <c r="D203" s="1518" t="s">
        <v>386</v>
      </c>
      <c r="E203" s="1518"/>
      <c r="F203" s="1518"/>
      <c r="G203" s="1518"/>
      <c r="H203" s="1518"/>
      <c r="I203" s="1518"/>
      <c r="J203" s="1518"/>
      <c r="K203" s="1518"/>
      <c r="L203" s="1518"/>
      <c r="M203" s="1518"/>
      <c r="P203" s="1550">
        <f>M26</f>
        <v>519380</v>
      </c>
      <c r="Q203" s="1551"/>
      <c r="R203" s="1551"/>
      <c r="S203" s="1551"/>
      <c r="T203" s="1551"/>
      <c r="U203" s="1551"/>
      <c r="Z203" s="1572" t="s">
        <v>2638</v>
      </c>
      <c r="AA203" s="1572"/>
      <c r="AB203" s="1572"/>
      <c r="AC203" s="1572"/>
      <c r="AD203" s="1572"/>
      <c r="AE203" s="1572"/>
      <c r="AF203" s="1572"/>
      <c r="BC203" t="s">
        <v>1129</v>
      </c>
      <c r="BN203" s="23" t="s">
        <v>712</v>
      </c>
      <c r="BO203" s="14"/>
      <c r="BP203" s="32"/>
      <c r="BQ203" s="32"/>
      <c r="BR203" s="32"/>
      <c r="BS203" s="32"/>
      <c r="BT203" s="32" t="s">
        <v>197</v>
      </c>
    </row>
    <row r="204" spans="1:74" ht="13" customHeight="1">
      <c r="C204" s="21"/>
      <c r="D204" s="1571" t="s">
        <v>1403</v>
      </c>
      <c r="E204" s="1518"/>
      <c r="F204" s="1518"/>
      <c r="G204" s="1518"/>
      <c r="H204" s="1518"/>
      <c r="I204" s="1518"/>
      <c r="J204" s="1518"/>
      <c r="K204" s="1518"/>
      <c r="L204" s="1518"/>
      <c r="M204" s="1518"/>
      <c r="P204" s="1551">
        <f>M27</f>
        <v>2828686</v>
      </c>
      <c r="Q204" s="1551"/>
      <c r="R204" s="1551"/>
      <c r="S204" s="1551"/>
      <c r="T204" s="1551"/>
      <c r="U204" s="1551"/>
      <c r="V204" s="28"/>
      <c r="W204" s="3" t="s">
        <v>1981</v>
      </c>
      <c r="Z204" s="1572"/>
      <c r="AA204" s="1572"/>
      <c r="AB204" s="1572"/>
      <c r="AC204" s="1572"/>
      <c r="AD204" s="1572"/>
      <c r="AE204" s="1572"/>
      <c r="AF204" s="1572"/>
      <c r="AG204" t="s">
        <v>1404</v>
      </c>
      <c r="AP204" s="1373" t="s">
        <v>678</v>
      </c>
      <c r="AQ204" s="1373"/>
      <c r="BC204" t="s">
        <v>619</v>
      </c>
      <c r="BN204" s="23" t="s">
        <v>713</v>
      </c>
      <c r="BT204" s="32" t="s">
        <v>198</v>
      </c>
      <c r="BU204" s="14"/>
    </row>
    <row r="205" spans="1:74" ht="13" customHeight="1">
      <c r="D205" s="29"/>
      <c r="E205" s="29"/>
      <c r="F205" s="29"/>
      <c r="G205" s="29"/>
      <c r="H205" s="29"/>
      <c r="I205" s="29"/>
      <c r="J205" s="29"/>
      <c r="K205" s="29"/>
      <c r="L205" s="29"/>
      <c r="M205" s="29"/>
      <c r="N205" s="29"/>
      <c r="O205" s="29"/>
      <c r="P205" s="29"/>
      <c r="Z205" s="1573"/>
      <c r="AA205" s="1573"/>
      <c r="AB205" s="1573"/>
      <c r="AC205" s="1573"/>
      <c r="AD205" s="1573"/>
      <c r="AE205" s="1573"/>
      <c r="AF205" s="1573"/>
      <c r="BC205" t="s">
        <v>1087</v>
      </c>
      <c r="BN205" s="23" t="s">
        <v>110</v>
      </c>
      <c r="BT205" s="32" t="s">
        <v>174</v>
      </c>
      <c r="BU205" s="14"/>
    </row>
    <row r="206" spans="1:74" ht="13" customHeight="1">
      <c r="A206" s="2" t="s">
        <v>598</v>
      </c>
      <c r="C206" s="2" t="s">
        <v>560</v>
      </c>
      <c r="BC206" s="471" t="s">
        <v>1130</v>
      </c>
      <c r="BN206" s="23" t="s">
        <v>111</v>
      </c>
      <c r="BT206" s="32" t="s">
        <v>199</v>
      </c>
      <c r="BU206" s="14"/>
    </row>
    <row r="207" spans="1:74" ht="13" customHeight="1">
      <c r="C207" s="21"/>
      <c r="D207" s="1541" t="s">
        <v>2639</v>
      </c>
      <c r="E207" s="1541"/>
      <c r="F207" s="1541"/>
      <c r="G207" s="1541"/>
      <c r="H207" s="1541"/>
      <c r="I207" s="1541"/>
      <c r="J207" s="1541"/>
      <c r="K207" s="1541"/>
      <c r="L207" s="1541"/>
      <c r="M207" s="1541"/>
      <c r="BC207" s="3" t="s">
        <v>1360</v>
      </c>
      <c r="BN207" s="23" t="s">
        <v>45</v>
      </c>
      <c r="BT207" s="32" t="s">
        <v>200</v>
      </c>
    </row>
    <row r="208" spans="1:74" ht="13" customHeight="1">
      <c r="BC208" t="s">
        <v>1131</v>
      </c>
      <c r="BN208" s="23" t="s">
        <v>46</v>
      </c>
      <c r="BT208" s="32" t="s">
        <v>201</v>
      </c>
    </row>
    <row r="209" spans="1:72" ht="13" customHeight="1">
      <c r="A209" s="2" t="s">
        <v>599</v>
      </c>
      <c r="C209" s="2" t="s">
        <v>389</v>
      </c>
      <c r="BC209" t="s">
        <v>668</v>
      </c>
      <c r="BN209" s="23" t="s">
        <v>47</v>
      </c>
      <c r="BT209" s="32" t="s">
        <v>202</v>
      </c>
    </row>
    <row r="210" spans="1:72" ht="13" customHeight="1">
      <c r="C210" s="21"/>
      <c r="D210" s="1541" t="s">
        <v>2120</v>
      </c>
      <c r="E210" s="1541"/>
      <c r="F210" s="1541"/>
      <c r="G210" s="1541"/>
      <c r="H210" s="1541"/>
      <c r="I210" s="1541"/>
      <c r="J210" s="1541"/>
      <c r="K210" s="1541"/>
      <c r="L210" s="1541"/>
      <c r="M210" s="1541"/>
      <c r="BN210" s="23" t="s">
        <v>48</v>
      </c>
      <c r="BT210" s="32" t="s">
        <v>203</v>
      </c>
    </row>
    <row r="211" spans="1:72" ht="13" customHeight="1">
      <c r="C211" s="21"/>
      <c r="D211" t="s">
        <v>1393</v>
      </c>
      <c r="Y211" s="1373"/>
      <c r="Z211" s="1373"/>
      <c r="AB211" s="1568">
        <f>IFERROR(Y211/AG439,"")</f>
        <v>0</v>
      </c>
      <c r="AC211" s="1569"/>
      <c r="BN211" s="23" t="s">
        <v>130</v>
      </c>
      <c r="BT211" s="32" t="s">
        <v>131</v>
      </c>
    </row>
    <row r="212" spans="1:72" ht="13" customHeight="1">
      <c r="D212" s="1198" t="s">
        <v>1807</v>
      </c>
      <c r="BC212" t="s">
        <v>308</v>
      </c>
      <c r="BN212" s="23" t="s">
        <v>49</v>
      </c>
      <c r="BT212" s="32" t="s">
        <v>204</v>
      </c>
    </row>
    <row r="213" spans="1:72" ht="13" customHeight="1">
      <c r="D213" s="1463" t="s">
        <v>600</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535</v>
      </c>
      <c r="BN213" s="23" t="s">
        <v>50</v>
      </c>
      <c r="BT213" s="32" t="s">
        <v>205</v>
      </c>
    </row>
    <row r="214" spans="1:72" ht="13" customHeight="1">
      <c r="D214" s="3" t="s">
        <v>1834</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1832</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41" t="s">
        <v>1130</v>
      </c>
      <c r="E219" s="1541"/>
      <c r="F219" s="1541"/>
      <c r="G219" s="1541"/>
      <c r="H219" s="1541"/>
      <c r="I219" s="1541"/>
      <c r="J219" s="1541"/>
      <c r="K219" s="1541"/>
      <c r="L219" s="1541"/>
      <c r="M219" s="1541"/>
      <c r="N219" s="1541"/>
      <c r="O219" s="1541"/>
      <c r="P219" s="1541"/>
      <c r="Q219" s="1541"/>
      <c r="R219" s="1541"/>
      <c r="S219" s="1541"/>
      <c r="T219" s="1541"/>
      <c r="U219" s="1541"/>
      <c r="V219" s="1541"/>
      <c r="W219" s="1541"/>
      <c r="X219" s="1541"/>
      <c r="Y219" s="1541"/>
      <c r="Z219" s="1541"/>
      <c r="AZ219" s="3"/>
      <c r="BA219" s="3"/>
      <c r="BC219" t="s">
        <v>378</v>
      </c>
    </row>
    <row r="220" spans="1:72" ht="13" customHeight="1">
      <c r="A220" s="2"/>
      <c r="B220" s="14"/>
      <c r="C220" s="2"/>
      <c r="BA220" s="3"/>
      <c r="BC220" t="s">
        <v>301</v>
      </c>
    </row>
    <row r="221" spans="1:72" ht="13" customHeight="1">
      <c r="A221" s="1442" t="s">
        <v>549</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3"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554</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554</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56" t="str">
        <f>H16</f>
        <v>Brinshore Development L.L.C.</v>
      </c>
      <c r="N231" s="1556"/>
      <c r="O231" s="1556"/>
      <c r="P231" s="1556"/>
      <c r="Q231" s="1556"/>
      <c r="R231" s="1556"/>
      <c r="S231" s="1556"/>
      <c r="T231" s="1556"/>
      <c r="U231" s="1556"/>
      <c r="V231" s="1556"/>
      <c r="W231" s="1556"/>
      <c r="X231" s="1556"/>
      <c r="Y231" s="1556"/>
      <c r="Z231" s="1556"/>
      <c r="AA231" s="1556"/>
      <c r="AB231" s="1556"/>
      <c r="AC231" s="1556"/>
      <c r="AD231" s="1556"/>
      <c r="AE231" s="1556"/>
      <c r="AF231" s="1556"/>
      <c r="AG231" s="1556"/>
      <c r="AH231" s="1556"/>
      <c r="AI231" s="1556"/>
      <c r="AJ231" s="1556"/>
      <c r="AK231" s="1556"/>
      <c r="BA231" s="3"/>
      <c r="BB231" s="218"/>
      <c r="BG231" s="218"/>
      <c r="BQ231" s="34"/>
    </row>
    <row r="232" spans="1:69" ht="13" customHeight="1">
      <c r="D232" s="4" t="s">
        <v>86</v>
      </c>
      <c r="E232" s="4"/>
      <c r="F232" s="4"/>
      <c r="G232" s="4"/>
      <c r="H232" s="4"/>
      <c r="I232" s="4"/>
      <c r="J232" s="4"/>
      <c r="K232" s="4"/>
      <c r="M232" s="1541" t="s">
        <v>2640</v>
      </c>
      <c r="N232" s="1541"/>
      <c r="O232" s="1541"/>
      <c r="P232" s="1541"/>
      <c r="Q232" s="1541"/>
      <c r="R232" s="1541"/>
      <c r="S232" s="1541"/>
      <c r="T232" s="1541"/>
      <c r="U232" s="1541"/>
      <c r="V232" s="1541"/>
      <c r="W232" s="1541"/>
      <c r="X232" s="1541"/>
      <c r="Y232" s="1541"/>
      <c r="Z232" s="1541"/>
      <c r="AA232" s="1541"/>
      <c r="AB232" s="1541"/>
      <c r="AC232" s="1541"/>
      <c r="AD232" s="1541"/>
      <c r="AE232" s="1541"/>
      <c r="AZ232" s="4"/>
      <c r="BA232" s="3"/>
      <c r="BB232" s="219" t="s">
        <v>547</v>
      </c>
      <c r="BG232" s="259">
        <f>IF(AND(AND($M$248="nonprofit",$M$256="nonprofit",$M$264="for profit")),2,0)</f>
        <v>0</v>
      </c>
      <c r="BQ232" s="34"/>
    </row>
    <row r="233" spans="1:69">
      <c r="D233" s="4" t="s">
        <v>589</v>
      </c>
      <c r="E233" s="4"/>
      <c r="M233" s="1469" t="s">
        <v>2641</v>
      </c>
      <c r="N233" s="1469"/>
      <c r="O233" s="1469"/>
      <c r="P233" s="1469"/>
      <c r="Q233" s="1469"/>
      <c r="R233" s="1469"/>
      <c r="S233" s="1469"/>
      <c r="T233" s="1469"/>
      <c r="V233" s="33" t="s">
        <v>87</v>
      </c>
      <c r="W233" s="1469" t="s">
        <v>2642</v>
      </c>
      <c r="X233" s="1469"/>
      <c r="Y233" s="4" t="s">
        <v>592</v>
      </c>
      <c r="AC233" s="1541">
        <v>60201</v>
      </c>
      <c r="AD233" s="1541"/>
      <c r="AE233" s="1541"/>
      <c r="BB233" s="219" t="s">
        <v>547</v>
      </c>
      <c r="BG233" s="259">
        <f>IF(AND(AND($M$248="nonprofit",$M$256="for profit",$M$264="nonprofit")),2,0)</f>
        <v>0</v>
      </c>
    </row>
    <row r="234" spans="1:69" ht="13" customHeight="1">
      <c r="D234" s="4" t="s">
        <v>88</v>
      </c>
      <c r="E234" s="4"/>
      <c r="F234" s="4"/>
      <c r="G234" s="4"/>
      <c r="H234" s="4"/>
      <c r="I234" s="4"/>
      <c r="J234" s="4"/>
      <c r="K234" s="19"/>
      <c r="M234" s="1541" t="s">
        <v>2643</v>
      </c>
      <c r="N234" s="1541"/>
      <c r="O234" s="1541"/>
      <c r="P234" s="1541"/>
      <c r="Q234" s="1541"/>
      <c r="R234" s="1541"/>
      <c r="S234" s="1541"/>
      <c r="T234" s="1541"/>
      <c r="U234" s="1541"/>
      <c r="V234" s="1541"/>
      <c r="W234" s="1541"/>
      <c r="X234" s="1541"/>
      <c r="Y234" s="1541"/>
      <c r="Z234" s="1541"/>
      <c r="AA234" s="1541"/>
      <c r="AB234" s="1541"/>
      <c r="AC234" s="1541"/>
      <c r="AD234" s="1541"/>
      <c r="AE234" s="1541"/>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438" t="s">
        <v>2644</v>
      </c>
      <c r="N235" s="1438"/>
      <c r="O235" s="1438"/>
      <c r="P235" s="1438"/>
      <c r="Q235" s="1438"/>
      <c r="R235" s="1438"/>
      <c r="S235" s="4" t="s">
        <v>207</v>
      </c>
      <c r="T235" s="4"/>
      <c r="U235" s="1469"/>
      <c r="V235" s="1469"/>
      <c r="W235" s="1469"/>
      <c r="X235" s="4" t="s">
        <v>90</v>
      </c>
      <c r="Z235" s="1438"/>
      <c r="AA235" s="1438"/>
      <c r="AB235" s="1438"/>
      <c r="AC235" s="1438"/>
      <c r="AD235" s="1438"/>
      <c r="AE235" s="1438"/>
      <c r="BB235" s="219"/>
      <c r="BG235" s="218"/>
    </row>
    <row r="236" spans="1:69" ht="13" customHeight="1">
      <c r="D236" s="4" t="s">
        <v>91</v>
      </c>
      <c r="E236" s="4"/>
      <c r="F236" s="4"/>
      <c r="M236" s="1472" t="s">
        <v>2645</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535</v>
      </c>
      <c r="N237" s="1366"/>
      <c r="O237" s="1366"/>
      <c r="P237" s="1366"/>
      <c r="Q237" s="1366"/>
      <c r="R237" s="1366"/>
      <c r="S237" s="1366"/>
      <c r="T237" s="1366"/>
      <c r="U237" s="218" t="s">
        <v>939</v>
      </c>
      <c r="V237" s="218"/>
      <c r="W237" s="218"/>
      <c r="X237" s="218"/>
      <c r="Y237" s="218"/>
      <c r="Z237" s="218"/>
      <c r="AA237" s="1540" t="s">
        <v>2625</v>
      </c>
      <c r="AB237" s="1540"/>
      <c r="AC237" s="1540"/>
      <c r="AD237" s="1540"/>
      <c r="AE237" s="1540"/>
      <c r="AF237" s="1540"/>
      <c r="AG237" s="1540"/>
      <c r="AH237" s="1540"/>
      <c r="AI237" s="1540"/>
      <c r="AJ237" s="1540"/>
      <c r="AK237" s="1540"/>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4" t="s">
        <v>600</v>
      </c>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43" t="s">
        <v>2625</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2646</v>
      </c>
      <c r="AG242" s="1543"/>
      <c r="AH242" s="1543"/>
      <c r="AI242" s="1543"/>
      <c r="AJ242" s="1543"/>
      <c r="AK242" s="1543"/>
      <c r="BO242" s="34"/>
      <c r="BP242" s="4"/>
      <c r="BQ242" s="4"/>
      <c r="BR242" s="4"/>
      <c r="BS242" s="4"/>
    </row>
    <row r="243" spans="1:71" ht="13" customHeight="1">
      <c r="A243" s="19"/>
      <c r="B243" s="4"/>
      <c r="C243" s="4"/>
      <c r="D243" s="4" t="s">
        <v>86</v>
      </c>
      <c r="E243" s="4"/>
      <c r="F243" s="4"/>
      <c r="G243" s="4"/>
      <c r="H243" s="4"/>
      <c r="I243" s="4"/>
      <c r="J243" s="4"/>
      <c r="K243" s="4"/>
      <c r="L243" s="4"/>
      <c r="M243" s="1541" t="s">
        <v>2640</v>
      </c>
      <c r="N243" s="1541"/>
      <c r="O243" s="1541"/>
      <c r="P243" s="1541"/>
      <c r="Q243" s="1541"/>
      <c r="R243" s="1541"/>
      <c r="S243" s="1541"/>
      <c r="T243" s="1541"/>
      <c r="U243" s="1541"/>
      <c r="V243" s="1541"/>
      <c r="W243" s="1541"/>
      <c r="X243" s="1541"/>
      <c r="Y243" s="1541"/>
      <c r="Z243" s="1541"/>
      <c r="AA243" s="1541"/>
      <c r="AB243" s="1541"/>
      <c r="AC243" s="1541"/>
      <c r="AD243" s="1541"/>
      <c r="AE243" s="1541"/>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41" t="s">
        <v>2641</v>
      </c>
      <c r="N244" s="1541"/>
      <c r="O244" s="1541"/>
      <c r="P244" s="1541"/>
      <c r="Q244" s="1541"/>
      <c r="R244" s="1541"/>
      <c r="S244" s="1541"/>
      <c r="T244" s="1541"/>
      <c r="V244" s="33" t="s">
        <v>87</v>
      </c>
      <c r="W244" s="1469" t="s">
        <v>2642</v>
      </c>
      <c r="X244" s="1469"/>
      <c r="Y244" s="4" t="s">
        <v>592</v>
      </c>
      <c r="AC244" s="1554" t="s">
        <v>2647</v>
      </c>
      <c r="AD244" s="1541"/>
      <c r="AE244" s="1541"/>
      <c r="AF244" s="3" t="s">
        <v>1323</v>
      </c>
      <c r="BB244" t="s">
        <v>308</v>
      </c>
      <c r="BG244">
        <v>1</v>
      </c>
      <c r="BH244" t="s">
        <v>543</v>
      </c>
    </row>
    <row r="245" spans="1:71" ht="13" customHeight="1">
      <c r="A245" s="19"/>
      <c r="B245" s="4"/>
      <c r="C245" s="4"/>
      <c r="D245" s="4" t="s">
        <v>88</v>
      </c>
      <c r="E245" s="4"/>
      <c r="F245" s="4"/>
      <c r="G245" s="4"/>
      <c r="H245" s="4"/>
      <c r="I245" s="4"/>
      <c r="J245" s="4"/>
      <c r="K245" s="4"/>
      <c r="L245" s="19"/>
      <c r="M245" s="1541" t="s">
        <v>2643</v>
      </c>
      <c r="N245" s="1541"/>
      <c r="O245" s="1541"/>
      <c r="P245" s="1541"/>
      <c r="Q245" s="1541"/>
      <c r="R245" s="1541"/>
      <c r="S245" s="1541"/>
      <c r="T245" s="1541"/>
      <c r="U245" s="1541"/>
      <c r="V245" s="1541"/>
      <c r="W245" s="1541"/>
      <c r="X245" s="1541"/>
      <c r="Y245" s="1541"/>
      <c r="Z245" s="1541"/>
      <c r="AA245" s="1541"/>
      <c r="AB245" s="1541"/>
      <c r="AC245" s="1541"/>
      <c r="AD245" s="1541"/>
      <c r="AE245" s="1541"/>
      <c r="AH245" s="1435">
        <v>90</v>
      </c>
      <c r="AI245" s="1435"/>
      <c r="AJ245" s="1435"/>
      <c r="AK245" s="1435"/>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438" t="s">
        <v>2644</v>
      </c>
      <c r="N246" s="1438"/>
      <c r="O246" s="1438"/>
      <c r="P246" s="1438"/>
      <c r="Q246" s="1438"/>
      <c r="R246" s="1438"/>
      <c r="S246" s="4" t="s">
        <v>207</v>
      </c>
      <c r="T246" s="4"/>
      <c r="U246" s="1469"/>
      <c r="V246" s="1469"/>
      <c r="W246" s="1469"/>
      <c r="X246" s="4" t="s">
        <v>90</v>
      </c>
      <c r="Z246" s="1438"/>
      <c r="AA246" s="1438"/>
      <c r="AB246" s="1438"/>
      <c r="AC246" s="1438"/>
      <c r="AD246" s="1438"/>
      <c r="AE246" s="1438"/>
      <c r="BB246" s="4" t="s">
        <v>173</v>
      </c>
      <c r="BG246">
        <v>3</v>
      </c>
      <c r="BH246" t="s">
        <v>545</v>
      </c>
      <c r="BN246" s="34"/>
    </row>
    <row r="247" spans="1:71" ht="13" customHeight="1">
      <c r="A247" s="19"/>
      <c r="B247" s="4"/>
      <c r="C247" s="4"/>
      <c r="D247" s="4" t="s">
        <v>91</v>
      </c>
      <c r="E247" s="4"/>
      <c r="F247" s="4"/>
      <c r="M247" s="1472" t="s">
        <v>2645</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40" t="s">
        <v>2625</v>
      </c>
      <c r="AB248" s="1540"/>
      <c r="AC248" s="1540"/>
      <c r="AD248" s="1540"/>
      <c r="AE248" s="1540"/>
      <c r="AF248" s="1540"/>
      <c r="AG248" s="1540"/>
      <c r="AH248" s="1540"/>
      <c r="AI248" s="1540"/>
      <c r="AJ248" s="1540"/>
      <c r="AK248" s="1540"/>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43" t="s">
        <v>2648</v>
      </c>
      <c r="N250" s="1543"/>
      <c r="O250" s="1543"/>
      <c r="P250" s="1543"/>
      <c r="Q250" s="1543"/>
      <c r="R250" s="1543"/>
      <c r="S250" s="1543"/>
      <c r="T250" s="1543"/>
      <c r="U250" s="1543"/>
      <c r="V250" s="1543"/>
      <c r="W250" s="1543"/>
      <c r="X250" s="1543"/>
      <c r="Y250" s="1543"/>
      <c r="Z250" s="1543"/>
      <c r="AA250" s="1543"/>
      <c r="AB250" s="1543"/>
      <c r="AC250" s="1543"/>
      <c r="AD250" s="1543"/>
      <c r="AE250" s="1543"/>
      <c r="AF250" s="1543" t="s">
        <v>2649</v>
      </c>
      <c r="AG250" s="1543"/>
      <c r="AH250" s="1543"/>
      <c r="AI250" s="1543"/>
      <c r="AJ250" s="1543"/>
      <c r="AK250" s="1543"/>
      <c r="BN250" s="34"/>
    </row>
    <row r="251" spans="1:71" ht="13" customHeight="1">
      <c r="A251" s="19"/>
      <c r="B251" s="4"/>
      <c r="C251" s="4"/>
      <c r="D251" s="4" t="s">
        <v>86</v>
      </c>
      <c r="E251" s="4"/>
      <c r="F251" s="4"/>
      <c r="G251" s="4"/>
      <c r="H251" s="4"/>
      <c r="I251" s="4"/>
      <c r="J251" s="4"/>
      <c r="K251" s="4"/>
      <c r="L251" s="4"/>
      <c r="M251" s="1541" t="s">
        <v>2650</v>
      </c>
      <c r="N251" s="1541"/>
      <c r="O251" s="1541"/>
      <c r="P251" s="1541"/>
      <c r="Q251" s="1541"/>
      <c r="R251" s="1541"/>
      <c r="S251" s="1541"/>
      <c r="T251" s="1541"/>
      <c r="U251" s="1541"/>
      <c r="V251" s="1541"/>
      <c r="W251" s="1541"/>
      <c r="X251" s="1541"/>
      <c r="Y251" s="1541"/>
      <c r="Z251" s="1541"/>
      <c r="AA251" s="1541"/>
      <c r="AB251" s="1541"/>
      <c r="AC251" s="1541"/>
      <c r="AD251" s="1541"/>
      <c r="AE251" s="1541"/>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41" t="s">
        <v>2651</v>
      </c>
      <c r="N252" s="1541"/>
      <c r="O252" s="1541"/>
      <c r="P252" s="1541"/>
      <c r="Q252" s="1541"/>
      <c r="R252" s="1541"/>
      <c r="S252" s="1541"/>
      <c r="T252" s="1541"/>
      <c r="V252" s="33" t="s">
        <v>87</v>
      </c>
      <c r="W252" s="1469" t="s">
        <v>2655</v>
      </c>
      <c r="X252" s="1469"/>
      <c r="Y252" s="4" t="s">
        <v>592</v>
      </c>
      <c r="AC252" s="1541">
        <v>90250</v>
      </c>
      <c r="AD252" s="1541"/>
      <c r="AE252" s="1541"/>
      <c r="AF252" s="3" t="s">
        <v>1323</v>
      </c>
      <c r="BN252" s="34"/>
    </row>
    <row r="253" spans="1:71" ht="13" customHeight="1">
      <c r="A253" s="19"/>
      <c r="B253" s="4"/>
      <c r="C253" s="4"/>
      <c r="D253" s="4" t="s">
        <v>88</v>
      </c>
      <c r="E253" s="4"/>
      <c r="F253" s="4"/>
      <c r="G253" s="4"/>
      <c r="H253" s="4"/>
      <c r="I253" s="4"/>
      <c r="J253" s="4"/>
      <c r="K253" s="4"/>
      <c r="L253" s="19"/>
      <c r="M253" s="1541" t="s">
        <v>2652</v>
      </c>
      <c r="N253" s="1541"/>
      <c r="O253" s="1541"/>
      <c r="P253" s="1541"/>
      <c r="Q253" s="1541"/>
      <c r="R253" s="1541"/>
      <c r="S253" s="1541"/>
      <c r="T253" s="1541"/>
      <c r="U253" s="1541"/>
      <c r="V253" s="1541"/>
      <c r="W253" s="1541"/>
      <c r="X253" s="1541"/>
      <c r="Y253" s="1541"/>
      <c r="Z253" s="1541"/>
      <c r="AA253" s="1541"/>
      <c r="AB253" s="1541"/>
      <c r="AC253" s="1541"/>
      <c r="AD253" s="1541"/>
      <c r="AE253" s="1541"/>
      <c r="AH253" s="1435">
        <v>10</v>
      </c>
      <c r="AI253" s="1435"/>
      <c r="AJ253" s="1435"/>
      <c r="AK253" s="1435"/>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8" t="s">
        <v>2653</v>
      </c>
      <c r="N254" s="1438"/>
      <c r="O254" s="1438"/>
      <c r="P254" s="1438"/>
      <c r="Q254" s="1438"/>
      <c r="R254" s="1438"/>
      <c r="S254" s="4" t="s">
        <v>207</v>
      </c>
      <c r="T254" s="4"/>
      <c r="U254" s="1469"/>
      <c r="V254" s="1469"/>
      <c r="W254" s="1469"/>
      <c r="X254" s="4" t="s">
        <v>90</v>
      </c>
      <c r="Z254" s="1438"/>
      <c r="AA254" s="1438"/>
      <c r="AB254" s="1438"/>
      <c r="AC254" s="1438"/>
      <c r="AD254" s="1438"/>
      <c r="AE254" s="1438"/>
    </row>
    <row r="255" spans="1:71" ht="13" customHeight="1">
      <c r="A255" s="19"/>
      <c r="B255" s="4"/>
      <c r="C255" s="4"/>
      <c r="D255" s="4" t="s">
        <v>91</v>
      </c>
      <c r="E255" s="4"/>
      <c r="F255" s="4"/>
      <c r="M255" s="1472" t="s">
        <v>2654</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40" t="s">
        <v>2648</v>
      </c>
      <c r="AB256" s="1540"/>
      <c r="AC256" s="1540"/>
      <c r="AD256" s="1540"/>
      <c r="AE256" s="1540"/>
      <c r="AF256" s="1540"/>
      <c r="AG256" s="1540"/>
      <c r="AH256" s="1540"/>
      <c r="AI256" s="1540"/>
      <c r="AJ256" s="1540"/>
      <c r="AK256" s="1540"/>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308</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41"/>
      <c r="N260" s="1541"/>
      <c r="O260" s="1541"/>
      <c r="P260" s="1541"/>
      <c r="Q260" s="1541"/>
      <c r="R260" s="1541"/>
      <c r="S260" s="1541"/>
      <c r="T260" s="1541"/>
      <c r="V260" s="33" t="s">
        <v>87</v>
      </c>
      <c r="W260" s="1469"/>
      <c r="X260" s="1469"/>
      <c r="Y260" s="4" t="s">
        <v>592</v>
      </c>
      <c r="AC260" s="1541"/>
      <c r="AD260" s="1541"/>
      <c r="AE260" s="1541"/>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1"/>
      <c r="N261" s="1541"/>
      <c r="O261" s="1541"/>
      <c r="P261" s="1541"/>
      <c r="Q261" s="1541"/>
      <c r="R261" s="1541"/>
      <c r="S261" s="1541"/>
      <c r="T261" s="1541"/>
      <c r="U261" s="1541"/>
      <c r="V261" s="1541"/>
      <c r="W261" s="1541"/>
      <c r="X261" s="1541"/>
      <c r="Y261" s="1541"/>
      <c r="Z261" s="1541"/>
      <c r="AA261" s="1541"/>
      <c r="AB261" s="1541"/>
      <c r="AC261" s="1541"/>
      <c r="AD261" s="1541"/>
      <c r="AE261" s="1541"/>
      <c r="AH261" s="1435"/>
      <c r="AI261" s="1435"/>
      <c r="AJ261" s="1435"/>
      <c r="AK261" s="1435"/>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8"/>
      <c r="N262" s="1438"/>
      <c r="O262" s="1438"/>
      <c r="P262" s="1438"/>
      <c r="Q262" s="1438"/>
      <c r="R262" s="1438"/>
      <c r="S262" s="4" t="s">
        <v>207</v>
      </c>
      <c r="T262" s="4"/>
      <c r="U262" s="1469"/>
      <c r="V262" s="1469"/>
      <c r="W262" s="1469"/>
      <c r="X262" s="4" t="s">
        <v>90</v>
      </c>
      <c r="Z262" s="1438"/>
      <c r="AA262" s="1438"/>
      <c r="AB262" s="1438"/>
      <c r="AC262" s="1438"/>
      <c r="AD262" s="1438"/>
      <c r="AE262" s="1438"/>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48"/>
      <c r="AB263" s="1548"/>
      <c r="AC263" s="1548"/>
      <c r="AD263" s="1548"/>
      <c r="AE263" s="154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574"/>
      <c r="AB264" s="1574"/>
      <c r="AC264" s="1574"/>
      <c r="AD264" s="1574"/>
      <c r="AE264" s="1574"/>
      <c r="AF264" s="1574"/>
      <c r="AG264" s="1574"/>
      <c r="AH264" s="1574"/>
      <c r="AI264" s="1574"/>
      <c r="AJ264" s="1574"/>
      <c r="AK264" s="157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547" t="str">
        <f>BO245</f>
        <v>Joint Venture</v>
      </c>
      <c r="U266" s="1547"/>
      <c r="V266" s="1547"/>
      <c r="W266" s="1547"/>
      <c r="X266" s="1547"/>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41" t="s">
        <v>281</v>
      </c>
      <c r="E269" s="1541"/>
      <c r="F269" s="1541"/>
      <c r="G269" s="1541"/>
      <c r="H269" s="1541"/>
      <c r="J269" t="s">
        <v>280</v>
      </c>
      <c r="X269" s="1544" t="s">
        <v>600</v>
      </c>
      <c r="Y269" s="1545"/>
      <c r="Z269" s="1545"/>
      <c r="AA269" s="1545"/>
      <c r="AB269" s="1545"/>
      <c r="AC269" s="1545"/>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543" t="s">
        <v>2625</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41" t="s">
        <v>2640</v>
      </c>
      <c r="M274" s="1541"/>
      <c r="N274" s="1541"/>
      <c r="O274" s="1541"/>
      <c r="P274" s="1541"/>
      <c r="Q274" s="1541"/>
      <c r="R274" s="1541"/>
      <c r="S274" s="1541"/>
      <c r="T274" s="1541"/>
      <c r="U274" s="1541"/>
      <c r="V274" s="1541"/>
      <c r="W274" s="1541"/>
      <c r="X274" s="1541"/>
      <c r="Y274" s="1541"/>
      <c r="Z274" s="1541"/>
      <c r="AA274" s="1541"/>
      <c r="AB274" s="1541"/>
      <c r="AC274" s="1541"/>
      <c r="AD274" s="1541"/>
      <c r="AK274" s="3"/>
      <c r="AL274" s="3"/>
      <c r="AM274" s="3"/>
      <c r="AN274" s="3"/>
      <c r="AO274" s="3"/>
      <c r="AP274" s="3"/>
      <c r="AQ274" s="3"/>
      <c r="AR274" s="3"/>
      <c r="AS274" s="3"/>
      <c r="AT274" s="3"/>
      <c r="AU274" s="3"/>
      <c r="AV274" s="3"/>
      <c r="AW274" s="3"/>
      <c r="AX274" s="3"/>
      <c r="AY274" s="3"/>
      <c r="BN274" s="34"/>
    </row>
    <row r="275" spans="1:66" ht="13" customHeight="1">
      <c r="D275" s="4" t="s">
        <v>589</v>
      </c>
      <c r="E275" s="4"/>
      <c r="L275" s="1541" t="s">
        <v>2641</v>
      </c>
      <c r="M275" s="1541"/>
      <c r="N275" s="1541"/>
      <c r="O275" s="1541"/>
      <c r="P275" s="1541"/>
      <c r="Q275" s="1541"/>
      <c r="R275" s="1541"/>
      <c r="S275" s="1541"/>
      <c r="U275" s="33" t="s">
        <v>87</v>
      </c>
      <c r="V275" s="1468" t="s">
        <v>2656</v>
      </c>
      <c r="W275" s="1469"/>
      <c r="X275" s="4" t="s">
        <v>592</v>
      </c>
      <c r="AB275" s="1541">
        <v>60201</v>
      </c>
      <c r="AC275" s="1541"/>
      <c r="AD275" s="1541"/>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41" t="s">
        <v>2643</v>
      </c>
      <c r="M276" s="1541"/>
      <c r="N276" s="1541"/>
      <c r="O276" s="1541"/>
      <c r="P276" s="1541"/>
      <c r="Q276" s="1541"/>
      <c r="R276" s="1541"/>
      <c r="S276" s="1541"/>
      <c r="T276" s="1541"/>
      <c r="U276" s="1541"/>
      <c r="V276" s="1541"/>
      <c r="W276" s="1541"/>
      <c r="X276" s="1541"/>
      <c r="Y276" s="1541"/>
      <c r="Z276" s="1541"/>
      <c r="AA276" s="1541"/>
      <c r="AB276" s="1541"/>
      <c r="AC276" s="1541"/>
      <c r="AD276" s="1541"/>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75" t="s">
        <v>2657</v>
      </c>
      <c r="M277" s="1438"/>
      <c r="N277" s="1438"/>
      <c r="O277" s="1438"/>
      <c r="P277" s="1438"/>
      <c r="Q277" s="1438"/>
      <c r="R277" s="4" t="s">
        <v>207</v>
      </c>
      <c r="S277" s="4"/>
      <c r="T277" s="1469"/>
      <c r="U277" s="1469"/>
      <c r="V277" s="1469"/>
      <c r="W277" s="4" t="s">
        <v>90</v>
      </c>
      <c r="Y277" s="1438"/>
      <c r="Z277" s="1438"/>
      <c r="AA277" s="1438"/>
      <c r="AB277" s="1438"/>
      <c r="AC277" s="1438"/>
      <c r="AD277" s="1438"/>
      <c r="BN277" s="34"/>
    </row>
    <row r="278" spans="1:66" ht="13" customHeight="1">
      <c r="D278" s="4" t="s">
        <v>91</v>
      </c>
      <c r="E278" s="4"/>
      <c r="F278" s="4"/>
      <c r="L278" s="1472" t="s">
        <v>2645</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632</v>
      </c>
      <c r="E279" s="3"/>
      <c r="F279" s="3"/>
      <c r="G279" s="3"/>
      <c r="H279" s="3"/>
      <c r="I279" s="3"/>
      <c r="L279" s="1468" t="s">
        <v>2658</v>
      </c>
      <c r="M279" s="1468"/>
      <c r="N279" s="1468"/>
      <c r="O279" s="1468"/>
      <c r="P279" s="1468"/>
      <c r="Q279" s="1468"/>
      <c r="R279" s="1468"/>
      <c r="S279" s="1468"/>
      <c r="T279" s="1468"/>
      <c r="U279" s="1468"/>
      <c r="V279" s="1468"/>
      <c r="W279" s="1468"/>
      <c r="X279" s="1468"/>
      <c r="Y279" s="1468"/>
      <c r="Z279" s="1468"/>
      <c r="AA279" s="1468"/>
      <c r="AB279" s="1468"/>
      <c r="AC279" s="1468"/>
      <c r="AD279" s="1468"/>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2" t="s">
        <v>550</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3"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4" t="s">
        <v>2625</v>
      </c>
      <c r="I286" s="1394"/>
      <c r="J286" s="1394"/>
      <c r="K286" s="1394"/>
      <c r="L286" s="1394"/>
      <c r="M286" s="1394"/>
      <c r="N286" s="1394"/>
      <c r="O286" s="1394"/>
      <c r="P286" s="1394"/>
      <c r="Q286" s="1394"/>
      <c r="R286" s="1394"/>
      <c r="T286" s="3" t="s">
        <v>576</v>
      </c>
      <c r="V286" s="3"/>
      <c r="W286" s="3"/>
      <c r="X286" s="3"/>
      <c r="Y286" s="3"/>
      <c r="AA286" s="1546" t="s">
        <v>2659</v>
      </c>
      <c r="AB286" s="1546"/>
      <c r="AC286" s="1546"/>
      <c r="AD286" s="1546"/>
      <c r="AE286" s="1546"/>
      <c r="AF286" s="1546"/>
      <c r="AG286" s="1546"/>
      <c r="AH286" s="1546"/>
      <c r="AI286" s="1546"/>
      <c r="AJ286" s="1546"/>
      <c r="AK286" s="1546"/>
      <c r="BN286" s="34"/>
    </row>
    <row r="287" spans="1:66" ht="13" customHeight="1">
      <c r="B287" s="3" t="s">
        <v>480</v>
      </c>
      <c r="C287" s="3"/>
      <c r="D287" s="3"/>
      <c r="E287" s="3"/>
      <c r="F287" s="3"/>
      <c r="H287" s="1366" t="s">
        <v>2640</v>
      </c>
      <c r="I287" s="1366"/>
      <c r="J287" s="1366"/>
      <c r="K287" s="1366"/>
      <c r="L287" s="1366"/>
      <c r="M287" s="1366"/>
      <c r="N287" s="1366"/>
      <c r="O287" s="1366"/>
      <c r="P287" s="1366"/>
      <c r="Q287" s="1366"/>
      <c r="R287" s="1366"/>
      <c r="T287" s="3" t="s">
        <v>480</v>
      </c>
      <c r="V287" s="3"/>
      <c r="W287" s="3"/>
      <c r="X287" s="3"/>
      <c r="Y287" s="3"/>
      <c r="AA287" s="1366" t="s">
        <v>2663</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66" t="s">
        <v>2660</v>
      </c>
      <c r="I288" s="1366"/>
      <c r="J288" s="1366"/>
      <c r="K288" s="1366"/>
      <c r="L288" s="1366"/>
      <c r="M288" s="1366"/>
      <c r="N288" s="1366"/>
      <c r="O288" s="1366"/>
      <c r="P288" s="1366"/>
      <c r="Q288" s="1366"/>
      <c r="R288" s="1366"/>
      <c r="T288" s="3" t="s">
        <v>76</v>
      </c>
      <c r="V288" s="3"/>
      <c r="W288" s="3"/>
      <c r="X288" s="3"/>
      <c r="Y288" s="3"/>
      <c r="AA288" s="1366" t="s">
        <v>2664</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2661</v>
      </c>
      <c r="I289" s="1366"/>
      <c r="J289" s="1366"/>
      <c r="K289" s="1366"/>
      <c r="L289" s="1366"/>
      <c r="M289" s="1366"/>
      <c r="N289" s="1366"/>
      <c r="O289" s="1366"/>
      <c r="P289" s="1366"/>
      <c r="Q289" s="1366"/>
      <c r="R289" s="1366"/>
      <c r="T289" s="3" t="s">
        <v>88</v>
      </c>
      <c r="V289" s="3"/>
      <c r="W289" s="3"/>
      <c r="X289" s="3"/>
      <c r="Y289" s="3"/>
      <c r="AA289" s="1366" t="s">
        <v>2665</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542" t="s">
        <v>2644</v>
      </c>
      <c r="I290" s="1542"/>
      <c r="J290" s="1542"/>
      <c r="K290" s="1542"/>
      <c r="L290" s="1542"/>
      <c r="M290" s="1542"/>
      <c r="N290" s="4" t="s">
        <v>207</v>
      </c>
      <c r="O290" s="4"/>
      <c r="P290" s="1541"/>
      <c r="Q290" s="1541"/>
      <c r="R290" s="1541"/>
      <c r="S290" s="3"/>
      <c r="T290" s="3" t="s">
        <v>89</v>
      </c>
      <c r="V290" s="3"/>
      <c r="W290" s="3"/>
      <c r="X290" s="3"/>
      <c r="Y290" s="3"/>
      <c r="AA290" s="1542" t="s">
        <v>2666</v>
      </c>
      <c r="AB290" s="1542"/>
      <c r="AC290" s="1542"/>
      <c r="AD290" s="1542"/>
      <c r="AE290" s="1542"/>
      <c r="AF290" s="1542"/>
      <c r="AG290" s="4" t="s">
        <v>207</v>
      </c>
      <c r="AH290" s="4"/>
      <c r="AI290" s="1541"/>
      <c r="AJ290" s="1541"/>
      <c r="AK290" s="1541"/>
      <c r="BN290" s="34"/>
    </row>
    <row r="291" spans="2:66" ht="13" customHeight="1">
      <c r="B291" s="3" t="s">
        <v>90</v>
      </c>
      <c r="C291" s="3"/>
      <c r="D291" s="3"/>
      <c r="E291" s="3"/>
      <c r="F291" s="3"/>
      <c r="G291" s="3"/>
      <c r="H291" s="1438"/>
      <c r="I291" s="1438"/>
      <c r="J291" s="1438"/>
      <c r="K291" s="1438"/>
      <c r="L291" s="1438"/>
      <c r="M291" s="1438"/>
      <c r="N291" s="4"/>
      <c r="O291" s="4"/>
      <c r="P291" s="35"/>
      <c r="Q291" s="35"/>
      <c r="R291" s="35"/>
      <c r="S291" s="3"/>
      <c r="T291" s="3" t="s">
        <v>90</v>
      </c>
      <c r="V291" s="3"/>
      <c r="W291" s="3"/>
      <c r="X291" s="3"/>
      <c r="Y291" s="3"/>
      <c r="AA291" s="1438"/>
      <c r="AB291" s="1438"/>
      <c r="AC291" s="1438"/>
      <c r="AD291" s="1438"/>
      <c r="AE291" s="1438"/>
      <c r="AF291" s="1438"/>
      <c r="AG291" s="4"/>
      <c r="AH291" s="4"/>
      <c r="AI291" s="35"/>
      <c r="AJ291" s="35"/>
      <c r="AK291" s="35"/>
      <c r="BN291" s="34"/>
    </row>
    <row r="292" spans="2:66" ht="13" customHeight="1">
      <c r="B292" s="3" t="s">
        <v>77</v>
      </c>
      <c r="C292" s="3"/>
      <c r="D292" s="3"/>
      <c r="E292" s="3"/>
      <c r="F292" s="3"/>
      <c r="G292" s="3"/>
      <c r="H292" s="1468" t="s">
        <v>2662</v>
      </c>
      <c r="I292" s="1366"/>
      <c r="J292" s="1366"/>
      <c r="K292" s="1366"/>
      <c r="L292" s="1366"/>
      <c r="M292" s="1366"/>
      <c r="N292" s="1394"/>
      <c r="O292" s="1394"/>
      <c r="P292" s="1394"/>
      <c r="Q292" s="1394"/>
      <c r="R292" s="1394"/>
      <c r="S292" s="3"/>
      <c r="T292" s="3" t="s">
        <v>77</v>
      </c>
      <c r="V292" s="3"/>
      <c r="W292" s="3"/>
      <c r="X292" s="3"/>
      <c r="Y292" s="3"/>
      <c r="AA292" s="1366" t="s">
        <v>2667</v>
      </c>
      <c r="AB292" s="1366"/>
      <c r="AC292" s="1366"/>
      <c r="AD292" s="1366"/>
      <c r="AE292" s="1366"/>
      <c r="AF292" s="1366"/>
      <c r="AG292" s="1394"/>
      <c r="AH292" s="1394"/>
      <c r="AI292" s="1394"/>
      <c r="AJ292" s="1394"/>
      <c r="AK292" s="139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94" t="s">
        <v>2668</v>
      </c>
      <c r="I294" s="1394"/>
      <c r="J294" s="1394"/>
      <c r="K294" s="1394"/>
      <c r="L294" s="1394"/>
      <c r="M294" s="1394"/>
      <c r="N294" s="1394"/>
      <c r="O294" s="1394"/>
      <c r="P294" s="1394"/>
      <c r="Q294" s="1394"/>
      <c r="R294" s="1394"/>
      <c r="T294" s="3" t="s">
        <v>365</v>
      </c>
      <c r="V294" s="3"/>
      <c r="W294" s="3"/>
      <c r="X294" s="3"/>
      <c r="Y294" s="3"/>
      <c r="AA294" s="1394" t="s">
        <v>2674</v>
      </c>
      <c r="AB294" s="1394"/>
      <c r="AC294" s="1394"/>
      <c r="AD294" s="1394"/>
      <c r="AE294" s="1394"/>
      <c r="AF294" s="1394"/>
      <c r="AG294" s="1394"/>
      <c r="AH294" s="1394"/>
      <c r="AI294" s="1394"/>
      <c r="AJ294" s="1394"/>
      <c r="AK294" s="1394"/>
      <c r="BN294" s="34"/>
    </row>
    <row r="295" spans="2:66" ht="13" customHeight="1">
      <c r="B295" s="3" t="s">
        <v>480</v>
      </c>
      <c r="C295" s="3"/>
      <c r="D295" s="3"/>
      <c r="E295" s="3"/>
      <c r="F295" s="3"/>
      <c r="H295" s="1366" t="s">
        <v>2669</v>
      </c>
      <c r="I295" s="1366"/>
      <c r="J295" s="1366"/>
      <c r="K295" s="1366"/>
      <c r="L295" s="1366"/>
      <c r="M295" s="1366"/>
      <c r="N295" s="1366"/>
      <c r="O295" s="1366"/>
      <c r="P295" s="1366"/>
      <c r="Q295" s="1366"/>
      <c r="R295" s="1366"/>
      <c r="T295" s="3" t="s">
        <v>480</v>
      </c>
      <c r="V295" s="3"/>
      <c r="W295" s="3"/>
      <c r="X295" s="3"/>
      <c r="Y295" s="3"/>
      <c r="AA295" s="1366" t="s">
        <v>2675</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66" t="s">
        <v>2670</v>
      </c>
      <c r="I296" s="1366"/>
      <c r="J296" s="1366"/>
      <c r="K296" s="1366"/>
      <c r="L296" s="1366"/>
      <c r="M296" s="1366"/>
      <c r="N296" s="1366"/>
      <c r="O296" s="1366"/>
      <c r="P296" s="1366"/>
      <c r="Q296" s="1366"/>
      <c r="R296" s="1366"/>
      <c r="T296" s="3" t="s">
        <v>76</v>
      </c>
      <c r="V296" s="3"/>
      <c r="W296" s="3"/>
      <c r="X296" s="3"/>
      <c r="Y296" s="3"/>
      <c r="AA296" s="1366" t="s">
        <v>2676</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66" t="s">
        <v>2671</v>
      </c>
      <c r="I297" s="1366"/>
      <c r="J297" s="1366"/>
      <c r="K297" s="1366"/>
      <c r="L297" s="1366"/>
      <c r="M297" s="1366"/>
      <c r="N297" s="1366"/>
      <c r="O297" s="1366"/>
      <c r="P297" s="1366"/>
      <c r="Q297" s="1366"/>
      <c r="R297" s="1366"/>
      <c r="T297" s="3" t="s">
        <v>88</v>
      </c>
      <c r="V297" s="3"/>
      <c r="W297" s="3"/>
      <c r="X297" s="3"/>
      <c r="Y297" s="3"/>
      <c r="AA297" s="1366" t="s">
        <v>2677</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542" t="s">
        <v>2672</v>
      </c>
      <c r="I298" s="1542"/>
      <c r="J298" s="1542"/>
      <c r="K298" s="1542"/>
      <c r="L298" s="1542"/>
      <c r="M298" s="1542"/>
      <c r="N298" s="4" t="s">
        <v>207</v>
      </c>
      <c r="O298" s="4"/>
      <c r="P298" s="1541"/>
      <c r="Q298" s="1541"/>
      <c r="R298" s="1541"/>
      <c r="S298" s="3"/>
      <c r="T298" s="3" t="s">
        <v>89</v>
      </c>
      <c r="V298" s="3"/>
      <c r="W298" s="3"/>
      <c r="X298" s="3"/>
      <c r="Y298" s="3"/>
      <c r="AA298" s="1542" t="s">
        <v>2678</v>
      </c>
      <c r="AB298" s="1542"/>
      <c r="AC298" s="1542"/>
      <c r="AD298" s="1542"/>
      <c r="AE298" s="1542"/>
      <c r="AF298" s="1542"/>
      <c r="AG298" s="4" t="s">
        <v>207</v>
      </c>
      <c r="AH298" s="4"/>
      <c r="AI298" s="1541"/>
      <c r="AJ298" s="1541"/>
      <c r="AK298" s="1541"/>
      <c r="BN298" s="34"/>
    </row>
    <row r="299" spans="2:66" ht="13" customHeight="1">
      <c r="B299" s="3" t="s">
        <v>90</v>
      </c>
      <c r="C299" s="3"/>
      <c r="D299" s="3"/>
      <c r="E299" s="3"/>
      <c r="F299" s="3"/>
      <c r="G299" s="3"/>
      <c r="H299" s="1438"/>
      <c r="I299" s="1438"/>
      <c r="J299" s="1438"/>
      <c r="K299" s="1438"/>
      <c r="L299" s="1438"/>
      <c r="M299" s="1438"/>
      <c r="N299" s="4"/>
      <c r="O299" s="4"/>
      <c r="P299" s="35"/>
      <c r="Q299" s="35"/>
      <c r="R299" s="35"/>
      <c r="S299" s="3"/>
      <c r="T299" s="3" t="s">
        <v>90</v>
      </c>
      <c r="V299" s="3"/>
      <c r="W299" s="3"/>
      <c r="X299" s="3"/>
      <c r="Y299" s="3"/>
      <c r="AA299" s="1438"/>
      <c r="AB299" s="1438"/>
      <c r="AC299" s="1438"/>
      <c r="AD299" s="1438"/>
      <c r="AE299" s="1438"/>
      <c r="AF299" s="1438"/>
      <c r="AG299" s="4"/>
      <c r="AH299" s="4"/>
      <c r="AI299" s="35"/>
      <c r="AJ299" s="35"/>
      <c r="AK299" s="35"/>
      <c r="BN299" s="34"/>
    </row>
    <row r="300" spans="2:66" ht="13" customHeight="1">
      <c r="B300" s="3" t="s">
        <v>77</v>
      </c>
      <c r="C300" s="3"/>
      <c r="D300" s="3"/>
      <c r="E300" s="3"/>
      <c r="F300" s="3"/>
      <c r="G300" s="3"/>
      <c r="H300" s="1366" t="s">
        <v>2673</v>
      </c>
      <c r="I300" s="1366"/>
      <c r="J300" s="1366"/>
      <c r="K300" s="1366"/>
      <c r="L300" s="1366"/>
      <c r="M300" s="1366"/>
      <c r="N300" s="1394"/>
      <c r="O300" s="1394"/>
      <c r="P300" s="1394"/>
      <c r="Q300" s="1394"/>
      <c r="R300" s="1394"/>
      <c r="S300" s="3"/>
      <c r="T300" s="3" t="s">
        <v>77</v>
      </c>
      <c r="V300" s="3"/>
      <c r="W300" s="3"/>
      <c r="X300" s="3"/>
      <c r="Y300" s="3"/>
      <c r="AA300" s="1366" t="s">
        <v>2679</v>
      </c>
      <c r="AB300" s="1366"/>
      <c r="AC300" s="1366"/>
      <c r="AD300" s="1366"/>
      <c r="AE300" s="1366"/>
      <c r="AF300" s="1366"/>
      <c r="AG300" s="1394"/>
      <c r="AH300" s="1394"/>
      <c r="AI300" s="1394"/>
      <c r="AJ300" s="1394"/>
      <c r="AK300" s="1394"/>
      <c r="BN300" s="34"/>
    </row>
    <row r="301" spans="2:66" ht="13" customHeight="1">
      <c r="BN301" s="34"/>
    </row>
    <row r="302" spans="2:66" ht="13" customHeight="1">
      <c r="B302" s="3" t="s">
        <v>78</v>
      </c>
      <c r="C302" s="3"/>
      <c r="D302" s="3"/>
      <c r="E302" s="3"/>
      <c r="F302" s="3"/>
      <c r="H302" s="1394" t="s">
        <v>2680</v>
      </c>
      <c r="I302" s="1394"/>
      <c r="J302" s="1394"/>
      <c r="K302" s="1394"/>
      <c r="L302" s="1394"/>
      <c r="M302" s="1394"/>
      <c r="N302" s="1394"/>
      <c r="O302" s="1394"/>
      <c r="P302" s="1394"/>
      <c r="Q302" s="1394"/>
      <c r="R302" s="1394"/>
      <c r="T302" s="4" t="s">
        <v>907</v>
      </c>
      <c r="V302" s="3"/>
      <c r="W302" s="3"/>
      <c r="X302" s="3"/>
      <c r="Y302" s="3"/>
      <c r="AA302" s="1394" t="s">
        <v>2684</v>
      </c>
      <c r="AB302" s="1394"/>
      <c r="AC302" s="1394"/>
      <c r="AD302" s="1394"/>
      <c r="AE302" s="1394"/>
      <c r="AF302" s="1394"/>
      <c r="AG302" s="1394"/>
      <c r="AH302" s="1394"/>
      <c r="AI302" s="1394"/>
      <c r="AJ302" s="1394"/>
      <c r="AK302" s="1394"/>
      <c r="BN302" s="34"/>
    </row>
    <row r="303" spans="2:66" ht="13" customHeight="1">
      <c r="B303" s="3" t="s">
        <v>480</v>
      </c>
      <c r="C303" s="3"/>
      <c r="D303" s="3"/>
      <c r="E303" s="3"/>
      <c r="F303" s="3"/>
      <c r="H303" s="1366" t="s">
        <v>2681</v>
      </c>
      <c r="I303" s="1366"/>
      <c r="J303" s="1366"/>
      <c r="K303" s="1366"/>
      <c r="L303" s="1366"/>
      <c r="M303" s="1366"/>
      <c r="N303" s="1366"/>
      <c r="O303" s="1366"/>
      <c r="P303" s="1366"/>
      <c r="Q303" s="1366"/>
      <c r="R303" s="1366"/>
      <c r="T303" s="3" t="s">
        <v>480</v>
      </c>
      <c r="V303" s="3"/>
      <c r="W303" s="3"/>
      <c r="X303" s="3"/>
      <c r="Y303" s="3"/>
      <c r="AA303" s="1366" t="s">
        <v>2685</v>
      </c>
      <c r="AB303" s="1366"/>
      <c r="AC303" s="1366"/>
      <c r="AD303" s="1366"/>
      <c r="AE303" s="1366"/>
      <c r="AF303" s="1366"/>
      <c r="AG303" s="1366"/>
      <c r="AH303" s="1366"/>
      <c r="AI303" s="1366"/>
      <c r="AJ303" s="1366"/>
      <c r="AK303" s="1366"/>
      <c r="BN303" s="34"/>
    </row>
    <row r="304" spans="2:66" ht="13" customHeight="1">
      <c r="B304" s="3" t="s">
        <v>481</v>
      </c>
      <c r="C304" s="3"/>
      <c r="D304" s="3"/>
      <c r="E304" s="3"/>
      <c r="F304" s="3"/>
      <c r="H304" s="1366" t="s">
        <v>2682</v>
      </c>
      <c r="I304" s="1366"/>
      <c r="J304" s="1366"/>
      <c r="K304" s="1366"/>
      <c r="L304" s="1366"/>
      <c r="M304" s="1366"/>
      <c r="N304" s="1366"/>
      <c r="O304" s="1366"/>
      <c r="P304" s="1366"/>
      <c r="Q304" s="1366"/>
      <c r="R304" s="1366"/>
      <c r="T304" s="3" t="s">
        <v>76</v>
      </c>
      <c r="V304" s="3"/>
      <c r="W304" s="3"/>
      <c r="X304" s="3"/>
      <c r="Y304" s="3"/>
      <c r="AA304" s="1366" t="s">
        <v>2686</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2683</v>
      </c>
      <c r="I305" s="1366"/>
      <c r="J305" s="1366"/>
      <c r="K305" s="1366"/>
      <c r="L305" s="1366"/>
      <c r="M305" s="1366"/>
      <c r="N305" s="1366"/>
      <c r="O305" s="1366"/>
      <c r="P305" s="1366"/>
      <c r="Q305" s="1366"/>
      <c r="R305" s="1366"/>
      <c r="T305" s="3" t="s">
        <v>88</v>
      </c>
      <c r="V305" s="3"/>
      <c r="W305" s="3"/>
      <c r="X305" s="3"/>
      <c r="Y305" s="3"/>
      <c r="AA305" s="1366" t="s">
        <v>2687</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42" t="s">
        <v>2688</v>
      </c>
      <c r="I306" s="1542"/>
      <c r="J306" s="1542"/>
      <c r="K306" s="1542"/>
      <c r="L306" s="1542"/>
      <c r="M306" s="1542"/>
      <c r="N306" s="4" t="s">
        <v>207</v>
      </c>
      <c r="O306" s="4"/>
      <c r="P306" s="1541"/>
      <c r="Q306" s="1541"/>
      <c r="R306" s="1541"/>
      <c r="S306" s="3"/>
      <c r="T306" s="3" t="s">
        <v>89</v>
      </c>
      <c r="V306" s="3"/>
      <c r="W306" s="3"/>
      <c r="X306" s="3"/>
      <c r="Y306" s="3"/>
      <c r="AA306" s="1542" t="s">
        <v>2690</v>
      </c>
      <c r="AB306" s="1542"/>
      <c r="AC306" s="1542"/>
      <c r="AD306" s="1542"/>
      <c r="AE306" s="1542"/>
      <c r="AF306" s="1542"/>
      <c r="AG306" s="4" t="s">
        <v>207</v>
      </c>
      <c r="AH306" s="4"/>
      <c r="AI306" s="1541"/>
      <c r="AJ306" s="1541"/>
      <c r="AK306" s="1541"/>
      <c r="BN306" s="34"/>
    </row>
    <row r="307" spans="2:66" ht="13" customHeight="1">
      <c r="B307" s="3" t="s">
        <v>90</v>
      </c>
      <c r="C307" s="3"/>
      <c r="D307" s="3"/>
      <c r="E307" s="3"/>
      <c r="F307" s="3"/>
      <c r="G307" s="3"/>
      <c r="H307" s="1438"/>
      <c r="I307" s="1438"/>
      <c r="J307" s="1438"/>
      <c r="K307" s="1438"/>
      <c r="L307" s="1438"/>
      <c r="M307" s="1438"/>
      <c r="N307" s="4"/>
      <c r="O307" s="4"/>
      <c r="P307" s="35"/>
      <c r="Q307" s="35"/>
      <c r="R307" s="35"/>
      <c r="S307" s="3"/>
      <c r="T307" s="3" t="s">
        <v>90</v>
      </c>
      <c r="V307" s="3"/>
      <c r="W307" s="3"/>
      <c r="X307" s="3"/>
      <c r="Y307" s="3"/>
      <c r="AA307" s="1438"/>
      <c r="AB307" s="1438"/>
      <c r="AC307" s="1438"/>
      <c r="AD307" s="1438"/>
      <c r="AE307" s="1438"/>
      <c r="AF307" s="1438"/>
      <c r="AG307" s="4"/>
      <c r="AH307" s="4"/>
      <c r="AI307" s="35"/>
      <c r="AJ307" s="35"/>
      <c r="AK307" s="35"/>
      <c r="BN307" s="34"/>
    </row>
    <row r="308" spans="2:66" ht="13" customHeight="1">
      <c r="B308" s="3" t="s">
        <v>77</v>
      </c>
      <c r="C308" s="3"/>
      <c r="D308" s="3"/>
      <c r="E308" s="3"/>
      <c r="F308" s="3"/>
      <c r="G308" s="3"/>
      <c r="H308" s="1366" t="s">
        <v>2689</v>
      </c>
      <c r="I308" s="1366"/>
      <c r="J308" s="1366"/>
      <c r="K308" s="1366"/>
      <c r="L308" s="1366"/>
      <c r="M308" s="1366"/>
      <c r="N308" s="1394"/>
      <c r="O308" s="1394"/>
      <c r="P308" s="1394"/>
      <c r="Q308" s="1394"/>
      <c r="R308" s="1394"/>
      <c r="S308" s="3"/>
      <c r="T308" s="3" t="s">
        <v>77</v>
      </c>
      <c r="V308" s="3"/>
      <c r="W308" s="3"/>
      <c r="X308" s="3"/>
      <c r="Y308" s="3"/>
      <c r="AA308" s="1366" t="s">
        <v>2691</v>
      </c>
      <c r="AB308" s="1366"/>
      <c r="AC308" s="1366"/>
      <c r="AD308" s="1366"/>
      <c r="AE308" s="1366"/>
      <c r="AF308" s="1366"/>
      <c r="AG308" s="1394"/>
      <c r="AH308" s="1394"/>
      <c r="AI308" s="1394"/>
      <c r="AJ308" s="1394"/>
      <c r="AK308" s="1394"/>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94" t="s">
        <v>2680</v>
      </c>
      <c r="I310" s="1394"/>
      <c r="J310" s="1394"/>
      <c r="K310" s="1394"/>
      <c r="L310" s="1394"/>
      <c r="M310" s="1394"/>
      <c r="N310" s="1394"/>
      <c r="O310" s="1394"/>
      <c r="P310" s="1394"/>
      <c r="Q310" s="1394"/>
      <c r="R310" s="1394"/>
      <c r="S310" s="3"/>
      <c r="T310" s="3" t="s">
        <v>366</v>
      </c>
      <c r="V310" s="3"/>
      <c r="W310" s="3"/>
      <c r="X310" s="3"/>
      <c r="Y310" s="3"/>
      <c r="AA310" s="1394" t="s">
        <v>2692</v>
      </c>
      <c r="AB310" s="1394"/>
      <c r="AC310" s="1394"/>
      <c r="AD310" s="1394"/>
      <c r="AE310" s="1394"/>
      <c r="AF310" s="1394"/>
      <c r="AG310" s="1394"/>
      <c r="AH310" s="1394"/>
      <c r="AI310" s="1394"/>
      <c r="AJ310" s="1394"/>
      <c r="AK310" s="1394"/>
      <c r="BN310" s="34"/>
    </row>
    <row r="311" spans="2:66" ht="13" customHeight="1">
      <c r="B311" s="3" t="s">
        <v>480</v>
      </c>
      <c r="C311" s="3"/>
      <c r="D311" s="3"/>
      <c r="E311" s="3"/>
      <c r="F311" s="3"/>
      <c r="H311" s="1366" t="s">
        <v>2681</v>
      </c>
      <c r="I311" s="1366"/>
      <c r="J311" s="1366"/>
      <c r="K311" s="1366"/>
      <c r="L311" s="1366"/>
      <c r="M311" s="1366"/>
      <c r="N311" s="1366"/>
      <c r="O311" s="1366"/>
      <c r="P311" s="1366"/>
      <c r="Q311" s="1366"/>
      <c r="R311" s="1366"/>
      <c r="S311" s="3"/>
      <c r="T311" s="3" t="s">
        <v>480</v>
      </c>
      <c r="V311" s="3"/>
      <c r="W311" s="3"/>
      <c r="X311" s="3"/>
      <c r="Y311" s="3"/>
      <c r="AA311" s="1366" t="s">
        <v>2693</v>
      </c>
      <c r="AB311" s="1366"/>
      <c r="AC311" s="1366"/>
      <c r="AD311" s="1366"/>
      <c r="AE311" s="1366"/>
      <c r="AF311" s="1366"/>
      <c r="AG311" s="1366"/>
      <c r="AH311" s="1366"/>
      <c r="AI311" s="1366"/>
      <c r="AJ311" s="1366"/>
      <c r="AK311" s="1366"/>
      <c r="BN311" s="34"/>
    </row>
    <row r="312" spans="2:66" ht="13" customHeight="1">
      <c r="B312" s="3" t="s">
        <v>481</v>
      </c>
      <c r="C312" s="3"/>
      <c r="D312" s="3"/>
      <c r="E312" s="3"/>
      <c r="F312" s="3"/>
      <c r="H312" s="1366" t="s">
        <v>2682</v>
      </c>
      <c r="I312" s="1366"/>
      <c r="J312" s="1366"/>
      <c r="K312" s="1366"/>
      <c r="L312" s="1366"/>
      <c r="M312" s="1366"/>
      <c r="N312" s="1366"/>
      <c r="O312" s="1366"/>
      <c r="P312" s="1366"/>
      <c r="Q312" s="1366"/>
      <c r="R312" s="1366"/>
      <c r="S312" s="3"/>
      <c r="T312" s="3" t="s">
        <v>76</v>
      </c>
      <c r="V312" s="3"/>
      <c r="W312" s="3"/>
      <c r="X312" s="3"/>
      <c r="Y312" s="3"/>
      <c r="AA312" s="1366" t="s">
        <v>2694</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
        <v>2683</v>
      </c>
      <c r="I313" s="1366"/>
      <c r="J313" s="1366"/>
      <c r="K313" s="1366"/>
      <c r="L313" s="1366"/>
      <c r="M313" s="1366"/>
      <c r="N313" s="1366"/>
      <c r="O313" s="1366"/>
      <c r="P313" s="1366"/>
      <c r="Q313" s="1366"/>
      <c r="R313" s="1366"/>
      <c r="S313" s="3"/>
      <c r="T313" s="3" t="s">
        <v>88</v>
      </c>
      <c r="V313" s="3"/>
      <c r="W313" s="3"/>
      <c r="X313" s="3"/>
      <c r="Y313" s="3"/>
      <c r="AA313" s="1366" t="s">
        <v>2695</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42" t="s">
        <v>2688</v>
      </c>
      <c r="I314" s="1542"/>
      <c r="J314" s="1542"/>
      <c r="K314" s="1542"/>
      <c r="L314" s="1542"/>
      <c r="M314" s="1542"/>
      <c r="N314" s="4" t="s">
        <v>207</v>
      </c>
      <c r="O314" s="4"/>
      <c r="P314" s="1541"/>
      <c r="Q314" s="1541"/>
      <c r="R314" s="1541"/>
      <c r="S314" s="3"/>
      <c r="T314" s="3" t="s">
        <v>89</v>
      </c>
      <c r="V314" s="3"/>
      <c r="W314" s="3"/>
      <c r="X314" s="3"/>
      <c r="Y314" s="3"/>
      <c r="AA314" s="1542" t="s">
        <v>2696</v>
      </c>
      <c r="AB314" s="1542"/>
      <c r="AC314" s="1542"/>
      <c r="AD314" s="1542"/>
      <c r="AE314" s="1542"/>
      <c r="AF314" s="1542"/>
      <c r="AG314" s="4" t="s">
        <v>207</v>
      </c>
      <c r="AH314" s="4"/>
      <c r="AI314" s="1541"/>
      <c r="AJ314" s="1541"/>
      <c r="AK314" s="1541"/>
      <c r="BN314" s="34"/>
    </row>
    <row r="315" spans="2:66" ht="13" customHeight="1">
      <c r="B315" s="3" t="s">
        <v>90</v>
      </c>
      <c r="C315" s="3"/>
      <c r="D315" s="3"/>
      <c r="E315" s="3"/>
      <c r="F315" s="3"/>
      <c r="G315" s="3"/>
      <c r="H315" s="1438"/>
      <c r="I315" s="1438"/>
      <c r="J315" s="1438"/>
      <c r="K315" s="1438"/>
      <c r="L315" s="1438"/>
      <c r="M315" s="1438"/>
      <c r="N315" s="4"/>
      <c r="O315" s="4"/>
      <c r="P315" s="35"/>
      <c r="Q315" s="35"/>
      <c r="R315" s="35"/>
      <c r="S315" s="3"/>
      <c r="T315" s="3" t="s">
        <v>90</v>
      </c>
      <c r="V315" s="3"/>
      <c r="W315" s="3"/>
      <c r="X315" s="3"/>
      <c r="Y315" s="3"/>
      <c r="AA315" s="1438"/>
      <c r="AB315" s="1438"/>
      <c r="AC315" s="1438"/>
      <c r="AD315" s="1438"/>
      <c r="AE315" s="1438"/>
      <c r="AF315" s="1438"/>
      <c r="AG315" s="4"/>
      <c r="AH315" s="4"/>
      <c r="AI315" s="35"/>
      <c r="AJ315" s="35"/>
      <c r="AK315" s="35"/>
      <c r="BN315" s="34"/>
    </row>
    <row r="316" spans="2:66" ht="13" customHeight="1">
      <c r="B316" s="3" t="s">
        <v>77</v>
      </c>
      <c r="C316" s="3"/>
      <c r="D316" s="3"/>
      <c r="E316" s="3"/>
      <c r="F316" s="3"/>
      <c r="G316" s="3"/>
      <c r="H316" s="1366" t="s">
        <v>2689</v>
      </c>
      <c r="I316" s="1366"/>
      <c r="J316" s="1366"/>
      <c r="K316" s="1366"/>
      <c r="L316" s="1366"/>
      <c r="M316" s="1366"/>
      <c r="N316" s="1394"/>
      <c r="O316" s="1394"/>
      <c r="P316" s="1394"/>
      <c r="Q316" s="1394"/>
      <c r="R316" s="1394"/>
      <c r="S316" s="3"/>
      <c r="T316" s="3" t="s">
        <v>77</v>
      </c>
      <c r="V316" s="3"/>
      <c r="W316" s="3"/>
      <c r="X316" s="3"/>
      <c r="Y316" s="3"/>
      <c r="AA316" s="1366" t="s">
        <v>2697</v>
      </c>
      <c r="AB316" s="1366"/>
      <c r="AC316" s="1366"/>
      <c r="AD316" s="1366"/>
      <c r="AE316" s="1366"/>
      <c r="AF316" s="1366"/>
      <c r="AG316" s="1394"/>
      <c r="AH316" s="1394"/>
      <c r="AI316" s="1394"/>
      <c r="AJ316" s="1394"/>
      <c r="AK316" s="1394"/>
      <c r="BN316" s="34"/>
    </row>
    <row r="317" spans="2:66" ht="13" customHeight="1">
      <c r="BN317" s="34"/>
    </row>
    <row r="318" spans="2:66" ht="13" customHeight="1">
      <c r="B318" s="4" t="s">
        <v>941</v>
      </c>
      <c r="C318" s="3"/>
      <c r="D318" s="3"/>
      <c r="E318" s="3"/>
      <c r="F318" s="3"/>
      <c r="H318" s="1394" t="s">
        <v>2659</v>
      </c>
      <c r="I318" s="1394"/>
      <c r="J318" s="1394"/>
      <c r="K318" s="1394"/>
      <c r="L318" s="1394"/>
      <c r="M318" s="1394"/>
      <c r="N318" s="1394"/>
      <c r="O318" s="1394"/>
      <c r="P318" s="1394"/>
      <c r="Q318" s="1394"/>
      <c r="R318" s="1394"/>
      <c r="T318" s="3" t="s">
        <v>367</v>
      </c>
      <c r="V318" s="3"/>
      <c r="W318" s="3"/>
      <c r="X318" s="3"/>
      <c r="Y318" s="3"/>
      <c r="AA318" s="1394" t="s">
        <v>2698</v>
      </c>
      <c r="AB318" s="1394"/>
      <c r="AC318" s="1394"/>
      <c r="AD318" s="1394"/>
      <c r="AE318" s="1394"/>
      <c r="AF318" s="1394"/>
      <c r="AG318" s="1394"/>
      <c r="AH318" s="1394"/>
      <c r="AI318" s="1394"/>
      <c r="AJ318" s="1394"/>
      <c r="AK318" s="1394"/>
      <c r="BN318" s="34"/>
    </row>
    <row r="319" spans="2:66" ht="13" customHeight="1">
      <c r="B319" s="3" t="s">
        <v>480</v>
      </c>
      <c r="C319" s="3"/>
      <c r="D319" s="3"/>
      <c r="E319" s="3"/>
      <c r="F319" s="3"/>
      <c r="H319" s="1366" t="s">
        <v>2704</v>
      </c>
      <c r="I319" s="1366"/>
      <c r="J319" s="1366"/>
      <c r="K319" s="1366"/>
      <c r="L319" s="1366"/>
      <c r="M319" s="1366"/>
      <c r="N319" s="1366"/>
      <c r="O319" s="1366"/>
      <c r="P319" s="1366"/>
      <c r="Q319" s="1366"/>
      <c r="R319" s="1366"/>
      <c r="T319" s="3" t="s">
        <v>480</v>
      </c>
      <c r="V319" s="3"/>
      <c r="W319" s="3"/>
      <c r="X319" s="3"/>
      <c r="Y319" s="3"/>
      <c r="AA319" s="1366" t="s">
        <v>2699</v>
      </c>
      <c r="AB319" s="1366"/>
      <c r="AC319" s="1366"/>
      <c r="AD319" s="1366"/>
      <c r="AE319" s="1366"/>
      <c r="AF319" s="1366"/>
      <c r="AG319" s="1366"/>
      <c r="AH319" s="1366"/>
      <c r="AI319" s="1366"/>
      <c r="AJ319" s="1366"/>
      <c r="AK319" s="1366"/>
      <c r="BN319" s="34"/>
    </row>
    <row r="320" spans="2:66" ht="13" customHeight="1">
      <c r="B320" s="3" t="s">
        <v>481</v>
      </c>
      <c r="C320" s="3"/>
      <c r="D320" s="3"/>
      <c r="E320" s="3"/>
      <c r="F320" s="3"/>
      <c r="H320" s="1366" t="s">
        <v>2664</v>
      </c>
      <c r="I320" s="1366"/>
      <c r="J320" s="1366"/>
      <c r="K320" s="1366"/>
      <c r="L320" s="1366"/>
      <c r="M320" s="1366"/>
      <c r="N320" s="1366"/>
      <c r="O320" s="1366"/>
      <c r="P320" s="1366"/>
      <c r="Q320" s="1366"/>
      <c r="R320" s="1366"/>
      <c r="T320" s="3" t="s">
        <v>76</v>
      </c>
      <c r="V320" s="3"/>
      <c r="W320" s="3"/>
      <c r="X320" s="3"/>
      <c r="Y320" s="3"/>
      <c r="AA320" s="1366" t="s">
        <v>2700</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t="s">
        <v>2705</v>
      </c>
      <c r="I321" s="1366"/>
      <c r="J321" s="1366"/>
      <c r="K321" s="1366"/>
      <c r="L321" s="1366"/>
      <c r="M321" s="1366"/>
      <c r="N321" s="1366"/>
      <c r="O321" s="1366"/>
      <c r="P321" s="1366"/>
      <c r="Q321" s="1366"/>
      <c r="R321" s="1366"/>
      <c r="T321" s="3" t="s">
        <v>88</v>
      </c>
      <c r="V321" s="3"/>
      <c r="W321" s="3"/>
      <c r="X321" s="3"/>
      <c r="Y321" s="3"/>
      <c r="AA321" s="1366" t="s">
        <v>2701</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2" t="s">
        <v>2706</v>
      </c>
      <c r="I322" s="1542"/>
      <c r="J322" s="1542"/>
      <c r="K322" s="1542"/>
      <c r="L322" s="1542"/>
      <c r="M322" s="1542"/>
      <c r="N322" s="4" t="s">
        <v>207</v>
      </c>
      <c r="O322" s="4"/>
      <c r="P322" s="1541"/>
      <c r="Q322" s="1541"/>
      <c r="R322" s="1541"/>
      <c r="S322" s="3"/>
      <c r="T322" s="3" t="s">
        <v>89</v>
      </c>
      <c r="V322" s="3"/>
      <c r="W322" s="3"/>
      <c r="X322" s="3"/>
      <c r="Y322" s="3"/>
      <c r="AA322" s="1542" t="s">
        <v>2702</v>
      </c>
      <c r="AB322" s="1542"/>
      <c r="AC322" s="1542"/>
      <c r="AD322" s="1542"/>
      <c r="AE322" s="1542"/>
      <c r="AF322" s="1542"/>
      <c r="AG322" s="4" t="s">
        <v>207</v>
      </c>
      <c r="AH322" s="4"/>
      <c r="AI322" s="1541"/>
      <c r="AJ322" s="1541"/>
      <c r="AK322" s="1541"/>
      <c r="BN322" s="34"/>
    </row>
    <row r="323" spans="2:66" ht="13" customHeight="1">
      <c r="B323" s="3" t="s">
        <v>90</v>
      </c>
      <c r="C323" s="3"/>
      <c r="D323" s="3"/>
      <c r="E323" s="3"/>
      <c r="F323" s="3"/>
      <c r="G323" s="3"/>
      <c r="H323" s="1438"/>
      <c r="I323" s="1438"/>
      <c r="J323" s="1438"/>
      <c r="K323" s="1438"/>
      <c r="L323" s="1438"/>
      <c r="M323" s="1438"/>
      <c r="N323" s="4"/>
      <c r="O323" s="4"/>
      <c r="P323" s="35"/>
      <c r="Q323" s="35"/>
      <c r="R323" s="35"/>
      <c r="S323" s="3"/>
      <c r="T323" s="3" t="s">
        <v>90</v>
      </c>
      <c r="V323" s="3"/>
      <c r="W323" s="3"/>
      <c r="X323" s="3"/>
      <c r="Y323" s="3"/>
      <c r="AA323" s="1438"/>
      <c r="AB323" s="1438"/>
      <c r="AC323" s="1438"/>
      <c r="AD323" s="1438"/>
      <c r="AE323" s="1438"/>
      <c r="AF323" s="1438"/>
      <c r="AG323" s="4"/>
      <c r="AH323" s="4"/>
      <c r="AI323" s="35"/>
      <c r="AJ323" s="35"/>
      <c r="AK323" s="35"/>
    </row>
    <row r="324" spans="2:66" ht="13" customHeight="1">
      <c r="B324" s="3" t="s">
        <v>77</v>
      </c>
      <c r="C324" s="3"/>
      <c r="D324" s="3"/>
      <c r="E324" s="3"/>
      <c r="F324" s="3"/>
      <c r="G324" s="3"/>
      <c r="H324" s="1366" t="s">
        <v>2707</v>
      </c>
      <c r="I324" s="1366"/>
      <c r="J324" s="1366"/>
      <c r="K324" s="1366"/>
      <c r="L324" s="1366"/>
      <c r="M324" s="1366"/>
      <c r="N324" s="1394"/>
      <c r="O324" s="1394"/>
      <c r="P324" s="1394"/>
      <c r="Q324" s="1394"/>
      <c r="R324" s="1394"/>
      <c r="S324" s="3"/>
      <c r="T324" s="3" t="s">
        <v>77</v>
      </c>
      <c r="V324" s="3"/>
      <c r="W324" s="3"/>
      <c r="X324" s="3"/>
      <c r="Y324" s="3"/>
      <c r="AA324" s="1468" t="s">
        <v>2703</v>
      </c>
      <c r="AB324" s="1366"/>
      <c r="AC324" s="1366"/>
      <c r="AD324" s="1366"/>
      <c r="AE324" s="1366"/>
      <c r="AF324" s="1366"/>
      <c r="AG324" s="1394"/>
      <c r="AH324" s="1394"/>
      <c r="AI324" s="1394"/>
      <c r="AJ324" s="1394"/>
      <c r="AK324" s="1394"/>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94" t="s">
        <v>2698</v>
      </c>
      <c r="I326" s="1394"/>
      <c r="J326" s="1394"/>
      <c r="K326" s="1394"/>
      <c r="L326" s="1394"/>
      <c r="M326" s="1394"/>
      <c r="N326" s="1394"/>
      <c r="O326" s="1394"/>
      <c r="P326" s="1394"/>
      <c r="Q326" s="1394"/>
      <c r="R326" s="1394"/>
      <c r="T326" s="3" t="s">
        <v>369</v>
      </c>
      <c r="V326" s="3"/>
      <c r="W326" s="3"/>
      <c r="X326" s="3"/>
      <c r="Y326" s="3"/>
      <c r="AA326" s="1554" t="s">
        <v>600</v>
      </c>
      <c r="AB326" s="1394"/>
      <c r="AC326" s="1394"/>
      <c r="AD326" s="1394"/>
      <c r="AE326" s="1394"/>
      <c r="AF326" s="1394"/>
      <c r="AG326" s="1394"/>
      <c r="AH326" s="1394"/>
      <c r="AI326" s="1394"/>
      <c r="AJ326" s="1394"/>
      <c r="AK326" s="1394"/>
    </row>
    <row r="327" spans="2:66" ht="13" customHeight="1">
      <c r="B327" s="3" t="s">
        <v>480</v>
      </c>
      <c r="C327" s="3"/>
      <c r="D327" s="3"/>
      <c r="E327" s="3"/>
      <c r="F327" s="3"/>
      <c r="H327" s="1366" t="s">
        <v>2699</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3" customHeight="1">
      <c r="B328" s="3" t="s">
        <v>481</v>
      </c>
      <c r="C328" s="3"/>
      <c r="D328" s="3"/>
      <c r="E328" s="3"/>
      <c r="F328" s="3"/>
      <c r="H328" s="1366" t="s">
        <v>2700</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t="s">
        <v>2701</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42" t="s">
        <v>2702</v>
      </c>
      <c r="I330" s="1542"/>
      <c r="J330" s="1542"/>
      <c r="K330" s="1542"/>
      <c r="L330" s="1542"/>
      <c r="M330" s="1542"/>
      <c r="N330" s="4" t="s">
        <v>207</v>
      </c>
      <c r="O330" s="4"/>
      <c r="P330" s="1541"/>
      <c r="Q330" s="1541"/>
      <c r="R330" s="1541"/>
      <c r="S330" s="3"/>
      <c r="T330" s="3" t="s">
        <v>89</v>
      </c>
      <c r="V330" s="3"/>
      <c r="W330" s="3"/>
      <c r="X330" s="3"/>
      <c r="Y330" s="3"/>
      <c r="AA330" s="1542"/>
      <c r="AB330" s="1542"/>
      <c r="AC330" s="1542"/>
      <c r="AD330" s="1542"/>
      <c r="AE330" s="1542"/>
      <c r="AF330" s="1542"/>
      <c r="AG330" s="4" t="s">
        <v>207</v>
      </c>
      <c r="AH330" s="4"/>
      <c r="AI330" s="1541"/>
      <c r="AJ330" s="1541"/>
      <c r="AK330" s="1541"/>
    </row>
    <row r="331" spans="2:66" ht="13" customHeight="1">
      <c r="B331" s="3" t="s">
        <v>90</v>
      </c>
      <c r="C331" s="3"/>
      <c r="D331" s="3"/>
      <c r="E331" s="3"/>
      <c r="F331" s="3"/>
      <c r="G331" s="3"/>
      <c r="H331" s="1438"/>
      <c r="I331" s="1438"/>
      <c r="J331" s="1438"/>
      <c r="K331" s="1438"/>
      <c r="L331" s="1438"/>
      <c r="M331" s="1438"/>
      <c r="N331" s="4"/>
      <c r="O331" s="4"/>
      <c r="P331" s="35"/>
      <c r="Q331" s="35"/>
      <c r="R331" s="35"/>
      <c r="S331" s="3"/>
      <c r="T331" s="3" t="s">
        <v>90</v>
      </c>
      <c r="V331" s="3"/>
      <c r="W331" s="3"/>
      <c r="X331" s="3"/>
      <c r="Y331" s="3"/>
      <c r="AA331" s="1438"/>
      <c r="AB331" s="1438"/>
      <c r="AC331" s="1438"/>
      <c r="AD331" s="1438"/>
      <c r="AE331" s="1438"/>
      <c r="AF331" s="1438"/>
      <c r="AG331" s="4"/>
      <c r="AH331" s="4"/>
      <c r="AI331" s="35"/>
      <c r="AJ331" s="35"/>
      <c r="AK331" s="35"/>
    </row>
    <row r="332" spans="2:66" ht="13" customHeight="1">
      <c r="B332" s="3" t="s">
        <v>77</v>
      </c>
      <c r="C332" s="3"/>
      <c r="D332" s="3"/>
      <c r="E332" s="3"/>
      <c r="F332" s="3"/>
      <c r="G332" s="3"/>
      <c r="H332" s="1366" t="s">
        <v>2703</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94" t="s">
        <v>2708</v>
      </c>
      <c r="I334" s="1394"/>
      <c r="J334" s="1394"/>
      <c r="K334" s="1394"/>
      <c r="L334" s="1394"/>
      <c r="M334" s="1394"/>
      <c r="N334" s="1394"/>
      <c r="O334" s="1394"/>
      <c r="P334" s="1394"/>
      <c r="Q334" s="1394"/>
      <c r="R334" s="1394"/>
      <c r="T334" s="218" t="s">
        <v>916</v>
      </c>
      <c r="V334" s="3"/>
      <c r="W334" s="3"/>
      <c r="X334" s="3"/>
      <c r="Y334" s="3"/>
      <c r="AA334" s="1394" t="s">
        <v>2712</v>
      </c>
      <c r="AB334" s="1394"/>
      <c r="AC334" s="1394"/>
      <c r="AD334" s="1394"/>
      <c r="AE334" s="1394"/>
      <c r="AF334" s="1394"/>
      <c r="AG334" s="1394"/>
      <c r="AH334" s="1394"/>
      <c r="AI334" s="1394"/>
      <c r="AJ334" s="1394"/>
      <c r="AK334" s="1394"/>
    </row>
    <row r="335" spans="2:66" ht="13" customHeight="1">
      <c r="B335" s="3" t="s">
        <v>480</v>
      </c>
      <c r="C335" s="3"/>
      <c r="D335" s="3"/>
      <c r="E335" s="3"/>
      <c r="F335" s="3"/>
      <c r="H335" s="1366" t="s">
        <v>2709</v>
      </c>
      <c r="I335" s="1366"/>
      <c r="J335" s="1366"/>
      <c r="K335" s="1366"/>
      <c r="L335" s="1366"/>
      <c r="M335" s="1366"/>
      <c r="N335" s="1366"/>
      <c r="O335" s="1366"/>
      <c r="P335" s="1366"/>
      <c r="Q335" s="1366"/>
      <c r="R335" s="1366"/>
      <c r="T335" s="3" t="s">
        <v>480</v>
      </c>
      <c r="V335" s="3"/>
      <c r="W335" s="3"/>
      <c r="X335" s="3"/>
      <c r="Y335" s="3"/>
      <c r="AA335" s="1366" t="s">
        <v>2713</v>
      </c>
      <c r="AB335" s="1366"/>
      <c r="AC335" s="1366"/>
      <c r="AD335" s="1366"/>
      <c r="AE335" s="1366"/>
      <c r="AF335" s="1366"/>
      <c r="AG335" s="1366"/>
      <c r="AH335" s="1366"/>
      <c r="AI335" s="1366"/>
      <c r="AJ335" s="1366"/>
      <c r="AK335" s="1366"/>
    </row>
    <row r="336" spans="2:66" ht="13" customHeight="1">
      <c r="B336" s="3" t="s">
        <v>76</v>
      </c>
      <c r="C336" s="3"/>
      <c r="D336" s="3"/>
      <c r="E336" s="3"/>
      <c r="F336" s="3"/>
      <c r="H336" s="1366" t="s">
        <v>2710</v>
      </c>
      <c r="I336" s="1366"/>
      <c r="J336" s="1366"/>
      <c r="K336" s="1366"/>
      <c r="L336" s="1366"/>
      <c r="M336" s="1366"/>
      <c r="N336" s="1366"/>
      <c r="O336" s="1366"/>
      <c r="P336" s="1366"/>
      <c r="Q336" s="1366"/>
      <c r="R336" s="1366"/>
      <c r="T336" s="3" t="s">
        <v>76</v>
      </c>
      <c r="V336" s="3"/>
      <c r="W336" s="3"/>
      <c r="X336" s="3"/>
      <c r="Y336" s="3"/>
      <c r="AA336" s="1366" t="s">
        <v>2714</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66" t="s">
        <v>2711</v>
      </c>
      <c r="I337" s="1366"/>
      <c r="J337" s="1366"/>
      <c r="K337" s="1366"/>
      <c r="L337" s="1366"/>
      <c r="M337" s="1366"/>
      <c r="N337" s="1366"/>
      <c r="O337" s="1366"/>
      <c r="P337" s="1366"/>
      <c r="Q337" s="1366"/>
      <c r="R337" s="1366"/>
      <c r="T337" s="3" t="s">
        <v>88</v>
      </c>
      <c r="V337" s="3"/>
      <c r="W337" s="3"/>
      <c r="X337" s="3"/>
      <c r="Y337" s="3"/>
      <c r="AA337" s="1366" t="s">
        <v>2715</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542" t="s">
        <v>2716</v>
      </c>
      <c r="I338" s="1542"/>
      <c r="J338" s="1542"/>
      <c r="K338" s="1542"/>
      <c r="L338" s="1542"/>
      <c r="M338" s="1542"/>
      <c r="N338" s="4" t="s">
        <v>207</v>
      </c>
      <c r="O338" s="4"/>
      <c r="P338" s="1541"/>
      <c r="Q338" s="1541"/>
      <c r="R338" s="1541"/>
      <c r="S338" s="3"/>
      <c r="T338" s="3" t="s">
        <v>89</v>
      </c>
      <c r="V338" s="3"/>
      <c r="W338" s="3"/>
      <c r="X338" s="3"/>
      <c r="Y338" s="3"/>
      <c r="AA338" s="1542" t="s">
        <v>2718</v>
      </c>
      <c r="AB338" s="1542"/>
      <c r="AC338" s="1542"/>
      <c r="AD338" s="1542"/>
      <c r="AE338" s="1542"/>
      <c r="AF338" s="1542"/>
      <c r="AG338" s="4" t="s">
        <v>207</v>
      </c>
      <c r="AH338" s="4"/>
      <c r="AI338" s="1541">
        <v>418</v>
      </c>
      <c r="AJ338" s="1541"/>
      <c r="AK338" s="1541"/>
    </row>
    <row r="339" spans="1:66" ht="13" customHeight="1">
      <c r="B339" s="3" t="s">
        <v>90</v>
      </c>
      <c r="C339" s="3"/>
      <c r="D339" s="3"/>
      <c r="E339" s="3"/>
      <c r="F339" s="3"/>
      <c r="G339" s="3"/>
      <c r="H339" s="1438"/>
      <c r="I339" s="1438"/>
      <c r="J339" s="1438"/>
      <c r="K339" s="1438"/>
      <c r="L339" s="1438"/>
      <c r="M339" s="1438"/>
      <c r="N339" s="4"/>
      <c r="O339" s="4"/>
      <c r="P339" s="35"/>
      <c r="Q339" s="35"/>
      <c r="R339" s="35"/>
      <c r="S339" s="3"/>
      <c r="T339" s="3" t="s">
        <v>90</v>
      </c>
      <c r="V339" s="3"/>
      <c r="W339" s="3"/>
      <c r="X339" s="3"/>
      <c r="Y339" s="3"/>
      <c r="AA339" s="1438"/>
      <c r="AB339" s="1438"/>
      <c r="AC339" s="1438"/>
      <c r="AD339" s="1438"/>
      <c r="AE339" s="1438"/>
      <c r="AF339" s="1438"/>
      <c r="AG339" s="4"/>
      <c r="AH339" s="4"/>
      <c r="AI339" s="35"/>
      <c r="AJ339" s="35"/>
      <c r="AK339" s="35"/>
    </row>
    <row r="340" spans="1:66" ht="13" customHeight="1">
      <c r="B340" s="3" t="s">
        <v>77</v>
      </c>
      <c r="C340" s="3"/>
      <c r="D340" s="3"/>
      <c r="E340" s="3"/>
      <c r="F340" s="3"/>
      <c r="G340" s="3"/>
      <c r="H340" s="1366" t="s">
        <v>2717</v>
      </c>
      <c r="I340" s="1366"/>
      <c r="J340" s="1366"/>
      <c r="K340" s="1366"/>
      <c r="L340" s="1366"/>
      <c r="M340" s="1366"/>
      <c r="N340" s="1394"/>
      <c r="O340" s="1394"/>
      <c r="P340" s="1394"/>
      <c r="Q340" s="1394"/>
      <c r="R340" s="1394"/>
      <c r="S340" s="3"/>
      <c r="T340" s="3" t="s">
        <v>77</v>
      </c>
      <c r="V340" s="3"/>
      <c r="W340" s="3"/>
      <c r="X340" s="3"/>
      <c r="Y340" s="3"/>
      <c r="AA340" s="1366" t="s">
        <v>2719</v>
      </c>
      <c r="AB340" s="1366"/>
      <c r="AC340" s="1366"/>
      <c r="AD340" s="1366"/>
      <c r="AE340" s="1366"/>
      <c r="AF340" s="1366"/>
      <c r="AG340" s="1394"/>
      <c r="AH340" s="1394"/>
      <c r="AI340" s="1394"/>
      <c r="AJ340" s="1394"/>
      <c r="AK340" s="1394"/>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94" t="str">
        <f>M250</f>
        <v>Raise the Barr</v>
      </c>
      <c r="Q342" s="1394"/>
      <c r="R342" s="1394"/>
      <c r="S342" s="1394"/>
      <c r="T342" s="1394"/>
      <c r="U342" s="1394"/>
      <c r="V342" s="1394"/>
      <c r="W342" s="1394"/>
      <c r="X342" s="1394"/>
      <c r="Y342" s="1394"/>
      <c r="Z342" s="1394"/>
      <c r="AA342" s="1394"/>
      <c r="AB342" s="1394"/>
      <c r="AC342" s="1394"/>
      <c r="AD342" s="1394"/>
      <c r="AE342" s="1394"/>
      <c r="BN342" t="s">
        <v>600</v>
      </c>
    </row>
    <row r="343" spans="1:66" ht="13" customHeight="1">
      <c r="B343" s="4"/>
      <c r="C343" s="4"/>
      <c r="D343" s="4"/>
      <c r="E343" s="4"/>
      <c r="F343" s="4"/>
      <c r="I343" s="4" t="s">
        <v>480</v>
      </c>
      <c r="P343" s="1366" t="str">
        <f>M251</f>
        <v>2851 W. 120TH STREET, STE E 339</v>
      </c>
      <c r="Q343" s="1366"/>
      <c r="R343" s="1366"/>
      <c r="S343" s="1366"/>
      <c r="T343" s="1366"/>
      <c r="U343" s="1366"/>
      <c r="V343" s="1366"/>
      <c r="W343" s="1366"/>
      <c r="X343" s="1366"/>
      <c r="Y343" s="1366"/>
      <c r="Z343" s="1366"/>
      <c r="AA343" s="1366"/>
      <c r="AB343" s="1366"/>
      <c r="AC343" s="1366"/>
      <c r="AD343" s="1366"/>
      <c r="AE343" s="1366"/>
      <c r="BN343" t="s">
        <v>678</v>
      </c>
    </row>
    <row r="344" spans="1:66" ht="13" customHeight="1">
      <c r="B344" s="4"/>
      <c r="C344" s="4"/>
      <c r="D344" s="4"/>
      <c r="E344" s="4"/>
      <c r="F344" s="4"/>
      <c r="I344" s="4" t="s">
        <v>76</v>
      </c>
      <c r="P344" s="1366" t="s">
        <v>2720</v>
      </c>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66" t="str">
        <f>M253</f>
        <v>Lori Frances Barr</v>
      </c>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8" t="str">
        <f>M254</f>
        <v>310.938.7231</v>
      </c>
      <c r="Q346" s="1438"/>
      <c r="R346" s="1438"/>
      <c r="S346" s="1438"/>
      <c r="T346" s="1438"/>
      <c r="U346" s="1438"/>
      <c r="V346" s="1438"/>
      <c r="W346" s="1438"/>
      <c r="X346" s="1438"/>
      <c r="Y346" s="1438"/>
      <c r="Z346" s="1438"/>
      <c r="AA346" s="4" t="s">
        <v>207</v>
      </c>
      <c r="AB346" s="4"/>
      <c r="AC346" s="1469"/>
      <c r="AD346" s="1469"/>
      <c r="AE346" s="1469"/>
      <c r="AF346" s="324"/>
      <c r="AG346" s="4"/>
      <c r="AH346" s="4"/>
      <c r="AI346" s="4"/>
      <c r="AJ346" s="4"/>
      <c r="AK346" s="4"/>
    </row>
    <row r="347" spans="1:66" ht="13" customHeight="1">
      <c r="B347" s="4"/>
      <c r="C347" s="4"/>
      <c r="D347" s="4"/>
      <c r="E347" s="4"/>
      <c r="F347" s="4"/>
      <c r="G347" s="4"/>
      <c r="H347" s="324"/>
      <c r="I347" s="4" t="s">
        <v>90</v>
      </c>
      <c r="P347" s="1438"/>
      <c r="Q347" s="1438"/>
      <c r="R347" s="1438"/>
      <c r="S347" s="1438"/>
      <c r="T347" s="1438"/>
      <c r="U347" s="1438"/>
      <c r="V347" s="1438"/>
      <c r="W347" s="1438"/>
      <c r="X347" s="1438"/>
      <c r="Y347" s="1438"/>
      <c r="Z347" s="1438"/>
      <c r="AF347" s="324"/>
      <c r="AG347" s="4"/>
      <c r="AH347" s="4"/>
      <c r="AI347" s="35"/>
      <c r="AJ347" s="35"/>
      <c r="AK347" s="35"/>
    </row>
    <row r="348" spans="1:66" ht="13" customHeight="1">
      <c r="B348" s="4"/>
      <c r="C348" s="4"/>
      <c r="D348" s="4"/>
      <c r="E348" s="4"/>
      <c r="F348" s="4"/>
      <c r="G348" s="4"/>
      <c r="I348" s="4" t="s">
        <v>77</v>
      </c>
      <c r="P348" s="1394" t="str">
        <f>M255</f>
        <v>lori@raisethebarr.org</v>
      </c>
      <c r="Q348" s="1394"/>
      <c r="R348" s="1394"/>
      <c r="S348" s="1394"/>
      <c r="T348" s="1394"/>
      <c r="U348" s="1394"/>
      <c r="V348" s="1394"/>
      <c r="W348" s="1394"/>
      <c r="X348" s="1394"/>
      <c r="Y348" s="1394"/>
      <c r="Z348" s="1394"/>
      <c r="AA348" s="1394"/>
      <c r="AB348" s="1394"/>
      <c r="AC348" s="1394"/>
      <c r="AD348" s="1394"/>
      <c r="AE348" s="1394"/>
    </row>
    <row r="349" spans="1:66" ht="13" customHeight="1">
      <c r="T349" s="8"/>
      <c r="U349" s="8"/>
      <c r="V349" s="8"/>
      <c r="W349" s="8"/>
      <c r="X349" s="8"/>
      <c r="Y349" s="8"/>
      <c r="Z349" s="8"/>
    </row>
    <row r="350" spans="1:66" ht="13" customHeight="1">
      <c r="A350" s="1442" t="s">
        <v>551</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3"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806</v>
      </c>
    </row>
    <row r="354" spans="1:37" ht="13" customHeight="1">
      <c r="D354" s="3" t="s">
        <v>2526</v>
      </c>
      <c r="M354" s="1373" t="s">
        <v>554</v>
      </c>
      <c r="N354" s="1373"/>
      <c r="P354" t="s">
        <v>1831</v>
      </c>
      <c r="AJ354" s="1373" t="s">
        <v>600</v>
      </c>
      <c r="AK354" s="1373"/>
    </row>
    <row r="355" spans="1:37" ht="13" customHeight="1">
      <c r="D355" s="3" t="s">
        <v>1820</v>
      </c>
      <c r="M355" s="1373" t="s">
        <v>600</v>
      </c>
      <c r="N355" s="1373"/>
      <c r="P355" s="3" t="s">
        <v>1980</v>
      </c>
      <c r="AJ355" s="1429"/>
      <c r="AK355" s="1429"/>
    </row>
    <row r="356" spans="1:37" ht="13" customHeight="1">
      <c r="D356" s="3" t="s">
        <v>716</v>
      </c>
      <c r="M356" s="1373" t="s">
        <v>600</v>
      </c>
      <c r="N356" s="1373"/>
      <c r="P356" t="s">
        <v>1830</v>
      </c>
      <c r="AJ356" s="1373" t="s">
        <v>600</v>
      </c>
      <c r="AK356" s="1373"/>
    </row>
    <row r="357" spans="1:37" ht="13" customHeight="1">
      <c r="D357" s="3" t="s">
        <v>717</v>
      </c>
      <c r="M357" s="1373" t="s">
        <v>600</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3" customHeight="1">
      <c r="E363" t="s">
        <v>371</v>
      </c>
      <c r="Y363" s="1373" t="s">
        <v>600</v>
      </c>
      <c r="Z363" s="1373"/>
    </row>
    <row r="364" spans="1:37" ht="13" customHeight="1">
      <c r="D364" s="4" t="s">
        <v>1018</v>
      </c>
      <c r="Q364" s="1554" t="s">
        <v>600</v>
      </c>
      <c r="R364" s="1394"/>
      <c r="S364" s="1394"/>
      <c r="T364" s="1394"/>
      <c r="U364" s="1394"/>
      <c r="V364" s="1394"/>
      <c r="W364" s="1394"/>
      <c r="X364" s="1394"/>
      <c r="Y364" s="1394"/>
      <c r="Z364" s="1394"/>
      <c r="AA364" s="1394"/>
      <c r="AB364" s="1394"/>
      <c r="AC364" s="1394"/>
      <c r="AD364" s="1394"/>
      <c r="AE364" s="1394"/>
      <c r="AF364" s="1394"/>
      <c r="AG364" s="1394"/>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9" t="s">
        <v>718</v>
      </c>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row>
    <row r="368" spans="1:37" ht="13" customHeight="1">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row>
    <row r="369" spans="1:36">
      <c r="E369" s="4" t="s">
        <v>457</v>
      </c>
      <c r="F369" s="4"/>
      <c r="G369" s="4"/>
      <c r="H369" s="4"/>
      <c r="I369" s="4"/>
      <c r="J369" s="4"/>
      <c r="K369" s="4"/>
      <c r="L369" s="4"/>
      <c r="N369" s="1378" t="s">
        <v>600</v>
      </c>
      <c r="O369" s="1378"/>
      <c r="P369" s="1378"/>
      <c r="Q369" s="1378"/>
      <c r="R369" s="4"/>
      <c r="U369" s="4" t="s">
        <v>458</v>
      </c>
      <c r="V369" s="4"/>
      <c r="W369" s="4"/>
      <c r="X369" s="4"/>
      <c r="Y369" s="4"/>
      <c r="Z369" s="4"/>
      <c r="AA369" s="4"/>
      <c r="AB369" s="4"/>
      <c r="AC369" s="1437" t="s">
        <v>2721</v>
      </c>
      <c r="AD369" s="1378"/>
      <c r="AE369" s="1378"/>
      <c r="AF369" s="1378"/>
    </row>
    <row r="370" spans="1:36" ht="13" customHeight="1">
      <c r="E370" s="4" t="s">
        <v>459</v>
      </c>
      <c r="F370" s="4"/>
      <c r="G370" s="4"/>
      <c r="H370" s="4"/>
      <c r="I370" s="4"/>
      <c r="J370" s="4"/>
      <c r="K370" s="4"/>
      <c r="L370" s="4"/>
      <c r="N370" s="1378" t="s">
        <v>600</v>
      </c>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t="s">
        <v>600</v>
      </c>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39" t="s">
        <v>600</v>
      </c>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3"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2508</v>
      </c>
      <c r="F376" s="4"/>
      <c r="G376" s="4"/>
      <c r="H376" s="4"/>
      <c r="I376" s="4"/>
      <c r="J376" s="4"/>
      <c r="K376" s="4"/>
      <c r="L376" s="4"/>
      <c r="N376" t="s">
        <v>2502</v>
      </c>
      <c r="R376" s="27" t="s">
        <v>306</v>
      </c>
      <c r="S376" s="1444" t="s">
        <v>600</v>
      </c>
      <c r="T376" s="1444"/>
      <c r="U376" s="1" t="s">
        <v>307</v>
      </c>
      <c r="V376" s="1444" t="s">
        <v>600</v>
      </c>
      <c r="W376" s="1444"/>
      <c r="Y376" t="s">
        <v>2502</v>
      </c>
      <c r="AC376" s="27" t="s">
        <v>306</v>
      </c>
      <c r="AD376" s="1444" t="s">
        <v>600</v>
      </c>
      <c r="AE376" s="1444"/>
      <c r="AF376" s="1" t="s">
        <v>307</v>
      </c>
      <c r="AG376" s="1444" t="s">
        <v>600</v>
      </c>
      <c r="AH376" s="1444"/>
    </row>
    <row r="377" spans="1:36" ht="13" customHeight="1">
      <c r="E377" s="4" t="s">
        <v>1044</v>
      </c>
      <c r="F377" s="4"/>
      <c r="G377" s="4"/>
      <c r="H377" s="4"/>
      <c r="I377" s="4"/>
      <c r="J377" s="4"/>
      <c r="K377" s="4"/>
      <c r="L377" s="4"/>
      <c r="N377" s="1444" t="s">
        <v>600</v>
      </c>
      <c r="O377" s="1444"/>
      <c r="P377" s="1444"/>
    </row>
    <row r="378" spans="1:36" ht="13" customHeight="1">
      <c r="E378" s="218" t="s">
        <v>2509</v>
      </c>
      <c r="F378" s="4"/>
      <c r="G378" s="4"/>
      <c r="H378" s="4"/>
      <c r="I378" s="4"/>
      <c r="J378" s="4"/>
      <c r="K378" s="4"/>
      <c r="L378" s="4"/>
      <c r="AG378" s="1474" t="s">
        <v>600</v>
      </c>
      <c r="AH378" s="1474"/>
    </row>
    <row r="379" spans="1:36" ht="13" customHeight="1">
      <c r="E379" s="4"/>
      <c r="F379" s="4"/>
      <c r="G379" s="4" t="s">
        <v>2510</v>
      </c>
      <c r="H379" s="4"/>
      <c r="I379" s="4"/>
      <c r="J379" s="4"/>
      <c r="K379" s="4"/>
      <c r="L379" s="4"/>
      <c r="AG379" s="1474" t="s">
        <v>600</v>
      </c>
      <c r="AH379" s="1474"/>
    </row>
    <row r="380" spans="1:36" ht="13" customHeight="1">
      <c r="E380" s="4"/>
      <c r="F380" s="4"/>
      <c r="G380" s="349" t="s">
        <v>1045</v>
      </c>
      <c r="H380" s="4"/>
      <c r="I380" s="4"/>
      <c r="J380" s="4"/>
      <c r="K380" s="4"/>
      <c r="L380" s="4"/>
      <c r="V380" s="1373" t="s">
        <v>600</v>
      </c>
      <c r="W380" s="1373"/>
      <c r="Y380" s="22" t="s">
        <v>1020</v>
      </c>
    </row>
    <row r="381" spans="1:36" ht="13" customHeight="1">
      <c r="E381" s="4" t="s">
        <v>1021</v>
      </c>
      <c r="F381" s="4"/>
      <c r="G381" s="4"/>
      <c r="H381" s="4"/>
      <c r="I381" s="4"/>
      <c r="J381" s="4"/>
      <c r="K381" s="4"/>
      <c r="L381" s="4"/>
      <c r="V381" s="1373" t="s">
        <v>600</v>
      </c>
      <c r="W381" s="1373"/>
      <c r="Y381" s="4" t="s">
        <v>1022</v>
      </c>
    </row>
    <row r="382" spans="1:36" ht="13" customHeight="1"/>
    <row r="383" spans="1:36" ht="13" customHeight="1">
      <c r="A383" s="2" t="s">
        <v>79</v>
      </c>
      <c r="B383" s="2"/>
    </row>
    <row r="384" spans="1:36" ht="13" customHeight="1">
      <c r="D384" t="s">
        <v>429</v>
      </c>
      <c r="J384" s="1394" t="s">
        <v>2722</v>
      </c>
      <c r="K384" s="1394"/>
      <c r="L384" s="1394"/>
      <c r="M384" s="1394"/>
      <c r="N384" s="1394"/>
      <c r="O384" s="1394"/>
      <c r="P384" s="1394"/>
      <c r="Q384" s="1394"/>
      <c r="R384" s="1394"/>
      <c r="S384" s="1394"/>
      <c r="T384" s="1394"/>
      <c r="U384" s="1394"/>
      <c r="V384" s="8" t="s">
        <v>84</v>
      </c>
      <c r="W384" s="8"/>
      <c r="X384" s="8"/>
      <c r="Y384" s="8"/>
      <c r="Z384" s="8"/>
      <c r="AA384" s="8"/>
      <c r="AB384" s="8"/>
      <c r="AC384" s="1394" t="s">
        <v>2665</v>
      </c>
      <c r="AD384" s="1394"/>
      <c r="AE384" s="1394"/>
      <c r="AF384" s="1394"/>
      <c r="AG384" s="1394"/>
      <c r="AH384" s="1394"/>
      <c r="AI384" s="1394"/>
      <c r="AJ384" s="1394"/>
    </row>
    <row r="385" spans="4:36" ht="13" customHeight="1">
      <c r="D385" s="3" t="s">
        <v>1325</v>
      </c>
      <c r="J385" s="1366" t="s">
        <v>2665</v>
      </c>
      <c r="K385" s="1366"/>
      <c r="L385" s="1366"/>
      <c r="M385" s="1366"/>
      <c r="N385" s="1366"/>
      <c r="O385" s="1366"/>
      <c r="P385" s="1366"/>
      <c r="Q385" s="1366"/>
      <c r="R385" s="1366"/>
      <c r="S385" s="1366"/>
      <c r="T385" s="1366"/>
      <c r="U385" s="1366"/>
      <c r="V385" s="3" t="s">
        <v>1325</v>
      </c>
      <c r="W385" s="8"/>
      <c r="X385" s="8"/>
      <c r="Y385" s="8"/>
      <c r="Z385" s="8"/>
      <c r="AA385" s="8"/>
      <c r="AB385" s="8"/>
      <c r="AC385" s="1394" t="s">
        <v>2665</v>
      </c>
      <c r="AD385" s="1394"/>
      <c r="AE385" s="1394"/>
      <c r="AF385" s="1394"/>
      <c r="AG385" s="1394"/>
      <c r="AH385" s="1394"/>
      <c r="AI385" s="1394"/>
      <c r="AJ385" s="1394"/>
    </row>
    <row r="386" spans="4:36" ht="13" customHeight="1">
      <c r="D386" s="3" t="s">
        <v>444</v>
      </c>
      <c r="J386" s="1366" t="s">
        <v>2723</v>
      </c>
      <c r="K386" s="1366"/>
      <c r="L386" s="1366"/>
      <c r="M386" s="1366"/>
      <c r="N386" s="1366"/>
      <c r="O386" s="1366"/>
      <c r="P386" s="1366"/>
      <c r="Q386" s="1366"/>
      <c r="R386" s="1366"/>
      <c r="S386" s="1366"/>
      <c r="T386" s="1366"/>
      <c r="U386" s="1366"/>
      <c r="V386" s="3" t="s">
        <v>444</v>
      </c>
      <c r="W386" s="8"/>
      <c r="X386" s="8"/>
      <c r="Y386" s="8"/>
      <c r="Z386" s="8"/>
      <c r="AA386" s="8"/>
      <c r="AB386" s="8"/>
      <c r="AC386" s="1394" t="s">
        <v>2723</v>
      </c>
      <c r="AD386" s="1394"/>
      <c r="AE386" s="1394"/>
      <c r="AF386" s="1394"/>
      <c r="AG386" s="1394"/>
      <c r="AH386" s="1394"/>
      <c r="AI386" s="1394"/>
      <c r="AJ386" s="1394"/>
    </row>
    <row r="387" spans="4:36" ht="13" customHeight="1">
      <c r="D387" t="s">
        <v>1321</v>
      </c>
      <c r="J387" s="1355" t="s">
        <v>2724</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3" customHeight="1">
      <c r="D388" t="s">
        <v>4</v>
      </c>
      <c r="Q388" s="1759">
        <v>44697</v>
      </c>
      <c r="R388" s="1759"/>
      <c r="S388" s="1759"/>
      <c r="T388" s="1759"/>
      <c r="U388" s="1759"/>
      <c r="V388" t="s">
        <v>310</v>
      </c>
      <c r="AI388" s="1373" t="s">
        <v>678</v>
      </c>
      <c r="AJ388" s="1373"/>
    </row>
    <row r="389" spans="4:36" ht="13" customHeight="1">
      <c r="D389" t="s">
        <v>5</v>
      </c>
      <c r="Q389" s="1597">
        <v>44911</v>
      </c>
      <c r="R389" s="1598"/>
      <c r="S389" s="1598"/>
      <c r="T389" s="1598"/>
      <c r="U389" s="1598"/>
      <c r="W389" s="21" t="s">
        <v>75</v>
      </c>
      <c r="AG389" s="1449" t="s">
        <v>600</v>
      </c>
      <c r="AH389" s="1436"/>
      <c r="AI389" s="1436"/>
      <c r="AJ389" s="1436"/>
    </row>
    <row r="390" spans="4:36" ht="13" customHeight="1">
      <c r="D390" t="s">
        <v>428</v>
      </c>
      <c r="Q390" s="1596">
        <v>915995</v>
      </c>
      <c r="R390" s="1596"/>
      <c r="S390" s="1596"/>
      <c r="T390" s="1596"/>
      <c r="U390" s="1596"/>
      <c r="V390" s="3" t="s">
        <v>1324</v>
      </c>
      <c r="AG390" s="1450">
        <v>44911</v>
      </c>
      <c r="AH390" s="1450"/>
      <c r="AI390" s="1450"/>
      <c r="AJ390" s="1450"/>
    </row>
    <row r="391" spans="4:36" ht="13" customHeight="1">
      <c r="D391" t="s">
        <v>89</v>
      </c>
      <c r="I391" s="1542">
        <v>2092247412</v>
      </c>
      <c r="J391" s="1542"/>
      <c r="K391" s="1542"/>
      <c r="L391" s="1542"/>
      <c r="M391" s="1542"/>
      <c r="N391" s="1542"/>
      <c r="Q391" s="4" t="s">
        <v>207</v>
      </c>
      <c r="S391" s="1601"/>
      <c r="T391" s="1601"/>
      <c r="U391" s="1601"/>
      <c r="V391" t="s">
        <v>74</v>
      </c>
      <c r="AI391" s="1373" t="s">
        <v>678</v>
      </c>
      <c r="AJ391" s="1373"/>
    </row>
    <row r="392" spans="4:36" ht="13" customHeight="1">
      <c r="D392" t="s">
        <v>311</v>
      </c>
      <c r="Q392" s="1441">
        <v>3000</v>
      </c>
      <c r="R392" s="1441"/>
      <c r="S392" s="1441"/>
      <c r="T392" s="1441"/>
      <c r="U392" s="1441"/>
      <c r="V392" t="s">
        <v>312</v>
      </c>
      <c r="AG392" s="1449">
        <f>3000*24</f>
        <v>72000</v>
      </c>
      <c r="AH392" s="1436"/>
      <c r="AI392" s="1436"/>
      <c r="AJ392" s="1436"/>
    </row>
    <row r="393" spans="4:36" ht="13" customHeight="1">
      <c r="D393" t="s">
        <v>313</v>
      </c>
      <c r="Q393" s="1716">
        <v>1.2500000000000001E-2</v>
      </c>
      <c r="R393" s="1716"/>
      <c r="S393" s="1716"/>
      <c r="T393" s="1716"/>
      <c r="U393" s="1716"/>
      <c r="V393" t="s">
        <v>1305</v>
      </c>
      <c r="AG393" s="1436"/>
      <c r="AH393" s="1436"/>
      <c r="AI393" s="1436"/>
      <c r="AJ393" s="1436"/>
    </row>
    <row r="394" spans="4:36" ht="13" customHeight="1">
      <c r="D394" t="s">
        <v>1304</v>
      </c>
      <c r="AG394" s="1436"/>
      <c r="AH394" s="1436"/>
      <c r="AI394" s="1436"/>
      <c r="AJ394" s="1436"/>
    </row>
    <row r="395" spans="4:36" ht="13" customHeight="1">
      <c r="AG395" s="491"/>
      <c r="AH395" s="491"/>
      <c r="AI395" s="491"/>
      <c r="AJ395" s="491"/>
    </row>
    <row r="396" spans="4:36" ht="13" customHeight="1">
      <c r="D396" s="3" t="s">
        <v>2621</v>
      </c>
      <c r="AG396" s="491"/>
      <c r="AH396" s="491"/>
      <c r="AI396" s="1373" t="s">
        <v>678</v>
      </c>
      <c r="AJ396" s="1373"/>
    </row>
    <row r="397" spans="4:36" ht="13" customHeight="1">
      <c r="D397" s="3" t="s">
        <v>1849</v>
      </c>
      <c r="T397" s="1407" t="s">
        <v>600</v>
      </c>
      <c r="U397" s="1407"/>
      <c r="V397" s="1407"/>
      <c r="W397" s="1407"/>
      <c r="X397" s="1407"/>
      <c r="Y397" s="1407"/>
      <c r="Z397" s="1407"/>
      <c r="AA397" s="1407"/>
      <c r="AB397" s="1407"/>
      <c r="AC397" s="1407"/>
      <c r="AD397" s="1407"/>
      <c r="AE397" s="1407"/>
      <c r="AF397" s="1407"/>
      <c r="AG397" s="1407"/>
      <c r="AH397" s="1407"/>
      <c r="AI397" s="1407"/>
      <c r="AJ397" s="1407"/>
    </row>
    <row r="398" spans="4:36" ht="13" customHeight="1">
      <c r="D398" s="3" t="s">
        <v>1848</v>
      </c>
      <c r="T398" s="1407" t="s">
        <v>600</v>
      </c>
      <c r="U398" s="1407"/>
      <c r="V398" s="1407"/>
      <c r="W398" s="1407"/>
      <c r="X398" s="1407"/>
      <c r="Y398" s="1407"/>
      <c r="Z398" s="1407"/>
      <c r="AA398" s="1407"/>
      <c r="AB398" s="1407"/>
      <c r="AC398" s="1407"/>
      <c r="AD398" s="1407"/>
      <c r="AE398" s="1407"/>
      <c r="AF398" s="1407"/>
      <c r="AG398" s="1407"/>
      <c r="AH398" s="1407"/>
      <c r="AI398" s="1407"/>
      <c r="AJ398" s="1407"/>
    </row>
    <row r="399" spans="4:36" ht="13" customHeight="1">
      <c r="AG399" s="491"/>
      <c r="AH399" s="491"/>
      <c r="AI399" s="491"/>
      <c r="AJ399" s="491"/>
    </row>
    <row r="400" spans="4:36" ht="13" customHeight="1">
      <c r="D400" s="3" t="s">
        <v>1842</v>
      </c>
      <c r="S400" s="1407" t="s">
        <v>678</v>
      </c>
      <c r="T400" s="1407"/>
      <c r="U400" s="1407"/>
      <c r="V400" t="s">
        <v>1843</v>
      </c>
      <c r="AG400" s="1475"/>
      <c r="AH400" s="1475"/>
      <c r="AI400" s="1475"/>
      <c r="AJ400" s="1475"/>
    </row>
    <row r="401" spans="1:36" ht="13" customHeight="1">
      <c r="D401" s="3" t="s">
        <v>1840</v>
      </c>
      <c r="S401" s="1407" t="s">
        <v>600</v>
      </c>
      <c r="T401" s="1407"/>
      <c r="U401" s="1407"/>
      <c r="V401" t="s">
        <v>1845</v>
      </c>
      <c r="AE401" s="1476" t="s">
        <v>600</v>
      </c>
      <c r="AF401" s="1477"/>
      <c r="AG401" s="1477"/>
      <c r="AH401" s="1477"/>
      <c r="AI401" s="1477"/>
      <c r="AJ401" s="1477"/>
    </row>
    <row r="402" spans="1:36" ht="13" customHeight="1">
      <c r="D402" s="3" t="s">
        <v>1841</v>
      </c>
      <c r="K402" s="1460" t="s">
        <v>600</v>
      </c>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1844</v>
      </c>
      <c r="K403" s="1460" t="s">
        <v>600</v>
      </c>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1847</v>
      </c>
      <c r="E404" s="512"/>
      <c r="F404" s="512"/>
      <c r="G404" s="512"/>
      <c r="H404" s="512"/>
      <c r="I404" s="512"/>
      <c r="J404" s="512"/>
      <c r="K404" s="512"/>
      <c r="L404" s="512"/>
      <c r="M404" s="512"/>
      <c r="N404" s="512"/>
      <c r="O404" s="512"/>
      <c r="P404" s="512"/>
      <c r="Q404" s="512"/>
      <c r="R404" s="512"/>
      <c r="S404" s="1539" t="s">
        <v>2725</v>
      </c>
      <c r="T404" s="1539"/>
      <c r="U404" s="1539"/>
      <c r="V404" s="1539"/>
      <c r="W404" s="1539"/>
      <c r="X404" s="1539"/>
      <c r="Y404" s="1539"/>
      <c r="Z404" s="1539"/>
      <c r="AA404" s="1539"/>
      <c r="AB404" s="1539"/>
      <c r="AC404" s="1539"/>
      <c r="AD404" s="1539"/>
      <c r="AE404" s="1539"/>
      <c r="AF404" s="1539"/>
      <c r="AG404" s="1539"/>
      <c r="AH404" s="1539"/>
      <c r="AI404" s="1539"/>
      <c r="AJ404" s="1539"/>
    </row>
    <row r="405" spans="1:36" ht="13"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554" t="s">
        <v>2726</v>
      </c>
      <c r="J409" s="1554"/>
      <c r="K409" s="1554"/>
      <c r="L409" s="1554"/>
      <c r="M409" s="1554"/>
      <c r="N409" s="1554"/>
      <c r="O409" s="1554"/>
      <c r="P409" s="1554"/>
      <c r="Q409" s="1554"/>
      <c r="R409" s="1554"/>
      <c r="S409" s="1554"/>
      <c r="T409" s="1554"/>
      <c r="U409" s="1554"/>
      <c r="V409" s="1554"/>
      <c r="W409" s="1554"/>
      <c r="X409" s="1554"/>
      <c r="Y409" s="1554"/>
      <c r="Z409" s="1554"/>
      <c r="AA409" s="1554"/>
      <c r="AB409" s="1554"/>
      <c r="AC409" s="1554"/>
      <c r="AD409" s="1554"/>
      <c r="AE409" s="1554"/>
    </row>
    <row r="410" spans="1:36" ht="13" customHeight="1">
      <c r="E410" t="s">
        <v>107</v>
      </c>
      <c r="R410" s="1373" t="s">
        <v>600</v>
      </c>
      <c r="S410" s="1373"/>
      <c r="T410" t="s">
        <v>579</v>
      </c>
      <c r="AD410" s="1445" t="s">
        <v>600</v>
      </c>
      <c r="AE410" s="1378"/>
    </row>
    <row r="411" spans="1:36" ht="13" customHeight="1">
      <c r="E411" t="s">
        <v>108</v>
      </c>
      <c r="R411" s="1373" t="s">
        <v>554</v>
      </c>
      <c r="S411" s="1373"/>
      <c r="T411" t="s">
        <v>579</v>
      </c>
      <c r="AD411" s="1378">
        <v>2</v>
      </c>
      <c r="AE411" s="1378"/>
    </row>
    <row r="412" spans="1:36" ht="13" customHeight="1">
      <c r="E412" t="s">
        <v>109</v>
      </c>
      <c r="S412" s="1373" t="s">
        <v>600</v>
      </c>
      <c r="T412" s="1373"/>
    </row>
    <row r="413" spans="1:36" ht="13" customHeight="1">
      <c r="E413" t="s">
        <v>170</v>
      </c>
      <c r="H413" s="1714" t="s">
        <v>335</v>
      </c>
      <c r="I413" s="1714"/>
      <c r="J413" s="1714"/>
      <c r="K413" s="1714"/>
      <c r="L413" s="1714"/>
      <c r="M413" s="1714"/>
      <c r="N413" s="1714"/>
      <c r="O413" s="1714"/>
      <c r="P413" s="1714"/>
      <c r="Q413" s="1714"/>
      <c r="R413" s="1714"/>
      <c r="S413" s="1714"/>
      <c r="T413" s="1714"/>
      <c r="U413" s="1714"/>
      <c r="V413" s="1714"/>
      <c r="W413" s="1714"/>
      <c r="X413" s="1714"/>
      <c r="Y413" s="1714"/>
      <c r="Z413" s="1714"/>
      <c r="AA413" s="1714"/>
      <c r="AB413" s="1714"/>
      <c r="AC413" s="1714"/>
      <c r="AD413" s="1714"/>
      <c r="AE413" s="1714"/>
    </row>
    <row r="414" spans="1:36" ht="13" customHeight="1">
      <c r="H414" s="1715"/>
      <c r="I414" s="1715"/>
      <c r="J414" s="1715"/>
      <c r="K414" s="1715"/>
      <c r="L414" s="1715"/>
      <c r="M414" s="1715"/>
      <c r="N414" s="1715"/>
      <c r="O414" s="1715"/>
      <c r="P414" s="1715"/>
      <c r="Q414" s="1715"/>
      <c r="R414" s="1715"/>
      <c r="S414" s="1715"/>
      <c r="T414" s="1715"/>
      <c r="U414" s="1715"/>
      <c r="V414" s="1715"/>
      <c r="W414" s="1715"/>
      <c r="X414" s="1715"/>
      <c r="Y414" s="1715"/>
      <c r="Z414" s="1715"/>
      <c r="AA414" s="1715"/>
      <c r="AB414" s="1715"/>
      <c r="AC414" s="1715"/>
      <c r="AD414" s="1715"/>
      <c r="AE414" s="1715"/>
    </row>
    <row r="415" spans="1:36" ht="13" customHeight="1"/>
    <row r="416" spans="1:36" ht="13" customHeight="1">
      <c r="A416" s="2" t="s">
        <v>599</v>
      </c>
      <c r="B416" s="2"/>
      <c r="C416" s="2"/>
      <c r="D416" s="2" t="s">
        <v>115</v>
      </c>
      <c r="AF416" s="2" t="s">
        <v>997</v>
      </c>
    </row>
    <row r="417" spans="1:39" ht="13" customHeight="1">
      <c r="E417" s="1444">
        <v>80</v>
      </c>
      <c r="F417" s="1444"/>
      <c r="G417" s="1444"/>
      <c r="H417" s="13" t="s">
        <v>116</v>
      </c>
      <c r="I417" s="1444">
        <v>140</v>
      </c>
      <c r="J417" s="1444"/>
      <c r="K417" s="1444"/>
      <c r="L417" t="s">
        <v>117</v>
      </c>
      <c r="N417" s="27" t="s">
        <v>584</v>
      </c>
      <c r="P417" s="1600">
        <v>0.26</v>
      </c>
      <c r="Q417" s="1600"/>
      <c r="R417" s="1600"/>
      <c r="S417" t="s">
        <v>118</v>
      </c>
      <c r="W417" s="1364">
        <f>IF(E417&gt;0,(E417*I417),(P417*43560))</f>
        <v>11200</v>
      </c>
      <c r="X417" s="1364"/>
      <c r="Y417" s="1364"/>
      <c r="Z417" t="s">
        <v>119</v>
      </c>
      <c r="AF417" s="1538">
        <f>IF(P417&gt;0,(AG436/P417),(AG436/(W417/43560)))</f>
        <v>69.230769230769226</v>
      </c>
      <c r="AG417" s="1538"/>
      <c r="AH417" s="1538"/>
      <c r="AM417" s="3"/>
    </row>
    <row r="418" spans="1:39" ht="13" customHeight="1">
      <c r="E418" t="s">
        <v>51</v>
      </c>
    </row>
    <row r="419" spans="1:39" ht="13" customHeight="1">
      <c r="E419" s="1534"/>
      <c r="F419" s="1534"/>
      <c r="G419" s="1534"/>
      <c r="H419" s="1534"/>
      <c r="I419" s="1534"/>
      <c r="J419" s="1534"/>
      <c r="K419" s="1534"/>
      <c r="L419" s="1534"/>
      <c r="M419" s="1534"/>
      <c r="N419" s="1534"/>
      <c r="O419" s="1534"/>
      <c r="P419" s="1534"/>
      <c r="Q419" s="1534"/>
      <c r="R419" s="1534"/>
      <c r="S419" s="1534"/>
      <c r="T419" s="1534"/>
      <c r="U419" s="1534"/>
      <c r="V419" s="1534"/>
      <c r="W419" s="1534"/>
      <c r="X419" s="1534"/>
      <c r="Y419" s="1534"/>
      <c r="Z419" s="1534"/>
      <c r="AA419" s="1534"/>
      <c r="AB419" s="1534"/>
      <c r="AC419" s="1534"/>
      <c r="AD419" s="1534"/>
      <c r="AE419" s="1534"/>
      <c r="AF419" s="1534"/>
      <c r="AG419" s="1534"/>
      <c r="AH419" s="1534"/>
      <c r="AI419" s="1534"/>
      <c r="AJ419" s="1534"/>
    </row>
    <row r="420" spans="1:39" ht="13" customHeight="1">
      <c r="E420" s="118" t="s">
        <v>1997</v>
      </c>
      <c r="F420" s="1050"/>
      <c r="G420" s="1050"/>
      <c r="H420" s="1050"/>
      <c r="I420" s="1725">
        <v>0.25700000000000001</v>
      </c>
      <c r="J420" s="1725"/>
      <c r="K420" s="1725"/>
      <c r="L420" s="1050"/>
      <c r="M420" s="118"/>
      <c r="N420" s="1050"/>
      <c r="O420" s="1050"/>
      <c r="P420" s="1749">
        <f>(CS623+CS631+CS647)/I420</f>
        <v>136.18677042801556</v>
      </c>
      <c r="Q420" s="1749"/>
      <c r="R420" s="174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1</v>
      </c>
      <c r="Q423" s="1373"/>
      <c r="S423" t="s">
        <v>190</v>
      </c>
      <c r="AE423" s="1373">
        <v>1</v>
      </c>
      <c r="AF423" s="1373"/>
    </row>
    <row r="424" spans="1:39" ht="13" customHeight="1">
      <c r="E424" t="s">
        <v>191</v>
      </c>
      <c r="P424" s="1445" t="s">
        <v>600</v>
      </c>
      <c r="Q424" s="1373"/>
      <c r="S424" t="s">
        <v>132</v>
      </c>
      <c r="AE424" s="1373" t="s">
        <v>600</v>
      </c>
      <c r="AF424" s="1373"/>
    </row>
    <row r="425" spans="1:39" ht="13" customHeight="1">
      <c r="F425" s="28" t="s">
        <v>133</v>
      </c>
    </row>
    <row r="426" spans="1:39" ht="13" customHeight="1">
      <c r="F426" s="1446" t="s">
        <v>600</v>
      </c>
      <c r="G426" s="1447"/>
      <c r="H426" s="1447"/>
      <c r="I426" s="1447"/>
      <c r="J426" s="1447"/>
      <c r="K426" s="1447"/>
      <c r="L426" s="1447"/>
      <c r="M426" s="1447"/>
      <c r="N426" s="1447"/>
      <c r="O426" s="1447"/>
      <c r="P426" s="1447"/>
      <c r="Q426" s="1447"/>
      <c r="R426" s="1447"/>
      <c r="S426" s="1447"/>
      <c r="T426" s="1447"/>
      <c r="U426" s="1447"/>
      <c r="V426" s="1447"/>
      <c r="W426" s="1447"/>
      <c r="X426" s="1447"/>
      <c r="Y426" s="1447"/>
      <c r="Z426" s="1447"/>
      <c r="AA426" s="1447"/>
      <c r="AB426" s="1447"/>
      <c r="AC426" s="1447"/>
      <c r="AD426" s="1447"/>
      <c r="AE426" s="1447"/>
      <c r="AF426" s="1447"/>
      <c r="AG426" s="1447"/>
      <c r="AH426" s="1447"/>
    </row>
    <row r="427" spans="1:39" ht="13" customHeight="1">
      <c r="F427" s="1448"/>
      <c r="G427" s="1448"/>
      <c r="H427" s="1448"/>
      <c r="I427" s="1448"/>
      <c r="J427" s="1448"/>
      <c r="K427" s="1448"/>
      <c r="L427" s="1448"/>
      <c r="M427" s="1448"/>
      <c r="N427" s="1448"/>
      <c r="O427" s="1448"/>
      <c r="P427" s="1448"/>
      <c r="Q427" s="1448"/>
      <c r="R427" s="1448"/>
      <c r="S427" s="1448"/>
      <c r="T427" s="1448"/>
      <c r="U427" s="1448"/>
      <c r="V427" s="1448"/>
      <c r="W427" s="1448"/>
      <c r="X427" s="1448"/>
      <c r="Y427" s="1448"/>
      <c r="Z427" s="1448"/>
      <c r="AA427" s="1448"/>
      <c r="AB427" s="1448"/>
      <c r="AC427" s="1448"/>
      <c r="AD427" s="1448"/>
      <c r="AE427" s="1448"/>
      <c r="AF427" s="1448"/>
      <c r="AG427" s="1448"/>
      <c r="AH427" s="1448"/>
    </row>
    <row r="428" spans="1:39" ht="13" customHeight="1">
      <c r="E428" t="s">
        <v>617</v>
      </c>
      <c r="P428" s="1"/>
      <c r="Q428" s="1373" t="s">
        <v>554</v>
      </c>
      <c r="R428" s="1373"/>
    </row>
    <row r="429" spans="1:39" ht="13" customHeight="1">
      <c r="F429" t="s">
        <v>618</v>
      </c>
      <c r="P429" s="1"/>
      <c r="Q429" s="1"/>
      <c r="AF429" s="1373" t="s">
        <v>600</v>
      </c>
      <c r="AG429" s="1576"/>
    </row>
    <row r="430" spans="1:39" ht="13" customHeight="1"/>
    <row r="431" spans="1:39" ht="13" customHeight="1">
      <c r="A431" s="2"/>
      <c r="B431" s="2"/>
      <c r="C431" s="2"/>
      <c r="E431" s="4" t="s">
        <v>309</v>
      </c>
      <c r="Z431" s="1373" t="s">
        <v>678</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445" t="s">
        <v>678</v>
      </c>
      <c r="AA433" s="1373"/>
    </row>
    <row r="434" spans="1:110" ht="13" customHeight="1"/>
    <row r="435" spans="1:110" ht="13" customHeight="1">
      <c r="A435" s="2" t="s">
        <v>476</v>
      </c>
      <c r="B435" s="2"/>
      <c r="C435" s="2"/>
      <c r="D435" s="2" t="s">
        <v>788</v>
      </c>
      <c r="AF435" s="48"/>
    </row>
    <row r="436" spans="1:110" ht="13"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18</v>
      </c>
      <c r="AH436" s="1357"/>
      <c r="AI436" s="1357"/>
      <c r="AJ436" s="1357"/>
    </row>
    <row r="437" spans="1:110" ht="13"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t="s">
        <v>600</v>
      </c>
      <c r="AH437" s="1372"/>
      <c r="AI437" s="1372"/>
      <c r="AJ437" s="1372"/>
    </row>
    <row r="438" spans="1:110" ht="13"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17</v>
      </c>
      <c r="AH438" s="1357"/>
      <c r="AI438" s="1357"/>
      <c r="AJ438" s="1357"/>
    </row>
    <row r="439" spans="1:110" ht="13"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17</v>
      </c>
      <c r="AH439" s="1357"/>
      <c r="AI439" s="1357"/>
      <c r="AJ439" s="1357"/>
    </row>
    <row r="440" spans="1:110" ht="13"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f>14784/18*17</f>
        <v>13962.666666666668</v>
      </c>
      <c r="AH441" s="1358"/>
      <c r="AI441" s="1358"/>
      <c r="AJ441" s="1358"/>
    </row>
    <row r="442" spans="1:110" ht="13"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13962.666666666668</v>
      </c>
      <c r="AH442" s="1358"/>
      <c r="AI442" s="1358"/>
      <c r="AJ442" s="1358"/>
    </row>
    <row r="443" spans="1:110" ht="13"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2511</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0</v>
      </c>
      <c r="AH445" s="1358"/>
      <c r="AI445" s="1358"/>
      <c r="AJ445" s="1358"/>
    </row>
    <row r="446" spans="1:110" ht="13"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9" t="s">
        <v>1100</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31"/>
      <c r="AG449" s="1467">
        <f>AG441+AG445+AG447+AG448</f>
        <v>13962.666666666668</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2" t="s">
        <v>1349</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2"/>
      <c r="AG450" s="1532"/>
      <c r="AH450" s="1532"/>
      <c r="AI450" s="1532"/>
      <c r="AJ450" s="153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3"/>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645185.67823301384</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645185.67823301384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554892.79402780032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5" t="str">
        <f>IFERROR(IF(AC453&gt;650000,"Please provide a justification of cost per unit in Tab 12 for all projects with per unit costs of greater than $650,000.",""),"")</f>
        <v/>
      </c>
      <c r="G456" s="1535"/>
      <c r="H456" s="1535"/>
      <c r="I456" s="1535"/>
      <c r="J456" s="1535"/>
      <c r="K456" s="1535"/>
      <c r="L456" s="1535"/>
      <c r="M456" s="1535"/>
      <c r="N456" s="1535"/>
      <c r="O456" s="1535"/>
      <c r="P456" s="1535"/>
      <c r="Q456" s="1535"/>
      <c r="R456" s="1535"/>
      <c r="S456" s="1535"/>
      <c r="T456" s="1535"/>
      <c r="U456" s="1535"/>
      <c r="V456" s="1535"/>
      <c r="W456" s="1535"/>
      <c r="X456" s="1535"/>
      <c r="Y456" s="1535"/>
      <c r="Z456" s="1535"/>
      <c r="AA456" s="1535"/>
      <c r="AB456" s="153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1"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464"/>
      <c r="H472" s="1465"/>
      <c r="I472" s="1465"/>
      <c r="J472" s="1465"/>
      <c r="K472" s="1465"/>
      <c r="L472" s="1465"/>
      <c r="M472" s="1465"/>
      <c r="N472" s="1465"/>
      <c r="O472" s="1465"/>
      <c r="P472" s="1465"/>
      <c r="Q472" s="1465"/>
      <c r="R472" s="1465"/>
      <c r="S472" s="1465"/>
      <c r="T472" s="1465"/>
      <c r="U472" s="1465"/>
      <c r="V472" s="1466"/>
      <c r="W472" s="1349">
        <v>17</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2" t="s">
        <v>835</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1" t="s">
        <v>394</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365" t="s">
        <v>2727</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365" t="s">
        <v>2727</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365" t="s">
        <v>2727</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6" t="s">
        <v>398</v>
      </c>
      <c r="C487" s="1397"/>
      <c r="D487" s="1397"/>
      <c r="E487" s="1397"/>
      <c r="F487" s="1397"/>
      <c r="G487" s="1397"/>
      <c r="H487" s="1397"/>
      <c r="I487" s="1397"/>
      <c r="J487" s="1397"/>
      <c r="K487" s="1397"/>
      <c r="L487" s="1397"/>
      <c r="M487" s="1397"/>
      <c r="N487" s="1397"/>
      <c r="O487" s="1397"/>
      <c r="P487" s="1398"/>
      <c r="Q487" s="1402" t="s">
        <v>678</v>
      </c>
      <c r="R487" s="1403"/>
      <c r="S487" s="1733" t="s">
        <v>600</v>
      </c>
      <c r="T487" s="1734"/>
      <c r="U487" s="1734"/>
      <c r="V487" s="1734"/>
      <c r="W487" s="1734"/>
      <c r="X487" s="1734"/>
      <c r="Y487" s="1734"/>
      <c r="Z487" s="1734"/>
      <c r="AA487" s="1734"/>
      <c r="AB487" s="1734"/>
      <c r="AC487" s="1734"/>
      <c r="AD487" s="1734"/>
      <c r="AE487" s="1734"/>
      <c r="AF487" s="1734"/>
      <c r="AG487" s="1734"/>
      <c r="AH487" s="1734"/>
      <c r="AI487" s="1734"/>
      <c r="AJ487" s="1734"/>
      <c r="AK487" s="173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9"/>
      <c r="C488" s="1400"/>
      <c r="D488" s="1400"/>
      <c r="E488" s="1400"/>
      <c r="F488" s="1400"/>
      <c r="G488" s="1400"/>
      <c r="H488" s="1400"/>
      <c r="I488" s="1400"/>
      <c r="J488" s="1400"/>
      <c r="K488" s="1400"/>
      <c r="L488" s="1400"/>
      <c r="M488" s="1400"/>
      <c r="N488" s="1400"/>
      <c r="O488" s="1400"/>
      <c r="P488" s="1401"/>
      <c r="Q488" s="1404"/>
      <c r="R488" s="1405"/>
      <c r="S488" s="1736"/>
      <c r="T488" s="1448"/>
      <c r="U488" s="1448"/>
      <c r="V488" s="1448"/>
      <c r="W488" s="1448"/>
      <c r="X488" s="1448"/>
      <c r="Y488" s="1448"/>
      <c r="Z488" s="1448"/>
      <c r="AA488" s="1448"/>
      <c r="AB488" s="1448"/>
      <c r="AC488" s="1448"/>
      <c r="AD488" s="1448"/>
      <c r="AE488" s="1448"/>
      <c r="AF488" s="1448"/>
      <c r="AG488" s="1448"/>
      <c r="AH488" s="1448"/>
      <c r="AI488" s="1448"/>
      <c r="AJ488" s="1448"/>
      <c r="AK488" s="173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457" t="s">
        <v>678</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365" t="s">
        <v>2728</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365">
        <v>11</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365">
        <v>11</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28" t="s">
        <v>600</v>
      </c>
      <c r="N493" s="1429"/>
      <c r="O493" s="1429"/>
      <c r="P493" s="1430"/>
      <c r="Q493" s="121" t="s">
        <v>1852</v>
      </c>
      <c r="R493" s="5"/>
      <c r="S493" s="5"/>
      <c r="T493" s="5"/>
      <c r="U493" s="5"/>
      <c r="V493" s="5"/>
      <c r="W493" s="5"/>
      <c r="X493" s="5"/>
      <c r="Y493" s="5"/>
      <c r="Z493" s="5"/>
      <c r="AA493" s="5"/>
      <c r="AB493" s="5"/>
      <c r="AC493" s="5"/>
      <c r="AD493" s="5"/>
      <c r="AE493" s="5"/>
      <c r="AF493" s="5"/>
      <c r="AG493" s="5"/>
      <c r="AH493" s="1431">
        <v>11</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402</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403</v>
      </c>
      <c r="AD498" s="1417"/>
      <c r="AE498" s="1417"/>
      <c r="AF498" s="1417"/>
      <c r="AG498" s="50" t="s">
        <v>404</v>
      </c>
      <c r="AH498" s="1417" t="s">
        <v>405</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8" t="s">
        <v>406</v>
      </c>
      <c r="C499" s="1409"/>
      <c r="D499" s="1409"/>
      <c r="E499" s="1409"/>
      <c r="F499" s="1409"/>
      <c r="G499" s="1409"/>
      <c r="H499" s="1410"/>
      <c r="I499" s="42" t="s">
        <v>407</v>
      </c>
      <c r="J499" s="42"/>
      <c r="K499" s="42"/>
      <c r="L499" s="42"/>
      <c r="M499" s="42"/>
      <c r="N499" s="42"/>
      <c r="O499" s="42"/>
      <c r="P499" s="42"/>
      <c r="Q499" s="42"/>
      <c r="R499" s="42"/>
      <c r="S499" s="42"/>
      <c r="T499" s="42"/>
      <c r="U499" s="42"/>
      <c r="V499" s="42"/>
      <c r="W499" s="42"/>
      <c r="AC499" s="1377">
        <v>11</v>
      </c>
      <c r="AD499" s="1378"/>
      <c r="AE499" s="1378"/>
      <c r="AF499" s="1378"/>
      <c r="AG499" s="13" t="s">
        <v>404</v>
      </c>
      <c r="AH499" s="1355">
        <v>2020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1"/>
      <c r="C500" s="1412"/>
      <c r="D500" s="1412"/>
      <c r="E500" s="1412"/>
      <c r="F500" s="1412"/>
      <c r="G500" s="1412"/>
      <c r="H500" s="1413"/>
      <c r="I500" s="48" t="s">
        <v>408</v>
      </c>
      <c r="J500" s="48"/>
      <c r="K500" s="48"/>
      <c r="L500" s="48"/>
      <c r="M500" s="48"/>
      <c r="N500" s="48"/>
      <c r="O500" s="48"/>
      <c r="P500" s="48"/>
      <c r="Q500" s="48"/>
      <c r="R500" s="48"/>
      <c r="S500" s="48"/>
      <c r="T500" s="48"/>
      <c r="U500" s="48"/>
      <c r="V500" s="48"/>
      <c r="W500" s="48"/>
      <c r="X500" s="48"/>
      <c r="Y500" s="48"/>
      <c r="Z500" s="48"/>
      <c r="AA500" s="48"/>
      <c r="AB500" s="48"/>
      <c r="AC500" s="1377">
        <v>12</v>
      </c>
      <c r="AD500" s="1378"/>
      <c r="AE500" s="1378"/>
      <c r="AF500" s="1378"/>
      <c r="AG500" s="38" t="s">
        <v>404</v>
      </c>
      <c r="AH500" s="1355">
        <v>2022</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8" t="s">
        <v>409</v>
      </c>
      <c r="C501" s="1409"/>
      <c r="D501" s="1409"/>
      <c r="E501" s="1409"/>
      <c r="F501" s="1409"/>
      <c r="G501" s="1409"/>
      <c r="H501" s="1410"/>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1"/>
      <c r="C502" s="1412"/>
      <c r="D502" s="1412"/>
      <c r="E502" s="1412"/>
      <c r="F502" s="1412"/>
      <c r="G502" s="1412"/>
      <c r="H502" s="1413"/>
      <c r="I502" t="s">
        <v>411</v>
      </c>
      <c r="AC502" s="1377">
        <v>11</v>
      </c>
      <c r="AD502" s="1378"/>
      <c r="AE502" s="1378"/>
      <c r="AF502" s="1378"/>
      <c r="AG502" s="13" t="s">
        <v>404</v>
      </c>
      <c r="AH502" s="1355">
        <v>2020</v>
      </c>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1"/>
      <c r="C503" s="1412"/>
      <c r="D503" s="1412"/>
      <c r="E503" s="1412"/>
      <c r="F503" s="1412"/>
      <c r="G503" s="1412"/>
      <c r="H503" s="1413"/>
      <c r="I503" t="s">
        <v>412</v>
      </c>
      <c r="AC503" s="1377">
        <v>11</v>
      </c>
      <c r="AD503" s="1378"/>
      <c r="AE503" s="1378"/>
      <c r="AF503" s="1378"/>
      <c r="AG503" s="13" t="s">
        <v>404</v>
      </c>
      <c r="AH503" s="1355">
        <v>2020</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1"/>
      <c r="C504" s="1412"/>
      <c r="D504" s="1412"/>
      <c r="E504" s="1412"/>
      <c r="F504" s="1412"/>
      <c r="G504" s="1412"/>
      <c r="H504" s="1413"/>
      <c r="I504" t="s">
        <v>413</v>
      </c>
      <c r="AC504" s="1377">
        <v>8</v>
      </c>
      <c r="AD504" s="1378"/>
      <c r="AE504" s="1378"/>
      <c r="AF504" s="1378"/>
      <c r="AG504" s="13" t="s">
        <v>404</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1"/>
      <c r="C505" s="1412"/>
      <c r="D505" s="1412"/>
      <c r="E505" s="1412"/>
      <c r="F505" s="1412"/>
      <c r="G505" s="1412"/>
      <c r="H505" s="1413"/>
      <c r="I505" s="3" t="s">
        <v>414</v>
      </c>
      <c r="AC505" s="1379">
        <v>8</v>
      </c>
      <c r="AD505" s="1380"/>
      <c r="AE505" s="1380"/>
      <c r="AF505" s="1380"/>
      <c r="AG505" s="13" t="s">
        <v>404</v>
      </c>
      <c r="AH505" s="1355">
        <f>AH504</f>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1"/>
      <c r="C506" s="1412"/>
      <c r="D506" s="1412"/>
      <c r="E506" s="1412"/>
      <c r="F506" s="1412"/>
      <c r="G506" s="1412"/>
      <c r="H506" s="1413"/>
      <c r="I506" s="933" t="s">
        <v>170</v>
      </c>
      <c r="J506" s="48"/>
      <c r="K506" s="48"/>
      <c r="L506" s="1406" t="s">
        <v>335</v>
      </c>
      <c r="M506" s="1407"/>
      <c r="N506" s="1407"/>
      <c r="O506" s="1407"/>
      <c r="P506" s="1407"/>
      <c r="Q506" s="1407"/>
      <c r="R506" s="1407"/>
      <c r="S506" s="1407"/>
      <c r="T506" s="1407"/>
      <c r="U506" s="1407"/>
      <c r="V506" s="1407"/>
      <c r="W506" s="1407"/>
      <c r="X506" s="1407"/>
      <c r="Y506" s="1407"/>
      <c r="Z506" s="1407"/>
      <c r="AA506" s="1407"/>
      <c r="AB506" s="1434"/>
      <c r="AC506" s="1377" t="s">
        <v>600</v>
      </c>
      <c r="AD506" s="1378"/>
      <c r="AE506" s="1378"/>
      <c r="AF506" s="1378"/>
      <c r="AG506" s="38" t="s">
        <v>404</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433" t="s">
        <v>554</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379">
        <v>6</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403</v>
      </c>
      <c r="AD511" s="1455"/>
      <c r="AE511" s="1455"/>
      <c r="AF511" s="1455"/>
      <c r="AG511" s="38" t="s">
        <v>404</v>
      </c>
      <c r="AH511" s="1455" t="s">
        <v>405</v>
      </c>
      <c r="AI511" s="1455"/>
      <c r="AJ511" s="1455"/>
      <c r="AK511" s="145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8" t="s">
        <v>415</v>
      </c>
      <c r="C512" s="1409"/>
      <c r="D512" s="1409"/>
      <c r="E512" s="1409"/>
      <c r="F512" s="1409"/>
      <c r="G512" s="1409"/>
      <c r="H512" s="1410"/>
      <c r="I512" s="42" t="s">
        <v>416</v>
      </c>
      <c r="J512" s="42"/>
      <c r="K512" s="42"/>
      <c r="L512" s="42"/>
      <c r="M512" s="42"/>
      <c r="N512" s="42"/>
      <c r="O512" s="42"/>
      <c r="P512" s="42"/>
      <c r="Q512" s="42"/>
      <c r="R512" s="42"/>
      <c r="S512" s="42"/>
      <c r="T512" s="42"/>
      <c r="U512" s="42"/>
      <c r="V512" s="42"/>
      <c r="W512" s="42"/>
      <c r="AC512" s="1377">
        <v>12</v>
      </c>
      <c r="AD512" s="1378"/>
      <c r="AE512" s="1378"/>
      <c r="AF512" s="1378"/>
      <c r="AG512" s="13" t="s">
        <v>404</v>
      </c>
      <c r="AH512" s="1355">
        <v>2022</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1"/>
      <c r="C513" s="1412"/>
      <c r="D513" s="1412"/>
      <c r="E513" s="1412"/>
      <c r="F513" s="1412"/>
      <c r="G513" s="1412"/>
      <c r="H513" s="1413"/>
      <c r="I513" t="s">
        <v>417</v>
      </c>
      <c r="AC513" s="1377">
        <v>12</v>
      </c>
      <c r="AD513" s="1378"/>
      <c r="AE513" s="1378"/>
      <c r="AF513" s="1378"/>
      <c r="AG513" s="13" t="s">
        <v>404</v>
      </c>
      <c r="AH513" s="1355">
        <v>2022</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1"/>
      <c r="C514" s="1412"/>
      <c r="D514" s="1412"/>
      <c r="E514" s="1412"/>
      <c r="F514" s="1412"/>
      <c r="G514" s="1412"/>
      <c r="H514" s="1413"/>
      <c r="I514" s="48" t="s">
        <v>418</v>
      </c>
      <c r="J514" s="48"/>
      <c r="K514" s="48"/>
      <c r="L514" s="48"/>
      <c r="M514" s="48"/>
      <c r="N514" s="48"/>
      <c r="O514" s="48"/>
      <c r="P514" s="48"/>
      <c r="Q514" s="48"/>
      <c r="R514" s="48"/>
      <c r="S514" s="48"/>
      <c r="T514" s="48"/>
      <c r="U514" s="48"/>
      <c r="V514" s="48"/>
      <c r="W514" s="48"/>
      <c r="X514" s="48"/>
      <c r="Y514" s="48"/>
      <c r="Z514" s="48"/>
      <c r="AA514" s="48"/>
      <c r="AB514" s="48"/>
      <c r="AC514" s="1377">
        <v>8</v>
      </c>
      <c r="AD514" s="1378"/>
      <c r="AE514" s="1378"/>
      <c r="AF514" s="1378"/>
      <c r="AG514" s="38" t="s">
        <v>404</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8" t="s">
        <v>419</v>
      </c>
      <c r="C515" s="1409"/>
      <c r="D515" s="1409"/>
      <c r="E515" s="1409"/>
      <c r="F515" s="1409"/>
      <c r="G515" s="1409"/>
      <c r="H515" s="1410"/>
      <c r="I515" s="42" t="s">
        <v>416</v>
      </c>
      <c r="J515" s="42"/>
      <c r="K515" s="42"/>
      <c r="L515" s="42"/>
      <c r="M515" s="42"/>
      <c r="N515" s="42"/>
      <c r="O515" s="42"/>
      <c r="P515" s="42"/>
      <c r="Q515" s="42"/>
      <c r="R515" s="42"/>
      <c r="S515" s="42"/>
      <c r="T515" s="42"/>
      <c r="U515" s="42"/>
      <c r="V515" s="42"/>
      <c r="W515" s="42"/>
      <c r="X515" s="42"/>
      <c r="Y515" s="42"/>
      <c r="Z515" s="42"/>
      <c r="AA515" s="42"/>
      <c r="AB515" s="42"/>
      <c r="AC515" s="1379">
        <v>12</v>
      </c>
      <c r="AD515" s="1380"/>
      <c r="AE515" s="1380"/>
      <c r="AF515" s="1380"/>
      <c r="AG515" s="129" t="s">
        <v>404</v>
      </c>
      <c r="AH515" s="1355">
        <v>2022</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t="s">
        <v>417</v>
      </c>
      <c r="AC516" s="1377">
        <v>12</v>
      </c>
      <c r="AD516" s="1378"/>
      <c r="AE516" s="1378"/>
      <c r="AF516" s="1378"/>
      <c r="AG516" s="13" t="s">
        <v>404</v>
      </c>
      <c r="AH516" s="1355">
        <v>2022</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4"/>
      <c r="C517" s="1415"/>
      <c r="D517" s="1415"/>
      <c r="E517" s="1415"/>
      <c r="F517" s="1415"/>
      <c r="G517" s="1415"/>
      <c r="H517" s="1416"/>
      <c r="I517" s="48" t="s">
        <v>418</v>
      </c>
      <c r="J517" s="48"/>
      <c r="K517" s="48"/>
      <c r="L517" s="48"/>
      <c r="M517" s="48"/>
      <c r="N517" s="48"/>
      <c r="O517" s="48"/>
      <c r="P517" s="48"/>
      <c r="Q517" s="48"/>
      <c r="R517" s="48"/>
      <c r="S517" s="48"/>
      <c r="T517" s="48"/>
      <c r="U517" s="48"/>
      <c r="V517" s="48"/>
      <c r="W517" s="48"/>
      <c r="X517" s="48"/>
      <c r="Y517" s="48"/>
      <c r="Z517" s="48"/>
      <c r="AA517" s="48"/>
      <c r="AB517" s="48"/>
      <c r="AC517" s="1377">
        <v>8</v>
      </c>
      <c r="AD517" s="1378"/>
      <c r="AE517" s="1378"/>
      <c r="AF517" s="1378"/>
      <c r="AG517" s="38" t="s">
        <v>404</v>
      </c>
      <c r="AH517" s="1355">
        <v>2023</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8" t="s">
        <v>420</v>
      </c>
      <c r="C518" s="1409"/>
      <c r="D518" s="1409"/>
      <c r="E518" s="1409"/>
      <c r="F518" s="1409"/>
      <c r="G518" s="1409"/>
      <c r="H518" s="1410"/>
      <c r="I518" s="41" t="s">
        <v>421</v>
      </c>
      <c r="J518" s="42"/>
      <c r="K518" s="42"/>
      <c r="L518" s="42"/>
      <c r="M518" s="42"/>
      <c r="N518" s="42"/>
      <c r="O518" s="1406" t="s">
        <v>2729</v>
      </c>
      <c r="P518" s="1407"/>
      <c r="Q518" s="1407"/>
      <c r="R518" s="1407"/>
      <c r="S518" s="1407"/>
      <c r="T518" s="1407"/>
      <c r="U518" s="1407"/>
      <c r="V518" s="1407"/>
      <c r="W518" s="1407"/>
      <c r="X518" s="1407"/>
      <c r="Y518" s="1407"/>
      <c r="Z518" s="1407"/>
      <c r="AA518" s="1407"/>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1"/>
      <c r="C519" s="1412"/>
      <c r="D519" s="1412"/>
      <c r="E519" s="1412"/>
      <c r="F519" s="1412"/>
      <c r="G519" s="1412"/>
      <c r="H519" s="1413"/>
      <c r="I519" s="114" t="s">
        <v>422</v>
      </c>
      <c r="AB519" s="65"/>
      <c r="AC519" s="1377">
        <v>5</v>
      </c>
      <c r="AD519" s="1378"/>
      <c r="AE519" s="1378"/>
      <c r="AF519" s="1378"/>
      <c r="AG519" s="13" t="s">
        <v>404</v>
      </c>
      <c r="AH519" s="1355">
        <v>2022</v>
      </c>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1"/>
      <c r="C520" s="1412"/>
      <c r="D520" s="1412"/>
      <c r="E520" s="1412"/>
      <c r="F520" s="1412"/>
      <c r="G520" s="1412"/>
      <c r="H520" s="1413"/>
      <c r="I520" s="47" t="s">
        <v>423</v>
      </c>
      <c r="J520" s="48"/>
      <c r="K520" s="48"/>
      <c r="L520" s="48"/>
      <c r="M520" s="48"/>
      <c r="N520" s="48"/>
      <c r="O520" s="48"/>
      <c r="P520" s="48"/>
      <c r="Q520" s="48"/>
      <c r="R520" s="48"/>
      <c r="S520" s="48"/>
      <c r="T520" s="48"/>
      <c r="U520" s="48"/>
      <c r="V520" s="48"/>
      <c r="W520" s="48"/>
      <c r="X520" s="48"/>
      <c r="Y520" s="48"/>
      <c r="Z520" s="48"/>
      <c r="AA520" s="48"/>
      <c r="AB520" s="49"/>
      <c r="AC520" s="1377">
        <v>6</v>
      </c>
      <c r="AD520" s="1378"/>
      <c r="AE520" s="1378"/>
      <c r="AF520" s="1378"/>
      <c r="AG520" s="38" t="s">
        <v>404</v>
      </c>
      <c r="AH520" s="1355">
        <v>2022</v>
      </c>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42" t="s">
        <v>424</v>
      </c>
      <c r="J521" s="42"/>
      <c r="K521" s="42"/>
      <c r="L521" s="42"/>
      <c r="M521" s="42"/>
      <c r="N521" s="42"/>
      <c r="O521" s="1406" t="s">
        <v>2730</v>
      </c>
      <c r="P521" s="1407"/>
      <c r="Q521" s="1407"/>
      <c r="R521" s="1407"/>
      <c r="S521" s="1407"/>
      <c r="T521" s="1407"/>
      <c r="U521" s="1407"/>
      <c r="V521" s="1407"/>
      <c r="W521" s="1407"/>
      <c r="X521" s="1407"/>
      <c r="Y521" s="1407"/>
      <c r="Z521" s="1407"/>
      <c r="AA521" s="1407"/>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t="s">
        <v>422</v>
      </c>
      <c r="AC522" s="1377">
        <v>8</v>
      </c>
      <c r="AD522" s="1378"/>
      <c r="AE522" s="1378"/>
      <c r="AF522" s="1378"/>
      <c r="AG522" s="13" t="s">
        <v>404</v>
      </c>
      <c r="AH522" s="1355">
        <v>2022</v>
      </c>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8" t="s">
        <v>423</v>
      </c>
      <c r="J523" s="48"/>
      <c r="K523" s="48"/>
      <c r="L523" s="48"/>
      <c r="M523" s="48"/>
      <c r="N523" s="48"/>
      <c r="O523" s="48"/>
      <c r="P523" s="48"/>
      <c r="Q523" s="48"/>
      <c r="R523" s="48"/>
      <c r="S523" s="48"/>
      <c r="T523" s="48"/>
      <c r="U523" s="48"/>
      <c r="V523" s="48"/>
      <c r="W523" s="48"/>
      <c r="X523" s="48"/>
      <c r="Y523" s="48"/>
      <c r="Z523" s="48"/>
      <c r="AA523" s="48"/>
      <c r="AB523" s="48"/>
      <c r="AC523" s="1377">
        <v>12</v>
      </c>
      <c r="AD523" s="1378"/>
      <c r="AE523" s="1378"/>
      <c r="AF523" s="1378"/>
      <c r="AG523" s="38" t="s">
        <v>404</v>
      </c>
      <c r="AH523" s="1355">
        <v>2022</v>
      </c>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s="42" t="s">
        <v>424</v>
      </c>
      <c r="J524" s="42"/>
      <c r="K524" s="42"/>
      <c r="L524" s="42"/>
      <c r="M524" s="42"/>
      <c r="N524" s="42"/>
      <c r="O524" s="1406" t="s">
        <v>335</v>
      </c>
      <c r="P524" s="1407"/>
      <c r="Q524" s="1407"/>
      <c r="R524" s="1407"/>
      <c r="S524" s="1407"/>
      <c r="T524" s="1407"/>
      <c r="U524" s="1407"/>
      <c r="V524" s="1407"/>
      <c r="W524" s="1407"/>
      <c r="X524" s="1407"/>
      <c r="Y524" s="1407"/>
      <c r="Z524" s="1407"/>
      <c r="AA524" s="1407"/>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1"/>
      <c r="C525" s="1412"/>
      <c r="D525" s="1412"/>
      <c r="E525" s="1412"/>
      <c r="F525" s="1412"/>
      <c r="G525" s="1412"/>
      <c r="H525" s="1413"/>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s="42" t="s">
        <v>424</v>
      </c>
      <c r="J527" s="42"/>
      <c r="K527" s="42"/>
      <c r="L527" s="42"/>
      <c r="M527" s="42"/>
      <c r="N527" s="42"/>
      <c r="O527" s="1406" t="s">
        <v>335</v>
      </c>
      <c r="P527" s="1407"/>
      <c r="Q527" s="1407"/>
      <c r="R527" s="1407"/>
      <c r="S527" s="1407"/>
      <c r="T527" s="1407"/>
      <c r="U527" s="1407"/>
      <c r="V527" s="1407"/>
      <c r="W527" s="1407"/>
      <c r="X527" s="1407"/>
      <c r="Y527" s="1407"/>
      <c r="Z527" s="1407"/>
      <c r="AA527" s="1407"/>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s="42" t="s">
        <v>424</v>
      </c>
      <c r="J530" s="42"/>
      <c r="K530" s="42"/>
      <c r="L530" s="42"/>
      <c r="M530" s="42"/>
      <c r="N530" s="42"/>
      <c r="O530" s="1406" t="s">
        <v>335</v>
      </c>
      <c r="P530" s="1407"/>
      <c r="Q530" s="1407"/>
      <c r="R530" s="1407"/>
      <c r="S530" s="1407"/>
      <c r="T530" s="1407"/>
      <c r="U530" s="1407"/>
      <c r="V530" s="1407"/>
      <c r="W530" s="1407"/>
      <c r="X530" s="1407"/>
      <c r="Y530" s="1407"/>
      <c r="Z530" s="1407"/>
      <c r="AA530" s="1407"/>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s="42" t="s">
        <v>424</v>
      </c>
      <c r="J533" s="42"/>
      <c r="K533" s="42"/>
      <c r="L533" s="42"/>
      <c r="M533" s="42"/>
      <c r="N533" s="42"/>
      <c r="O533" s="1406" t="s">
        <v>335</v>
      </c>
      <c r="P533" s="1407"/>
      <c r="Q533" s="1407"/>
      <c r="R533" s="1407"/>
      <c r="S533" s="1407"/>
      <c r="T533" s="1407"/>
      <c r="U533" s="1407"/>
      <c r="V533" s="1407"/>
      <c r="W533" s="1407"/>
      <c r="X533" s="1407"/>
      <c r="Y533" s="1407"/>
      <c r="Z533" s="1407"/>
      <c r="AA533" s="1407"/>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t="s">
        <v>600</v>
      </c>
      <c r="AD536" s="1378"/>
      <c r="AE536" s="1378"/>
      <c r="AF536" s="1378"/>
      <c r="AG536" s="38" t="s">
        <v>404</v>
      </c>
      <c r="AH536" s="1355"/>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t="s">
        <v>572</v>
      </c>
      <c r="AC537" s="1377" t="s">
        <v>600</v>
      </c>
      <c r="AD537" s="1378"/>
      <c r="AE537" s="1378"/>
      <c r="AF537" s="1378"/>
      <c r="AG537" s="13" t="s">
        <v>404</v>
      </c>
      <c r="AH537" s="1355"/>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t="s">
        <v>573</v>
      </c>
      <c r="AC538" s="1377" t="s">
        <v>600</v>
      </c>
      <c r="AD538" s="1378"/>
      <c r="AE538" s="1378"/>
      <c r="AF538" s="1378"/>
      <c r="AG538" s="38" t="s">
        <v>404</v>
      </c>
      <c r="AH538" s="1355"/>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574</v>
      </c>
      <c r="AC539" s="1377" t="s">
        <v>600</v>
      </c>
      <c r="AD539" s="1378"/>
      <c r="AE539" s="1378"/>
      <c r="AF539" s="1378"/>
      <c r="AG539" s="38" t="s">
        <v>404</v>
      </c>
      <c r="AH539" s="1355"/>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t="s">
        <v>600</v>
      </c>
      <c r="AD540" s="1378"/>
      <c r="AE540" s="1378"/>
      <c r="AF540" s="1378"/>
      <c r="AG540" s="38" t="s">
        <v>404</v>
      </c>
      <c r="AH540" s="1355"/>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9" t="s">
        <v>2532</v>
      </c>
      <c r="N549" s="1519"/>
      <c r="O549" s="1519"/>
      <c r="P549" s="1519"/>
      <c r="Q549" s="1374" t="s">
        <v>2558</v>
      </c>
      <c r="R549" s="1375"/>
      <c r="S549" s="1376"/>
      <c r="T549" s="1374" t="s">
        <v>2559</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20" t="s">
        <v>2759</v>
      </c>
      <c r="D550" s="1520"/>
      <c r="E550" s="1520"/>
      <c r="F550" s="1520"/>
      <c r="G550" s="1520"/>
      <c r="H550" s="1520"/>
      <c r="I550" s="1520"/>
      <c r="J550" s="1520"/>
      <c r="K550" s="1520"/>
      <c r="L550" s="1521"/>
      <c r="M550" s="1478" t="s">
        <v>2548</v>
      </c>
      <c r="N550" s="1478"/>
      <c r="O550" s="1478"/>
      <c r="P550" s="1478"/>
      <c r="Q550" s="1392">
        <f>Q623</f>
        <v>240</v>
      </c>
      <c r="R550" s="1392"/>
      <c r="S550" s="1393"/>
      <c r="T550" s="1391">
        <f>T623</f>
        <v>480</v>
      </c>
      <c r="U550" s="1392"/>
      <c r="V550" s="1393"/>
      <c r="W550" s="1388">
        <f>W623</f>
        <v>6.0999999999999999E-2</v>
      </c>
      <c r="X550" s="1389"/>
      <c r="Y550" s="1390"/>
      <c r="Z550" s="1432" t="s">
        <v>2732</v>
      </c>
      <c r="AA550" s="1432"/>
      <c r="AB550" s="1432"/>
      <c r="AC550" s="1432"/>
      <c r="AD550" s="1432"/>
      <c r="AE550" s="1425">
        <v>1</v>
      </c>
      <c r="AF550" s="1426"/>
      <c r="AG550" s="1426"/>
      <c r="AH550" s="1427"/>
      <c r="AI550" s="1451"/>
      <c r="AJ550" s="1452"/>
      <c r="AK550" s="1452"/>
      <c r="AL550" s="1453"/>
      <c r="AM550" s="1368">
        <v>6079348</v>
      </c>
      <c r="AN550" s="1369"/>
      <c r="AO550" s="1369"/>
      <c r="AP550" s="1369"/>
      <c r="AQ550" s="1369"/>
      <c r="AR550" s="1369"/>
      <c r="AS550" s="1370"/>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9" t="s">
        <v>2733</v>
      </c>
      <c r="D551" s="1479"/>
      <c r="E551" s="1479"/>
      <c r="F551" s="1479"/>
      <c r="G551" s="1479"/>
      <c r="H551" s="1479"/>
      <c r="I551" s="1479"/>
      <c r="J551" s="1479"/>
      <c r="K551" s="1479"/>
      <c r="L551" s="1479"/>
      <c r="M551" s="1478" t="s">
        <v>2551</v>
      </c>
      <c r="N551" s="1478"/>
      <c r="O551" s="1478"/>
      <c r="P551" s="1478"/>
      <c r="Q551" s="1391"/>
      <c r="R551" s="1392"/>
      <c r="S551" s="1393"/>
      <c r="T551" s="1391"/>
      <c r="U551" s="1392"/>
      <c r="V551" s="1393"/>
      <c r="W551" s="1388"/>
      <c r="X551" s="1389"/>
      <c r="Y551" s="1390"/>
      <c r="Z551" s="1432" t="s">
        <v>600</v>
      </c>
      <c r="AA551" s="1432"/>
      <c r="AB551" s="1432"/>
      <c r="AC551" s="1432"/>
      <c r="AD551" s="1432"/>
      <c r="AE551" s="1425">
        <v>4</v>
      </c>
      <c r="AF551" s="1426"/>
      <c r="AG551" s="1426"/>
      <c r="AH551" s="1427"/>
      <c r="AI551" s="1451"/>
      <c r="AJ551" s="1452"/>
      <c r="AK551" s="1452"/>
      <c r="AL551" s="1453"/>
      <c r="AM551" s="1368">
        <v>160693</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9" t="s">
        <v>1922</v>
      </c>
      <c r="D552" s="1479"/>
      <c r="E552" s="1479"/>
      <c r="F552" s="1479"/>
      <c r="G552" s="1479"/>
      <c r="H552" s="1479"/>
      <c r="I552" s="1479"/>
      <c r="J552" s="1479"/>
      <c r="K552" s="1479"/>
      <c r="L552" s="1479"/>
      <c r="M552" s="1478" t="s">
        <v>2535</v>
      </c>
      <c r="N552" s="1478"/>
      <c r="O552" s="1478"/>
      <c r="P552" s="1478"/>
      <c r="Q552" s="1391"/>
      <c r="R552" s="1392"/>
      <c r="S552" s="1393"/>
      <c r="T552" s="1391"/>
      <c r="U552" s="1392"/>
      <c r="V552" s="1393"/>
      <c r="W552" s="1388"/>
      <c r="X552" s="1389"/>
      <c r="Y552" s="1390"/>
      <c r="Z552" s="1432" t="s">
        <v>600</v>
      </c>
      <c r="AA552" s="1432"/>
      <c r="AB552" s="1432"/>
      <c r="AC552" s="1432"/>
      <c r="AD552" s="1432"/>
      <c r="AE552" s="1425">
        <v>5</v>
      </c>
      <c r="AF552" s="1426"/>
      <c r="AG552" s="1426"/>
      <c r="AH552" s="1427"/>
      <c r="AI552" s="1451"/>
      <c r="AJ552" s="1452"/>
      <c r="AK552" s="1452"/>
      <c r="AL552" s="1453"/>
      <c r="AM552" s="1368">
        <v>1617060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9" t="s">
        <v>2734</v>
      </c>
      <c r="D553" s="1479"/>
      <c r="E553" s="1479"/>
      <c r="F553" s="1479"/>
      <c r="G553" s="1479"/>
      <c r="H553" s="1479"/>
      <c r="I553" s="1479"/>
      <c r="J553" s="1479"/>
      <c r="K553" s="1479"/>
      <c r="L553" s="1479"/>
      <c r="M553" s="1478" t="s">
        <v>2539</v>
      </c>
      <c r="N553" s="1478"/>
      <c r="O553" s="1478"/>
      <c r="P553" s="1478"/>
      <c r="Q553" s="1391"/>
      <c r="R553" s="1392"/>
      <c r="S553" s="1393"/>
      <c r="T553" s="1391"/>
      <c r="U553" s="1392"/>
      <c r="V553" s="1393"/>
      <c r="W553" s="1388"/>
      <c r="X553" s="1389"/>
      <c r="Y553" s="1390"/>
      <c r="Z553" s="1432" t="s">
        <v>600</v>
      </c>
      <c r="AA553" s="1432"/>
      <c r="AB553" s="1432"/>
      <c r="AC553" s="1432"/>
      <c r="AD553" s="1432"/>
      <c r="AE553" s="1425">
        <v>3</v>
      </c>
      <c r="AF553" s="1426"/>
      <c r="AG553" s="1426"/>
      <c r="AH553" s="1427"/>
      <c r="AI553" s="1451"/>
      <c r="AJ553" s="1452"/>
      <c r="AK553" s="1452"/>
      <c r="AL553" s="1453"/>
      <c r="AM553" s="1368">
        <f>0.4*AO636</f>
        <v>2742857.6832776996</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9" t="s">
        <v>2763</v>
      </c>
      <c r="D554" s="1479"/>
      <c r="E554" s="1479"/>
      <c r="F554" s="1479"/>
      <c r="G554" s="1479"/>
      <c r="H554" s="1479"/>
      <c r="I554" s="1479"/>
      <c r="J554" s="1479"/>
      <c r="K554" s="1479"/>
      <c r="L554" s="1479"/>
      <c r="M554" s="1478" t="s">
        <v>2547</v>
      </c>
      <c r="N554" s="1478"/>
      <c r="O554" s="1478"/>
      <c r="P554" s="1478"/>
      <c r="Q554" s="1391">
        <v>24</v>
      </c>
      <c r="R554" s="1392"/>
      <c r="S554" s="1393"/>
      <c r="T554" s="1391"/>
      <c r="U554" s="1392"/>
      <c r="V554" s="1393"/>
      <c r="W554" s="1388">
        <f>W550+0.5%</f>
        <v>6.6000000000000003E-2</v>
      </c>
      <c r="X554" s="1389"/>
      <c r="Y554" s="1390"/>
      <c r="Z554" s="1432" t="s">
        <v>2764</v>
      </c>
      <c r="AA554" s="1432"/>
      <c r="AB554" s="1432"/>
      <c r="AC554" s="1432"/>
      <c r="AD554" s="1432"/>
      <c r="AE554" s="1425">
        <v>2</v>
      </c>
      <c r="AF554" s="1426"/>
      <c r="AG554" s="1426"/>
      <c r="AH554" s="1427"/>
      <c r="AI554" s="1451"/>
      <c r="AJ554" s="1452"/>
      <c r="AK554" s="1452"/>
      <c r="AL554" s="1453"/>
      <c r="AM554" s="1368">
        <v>871090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9"/>
      <c r="D555" s="1479"/>
      <c r="E555" s="1479"/>
      <c r="F555" s="1479"/>
      <c r="G555" s="1479"/>
      <c r="H555" s="1479"/>
      <c r="I555" s="1479"/>
      <c r="J555" s="1479"/>
      <c r="K555" s="1479"/>
      <c r="L555" s="1479"/>
      <c r="M555" s="1478" t="s">
        <v>1327</v>
      </c>
      <c r="N555" s="1478"/>
      <c r="O555" s="1478"/>
      <c r="P555" s="1478"/>
      <c r="Q555" s="1391"/>
      <c r="R555" s="1392"/>
      <c r="S555" s="1393"/>
      <c r="T555" s="1391"/>
      <c r="U555" s="1392"/>
      <c r="V555" s="1393"/>
      <c r="W555" s="1388"/>
      <c r="X555" s="1389"/>
      <c r="Y555" s="1390"/>
      <c r="Z555" s="1432" t="s">
        <v>1327</v>
      </c>
      <c r="AA555" s="1432"/>
      <c r="AB555" s="1432"/>
      <c r="AC555" s="1432"/>
      <c r="AD555" s="1432"/>
      <c r="AE555" s="1425"/>
      <c r="AF555" s="1426"/>
      <c r="AG555" s="1426"/>
      <c r="AH555" s="1427"/>
      <c r="AI555" s="1451"/>
      <c r="AJ555" s="1452"/>
      <c r="AK555" s="1452"/>
      <c r="AL555" s="1453"/>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9"/>
      <c r="D556" s="1479"/>
      <c r="E556" s="1479"/>
      <c r="F556" s="1479"/>
      <c r="G556" s="1479"/>
      <c r="H556" s="1479"/>
      <c r="I556" s="1479"/>
      <c r="J556" s="1479"/>
      <c r="K556" s="1479"/>
      <c r="L556" s="1479"/>
      <c r="M556" s="1478" t="s">
        <v>1327</v>
      </c>
      <c r="N556" s="1478"/>
      <c r="O556" s="1478"/>
      <c r="P556" s="1478"/>
      <c r="Q556" s="1391"/>
      <c r="R556" s="1392"/>
      <c r="S556" s="1393"/>
      <c r="T556" s="1391"/>
      <c r="U556" s="1392"/>
      <c r="V556" s="1393"/>
      <c r="W556" s="1388"/>
      <c r="X556" s="1389"/>
      <c r="Y556" s="1390"/>
      <c r="Z556" s="1432" t="s">
        <v>1327</v>
      </c>
      <c r="AA556" s="1432"/>
      <c r="AB556" s="1432"/>
      <c r="AC556" s="1432"/>
      <c r="AD556" s="1432"/>
      <c r="AE556" s="1425"/>
      <c r="AF556" s="1426"/>
      <c r="AG556" s="1426"/>
      <c r="AH556" s="1427"/>
      <c r="AI556" s="1451"/>
      <c r="AJ556" s="1452"/>
      <c r="AK556" s="1452"/>
      <c r="AL556" s="1453"/>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9"/>
      <c r="D557" s="1479"/>
      <c r="E557" s="1479"/>
      <c r="F557" s="1479"/>
      <c r="G557" s="1479"/>
      <c r="H557" s="1479"/>
      <c r="I557" s="1479"/>
      <c r="J557" s="1479"/>
      <c r="K557" s="1479"/>
      <c r="L557" s="1479"/>
      <c r="M557" s="1478" t="s">
        <v>1327</v>
      </c>
      <c r="N557" s="1478"/>
      <c r="O557" s="1478"/>
      <c r="P557" s="1478"/>
      <c r="Q557" s="1391"/>
      <c r="R557" s="1392"/>
      <c r="S557" s="1393"/>
      <c r="T557" s="1391"/>
      <c r="U557" s="1392"/>
      <c r="V557" s="1393"/>
      <c r="W557" s="1388"/>
      <c r="X557" s="1389"/>
      <c r="Y557" s="1390"/>
      <c r="Z557" s="1432" t="s">
        <v>1327</v>
      </c>
      <c r="AA557" s="1432"/>
      <c r="AB557" s="1432"/>
      <c r="AC557" s="1432"/>
      <c r="AD557" s="1432"/>
      <c r="AE557" s="1425"/>
      <c r="AF557" s="1426"/>
      <c r="AG557" s="1426"/>
      <c r="AH557" s="1427"/>
      <c r="AI557" s="1451"/>
      <c r="AJ557" s="1452"/>
      <c r="AK557" s="1452"/>
      <c r="AL557" s="1453"/>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9"/>
      <c r="D558" s="1479"/>
      <c r="E558" s="1479"/>
      <c r="F558" s="1479"/>
      <c r="G558" s="1479"/>
      <c r="H558" s="1479"/>
      <c r="I558" s="1479"/>
      <c r="J558" s="1479"/>
      <c r="K558" s="1479"/>
      <c r="L558" s="1479"/>
      <c r="M558" s="1478" t="s">
        <v>1327</v>
      </c>
      <c r="N558" s="1478"/>
      <c r="O558" s="1478"/>
      <c r="P558" s="1478"/>
      <c r="Q558" s="1391"/>
      <c r="R558" s="1392"/>
      <c r="S558" s="1393"/>
      <c r="T558" s="1391"/>
      <c r="U558" s="1392"/>
      <c r="V558" s="1393"/>
      <c r="W558" s="1388"/>
      <c r="X558" s="1389"/>
      <c r="Y558" s="1390"/>
      <c r="Z558" s="1432" t="s">
        <v>1327</v>
      </c>
      <c r="AA558" s="1432"/>
      <c r="AB558" s="1432"/>
      <c r="AC558" s="1432"/>
      <c r="AD558" s="1432"/>
      <c r="AE558" s="1425"/>
      <c r="AF558" s="1426"/>
      <c r="AG558" s="1426"/>
      <c r="AH558" s="1427"/>
      <c r="AI558" s="1451"/>
      <c r="AJ558" s="1452"/>
      <c r="AK558" s="1452"/>
      <c r="AL558" s="1453"/>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9"/>
      <c r="D559" s="1479"/>
      <c r="E559" s="1479"/>
      <c r="F559" s="1479"/>
      <c r="G559" s="1479"/>
      <c r="H559" s="1479"/>
      <c r="I559" s="1479"/>
      <c r="J559" s="1479"/>
      <c r="K559" s="1479"/>
      <c r="L559" s="1479"/>
      <c r="M559" s="1478" t="s">
        <v>1327</v>
      </c>
      <c r="N559" s="1478"/>
      <c r="O559" s="1478"/>
      <c r="P559" s="1478"/>
      <c r="Q559" s="1391"/>
      <c r="R559" s="1392"/>
      <c r="S559" s="1393"/>
      <c r="T559" s="1391"/>
      <c r="U559" s="1392"/>
      <c r="V559" s="1393"/>
      <c r="W559" s="1388"/>
      <c r="X559" s="1389"/>
      <c r="Y559" s="1390"/>
      <c r="Z559" s="1432" t="s">
        <v>1327</v>
      </c>
      <c r="AA559" s="1432"/>
      <c r="AB559" s="1432"/>
      <c r="AC559" s="1432"/>
      <c r="AD559" s="1432"/>
      <c r="AE559" s="1425"/>
      <c r="AF559" s="1426"/>
      <c r="AG559" s="1426"/>
      <c r="AH559" s="1427"/>
      <c r="AI559" s="1451"/>
      <c r="AJ559" s="1452"/>
      <c r="AK559" s="1452"/>
      <c r="AL559" s="1453"/>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9"/>
      <c r="D560" s="1479"/>
      <c r="E560" s="1479"/>
      <c r="F560" s="1479"/>
      <c r="G560" s="1479"/>
      <c r="H560" s="1479"/>
      <c r="I560" s="1479"/>
      <c r="J560" s="1479"/>
      <c r="K560" s="1479"/>
      <c r="L560" s="1479"/>
      <c r="M560" s="1478" t="s">
        <v>1327</v>
      </c>
      <c r="N560" s="1478"/>
      <c r="O560" s="1478"/>
      <c r="P560" s="1478"/>
      <c r="Q560" s="1391"/>
      <c r="R560" s="1392"/>
      <c r="S560" s="1393"/>
      <c r="T560" s="1391"/>
      <c r="U560" s="1392"/>
      <c r="V560" s="1393"/>
      <c r="W560" s="1388"/>
      <c r="X560" s="1389"/>
      <c r="Y560" s="1390"/>
      <c r="Z560" s="1432" t="s">
        <v>1327</v>
      </c>
      <c r="AA560" s="1432"/>
      <c r="AB560" s="1432"/>
      <c r="AC560" s="1432"/>
      <c r="AD560" s="1432"/>
      <c r="AE560" s="1425"/>
      <c r="AF560" s="1426"/>
      <c r="AG560" s="1426"/>
      <c r="AH560" s="1427"/>
      <c r="AI560" s="1451"/>
      <c r="AJ560" s="1452"/>
      <c r="AK560" s="1452"/>
      <c r="AL560" s="1453"/>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9"/>
      <c r="D561" s="1479"/>
      <c r="E561" s="1479"/>
      <c r="F561" s="1479"/>
      <c r="G561" s="1479"/>
      <c r="H561" s="1479"/>
      <c r="I561" s="1479"/>
      <c r="J561" s="1479"/>
      <c r="K561" s="1479"/>
      <c r="L561" s="1479"/>
      <c r="M561" s="1478" t="s">
        <v>1327</v>
      </c>
      <c r="N561" s="1478"/>
      <c r="O561" s="1478"/>
      <c r="P561" s="1478"/>
      <c r="Q561" s="1391"/>
      <c r="R561" s="1392"/>
      <c r="S561" s="1393"/>
      <c r="T561" s="1391"/>
      <c r="U561" s="1392"/>
      <c r="V561" s="1393"/>
      <c r="W561" s="1388"/>
      <c r="X561" s="1389"/>
      <c r="Y561" s="1390"/>
      <c r="Z561" s="1432" t="s">
        <v>1327</v>
      </c>
      <c r="AA561" s="1432"/>
      <c r="AB561" s="1432"/>
      <c r="AC561" s="1432"/>
      <c r="AD561" s="1432"/>
      <c r="AE561" s="1425"/>
      <c r="AF561" s="1426"/>
      <c r="AG561" s="1426"/>
      <c r="AH561" s="1427"/>
      <c r="AI561" s="1451"/>
      <c r="AJ561" s="1452"/>
      <c r="AK561" s="1452"/>
      <c r="AL561" s="1453"/>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5" t="s">
        <v>128</v>
      </c>
      <c r="C562" s="1526"/>
      <c r="D562" s="1526"/>
      <c r="E562" s="1526"/>
      <c r="F562" s="1526"/>
      <c r="G562" s="1526"/>
      <c r="H562" s="1526"/>
      <c r="I562" s="1526"/>
      <c r="J562" s="1526"/>
      <c r="K562" s="1526"/>
      <c r="L562" s="1526"/>
      <c r="M562" s="1526"/>
      <c r="N562" s="1526"/>
      <c r="O562" s="1526"/>
      <c r="P562" s="1526"/>
      <c r="Q562" s="1526"/>
      <c r="R562" s="1526"/>
      <c r="S562" s="1526"/>
      <c r="T562" s="1526"/>
      <c r="U562" s="1527"/>
      <c r="V562" s="1526"/>
      <c r="W562" s="1526"/>
      <c r="X562" s="1526"/>
      <c r="Y562" s="1526"/>
      <c r="Z562" s="1526"/>
      <c r="AA562" s="1526"/>
      <c r="AB562" s="1526"/>
      <c r="AC562" s="1526"/>
      <c r="AD562" s="1526"/>
      <c r="AE562" s="1526"/>
      <c r="AF562" s="1526"/>
      <c r="AG562" s="1526"/>
      <c r="AH562" s="1526"/>
      <c r="AI562" s="1526"/>
      <c r="AJ562" s="1526"/>
      <c r="AK562" s="1526"/>
      <c r="AL562" s="1528"/>
      <c r="AM562" s="1522">
        <f>SUM(AM550:AS561)</f>
        <v>11471048.6832777</v>
      </c>
      <c r="AN562" s="1523"/>
      <c r="AO562" s="1523"/>
      <c r="AP562" s="1523"/>
      <c r="AQ562" s="1523"/>
      <c r="AR562" s="1523"/>
      <c r="AS562" s="152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8" t="str">
        <f>C550</f>
        <v xml:space="preserve">R4 Tax-exempt </v>
      </c>
      <c r="H564" s="1518"/>
      <c r="I564" s="1518"/>
      <c r="J564" s="1518"/>
      <c r="K564" s="1518"/>
      <c r="L564" s="1518"/>
      <c r="M564" s="1518"/>
      <c r="N564" s="1518"/>
      <c r="O564" s="1518"/>
      <c r="P564" s="1518"/>
      <c r="Q564" s="1518"/>
      <c r="R564" s="1518"/>
      <c r="S564" s="8"/>
      <c r="T564" s="55" t="s">
        <v>114</v>
      </c>
      <c r="U564" t="s">
        <v>472</v>
      </c>
      <c r="Z564" s="1518" t="str">
        <f>C551</f>
        <v>Deferred Reserves</v>
      </c>
      <c r="AA564" s="1518"/>
      <c r="AB564" s="1518"/>
      <c r="AC564" s="1518"/>
      <c r="AD564" s="1518"/>
      <c r="AE564" s="1518"/>
      <c r="AF564" s="1518"/>
      <c r="AG564" s="1518"/>
      <c r="AH564" s="1518"/>
      <c r="AI564" s="1518"/>
      <c r="AJ564" s="1518"/>
      <c r="AK564" s="151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4" t="s">
        <v>2735</v>
      </c>
      <c r="H565" s="1394"/>
      <c r="I565" s="1394"/>
      <c r="J565" s="1394"/>
      <c r="K565" s="1394"/>
      <c r="L565" s="1394"/>
      <c r="M565" s="1394"/>
      <c r="N565" s="1394"/>
      <c r="O565" s="1394"/>
      <c r="P565" s="1394"/>
      <c r="Q565" s="1394"/>
      <c r="R565" s="1394"/>
      <c r="S565" s="8"/>
      <c r="T565" s="22"/>
      <c r="U565" t="s">
        <v>86</v>
      </c>
      <c r="Z565" s="1394" t="s">
        <v>2640</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94" t="s">
        <v>2736</v>
      </c>
      <c r="H566" s="1394"/>
      <c r="I566" s="1394"/>
      <c r="J566" s="1394"/>
      <c r="K566" s="1394"/>
      <c r="L566" s="1394"/>
      <c r="M566" s="1394"/>
      <c r="N566" s="1394"/>
      <c r="O566" s="1394"/>
      <c r="P566" s="1394"/>
      <c r="Q566" s="1394"/>
      <c r="R566" s="1394"/>
      <c r="T566" s="22"/>
      <c r="U566" t="s">
        <v>589</v>
      </c>
      <c r="Z566" s="1366" t="s">
        <v>2660</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4" t="s">
        <v>2737</v>
      </c>
      <c r="H567" s="1394"/>
      <c r="I567" s="1394"/>
      <c r="J567" s="1394"/>
      <c r="K567" s="1394"/>
      <c r="L567" s="1394"/>
      <c r="M567" s="1394"/>
      <c r="N567" s="1394"/>
      <c r="O567" s="1394"/>
      <c r="P567" s="1394"/>
      <c r="Q567" s="1394"/>
      <c r="R567" s="1394"/>
      <c r="S567" s="8"/>
      <c r="T567" s="22"/>
      <c r="U567" t="s">
        <v>17</v>
      </c>
      <c r="Z567" s="1366" t="s">
        <v>2740</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438" t="s">
        <v>2738</v>
      </c>
      <c r="H568" s="1438"/>
      <c r="I568" s="1438"/>
      <c r="J568" s="1438"/>
      <c r="K568" s="1438"/>
      <c r="L568" s="1438"/>
      <c r="O568" s="33" t="s">
        <v>207</v>
      </c>
      <c r="P568" s="1469"/>
      <c r="Q568" s="1469"/>
      <c r="R568" s="1469"/>
      <c r="S568" s="10"/>
      <c r="T568" s="22"/>
      <c r="U568" t="s">
        <v>317</v>
      </c>
      <c r="Z568" s="1438" t="s">
        <v>2644</v>
      </c>
      <c r="AA568" s="1438"/>
      <c r="AB568" s="1438"/>
      <c r="AC568" s="1438"/>
      <c r="AD568" s="1438"/>
      <c r="AE568" s="1438"/>
      <c r="AH568" s="33" t="s">
        <v>207</v>
      </c>
      <c r="AI568" s="1469"/>
      <c r="AJ568" s="1469"/>
      <c r="AK568" s="146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4" t="s">
        <v>2739</v>
      </c>
      <c r="I569" s="1394"/>
      <c r="J569" s="1394"/>
      <c r="K569" s="1394"/>
      <c r="L569" s="1394"/>
      <c r="M569" s="1394"/>
      <c r="N569" s="1394"/>
      <c r="O569" s="1394"/>
      <c r="P569" s="1394"/>
      <c r="Q569" s="1394"/>
      <c r="R569" s="1394"/>
      <c r="S569" s="8"/>
      <c r="T569" s="22"/>
      <c r="U569" t="s">
        <v>18</v>
      </c>
      <c r="AA569" s="1394" t="s">
        <v>2733</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36" t="s">
        <v>678</v>
      </c>
      <c r="N570" s="1537"/>
      <c r="O570" s="1537"/>
      <c r="P570" s="1537"/>
      <c r="Q570" s="1537"/>
      <c r="R570" s="1537"/>
      <c r="S570" s="8"/>
      <c r="T570" s="22"/>
      <c r="U570" s="349" t="s">
        <v>1328</v>
      </c>
      <c r="AA570" s="8"/>
      <c r="AB570" s="8"/>
      <c r="AC570" s="8"/>
      <c r="AD570" s="8"/>
      <c r="AE570" s="8"/>
      <c r="AF570" s="1536" t="s">
        <v>678</v>
      </c>
      <c r="AG570" s="1537"/>
      <c r="AH570" s="1537"/>
      <c r="AI570" s="1537"/>
      <c r="AJ570" s="1537"/>
      <c r="AK570" s="153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445" t="s">
        <v>554</v>
      </c>
      <c r="O571" s="1373"/>
      <c r="T571" s="22"/>
      <c r="U571" t="s">
        <v>20</v>
      </c>
      <c r="AG571" s="1445"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8" t="str">
        <f>C552</f>
        <v>Deferred Developer Fee</v>
      </c>
      <c r="H573" s="1518"/>
      <c r="I573" s="1518"/>
      <c r="J573" s="1518"/>
      <c r="K573" s="1518"/>
      <c r="L573" s="1518"/>
      <c r="M573" s="1518"/>
      <c r="N573" s="1518"/>
      <c r="O573" s="1518"/>
      <c r="P573" s="1518"/>
      <c r="Q573" s="1518"/>
      <c r="R573" s="1518"/>
      <c r="T573" s="55" t="s">
        <v>590</v>
      </c>
      <c r="U573" t="s">
        <v>472</v>
      </c>
      <c r="Z573" s="1518" t="str">
        <f>C553</f>
        <v>R4 Gross Tax Credit Equity</v>
      </c>
      <c r="AA573" s="1518"/>
      <c r="AB573" s="1518"/>
      <c r="AC573" s="1518"/>
      <c r="AD573" s="1518"/>
      <c r="AE573" s="1518"/>
      <c r="AF573" s="1518"/>
      <c r="AG573" s="1518"/>
      <c r="AH573" s="1518"/>
      <c r="AI573" s="1518"/>
      <c r="AJ573" s="1518"/>
      <c r="AK573" s="151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4" t="s">
        <v>2640</v>
      </c>
      <c r="H574" s="1394"/>
      <c r="I574" s="1394"/>
      <c r="J574" s="1394"/>
      <c r="K574" s="1394"/>
      <c r="L574" s="1394"/>
      <c r="M574" s="1394"/>
      <c r="N574" s="1394"/>
      <c r="O574" s="1394"/>
      <c r="P574" s="1394"/>
      <c r="Q574" s="1394"/>
      <c r="R574" s="1394"/>
      <c r="T574" s="22"/>
      <c r="U574" t="s">
        <v>86</v>
      </c>
      <c r="Z574" s="1394" t="s">
        <v>2742</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6" t="s">
        <v>2660</v>
      </c>
      <c r="H575" s="1366"/>
      <c r="I575" s="1366"/>
      <c r="J575" s="1366"/>
      <c r="K575" s="1366"/>
      <c r="L575" s="1366"/>
      <c r="M575" s="1366"/>
      <c r="N575" s="1366"/>
      <c r="O575" s="1366"/>
      <c r="P575" s="1366"/>
      <c r="Q575" s="1366"/>
      <c r="R575" s="1366"/>
      <c r="T575" s="22"/>
      <c r="U575" t="s">
        <v>589</v>
      </c>
      <c r="Z575" s="1366" t="s">
        <v>2743</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2740</v>
      </c>
      <c r="H576" s="1366"/>
      <c r="I576" s="1366"/>
      <c r="J576" s="1366"/>
      <c r="K576" s="1366"/>
      <c r="L576" s="1366"/>
      <c r="M576" s="1366"/>
      <c r="N576" s="1366"/>
      <c r="O576" s="1366"/>
      <c r="P576" s="1366"/>
      <c r="Q576" s="1366"/>
      <c r="R576" s="1366"/>
      <c r="T576" s="22"/>
      <c r="U576" t="s">
        <v>17</v>
      </c>
      <c r="Z576" s="1366" t="s">
        <v>2744</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438" t="s">
        <v>2644</v>
      </c>
      <c r="H577" s="1438"/>
      <c r="I577" s="1438"/>
      <c r="J577" s="1438"/>
      <c r="K577" s="1438"/>
      <c r="L577" s="1438"/>
      <c r="O577" s="33" t="s">
        <v>207</v>
      </c>
      <c r="P577" s="1469"/>
      <c r="Q577" s="1469"/>
      <c r="R577" s="1469"/>
      <c r="T577" s="22"/>
      <c r="U577" t="s">
        <v>317</v>
      </c>
      <c r="Z577" s="1438" t="s">
        <v>2745</v>
      </c>
      <c r="AA577" s="1438"/>
      <c r="AB577" s="1438"/>
      <c r="AC577" s="1438"/>
      <c r="AD577" s="1438"/>
      <c r="AE577" s="1438"/>
      <c r="AH577" s="33" t="s">
        <v>207</v>
      </c>
      <c r="AI577" s="1469"/>
      <c r="AJ577" s="1469"/>
      <c r="AK577" s="146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4" t="s">
        <v>2741</v>
      </c>
      <c r="I578" s="1394"/>
      <c r="J578" s="1394"/>
      <c r="K578" s="1394"/>
      <c r="L578" s="1394"/>
      <c r="M578" s="1394"/>
      <c r="N578" s="1394"/>
      <c r="O578" s="1394"/>
      <c r="P578" s="1394"/>
      <c r="Q578" s="1394"/>
      <c r="R578" s="1394"/>
      <c r="T578" s="22"/>
      <c r="U578" t="s">
        <v>18</v>
      </c>
      <c r="AA578" s="1394" t="s">
        <v>2746</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445"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18" t="str">
        <f>C554</f>
        <v>R4 Taxable</v>
      </c>
      <c r="H581" s="1518"/>
      <c r="I581" s="1518"/>
      <c r="J581" s="1518"/>
      <c r="K581" s="1518"/>
      <c r="L581" s="1518"/>
      <c r="M581" s="1518"/>
      <c r="N581" s="1518"/>
      <c r="O581" s="1518"/>
      <c r="P581" s="1518"/>
      <c r="Q581" s="1518"/>
      <c r="R581" s="1518"/>
      <c r="T581" s="55" t="s">
        <v>593</v>
      </c>
      <c r="U581" t="s">
        <v>472</v>
      </c>
      <c r="Z581" s="1518">
        <f>C555</f>
        <v>0</v>
      </c>
      <c r="AA581" s="1518"/>
      <c r="AB581" s="1518"/>
      <c r="AC581" s="1518"/>
      <c r="AD581" s="1518"/>
      <c r="AE581" s="1518"/>
      <c r="AF581" s="1518"/>
      <c r="AG581" s="1518"/>
      <c r="AH581" s="1518"/>
      <c r="AI581" s="1518"/>
      <c r="AJ581" s="1518"/>
      <c r="AK581" s="151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560" t="s">
        <v>2735</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94" t="s">
        <v>2736</v>
      </c>
      <c r="H583" s="1394"/>
      <c r="I583" s="1394"/>
      <c r="J583" s="1394"/>
      <c r="K583" s="1394"/>
      <c r="L583" s="1394"/>
      <c r="M583" s="1394"/>
      <c r="N583" s="1394"/>
      <c r="O583" s="1394"/>
      <c r="P583" s="1394"/>
      <c r="Q583" s="1394"/>
      <c r="R583" s="1394"/>
      <c r="T583" s="22"/>
      <c r="U583" t="s">
        <v>589</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4" t="s">
        <v>2737</v>
      </c>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438" t="s">
        <v>2738</v>
      </c>
      <c r="H585" s="1438"/>
      <c r="I585" s="1438"/>
      <c r="J585" s="1438"/>
      <c r="K585" s="1438"/>
      <c r="L585" s="1438"/>
      <c r="O585" s="33" t="s">
        <v>207</v>
      </c>
      <c r="P585" s="1469"/>
      <c r="Q585" s="1469"/>
      <c r="R585" s="1469"/>
      <c r="T585" s="22"/>
      <c r="U585" t="s">
        <v>317</v>
      </c>
      <c r="Z585" s="1438"/>
      <c r="AA585" s="1438"/>
      <c r="AB585" s="1438"/>
      <c r="AC585" s="1438"/>
      <c r="AD585" s="1438"/>
      <c r="AE585" s="1438"/>
      <c r="AH585" s="33" t="s">
        <v>207</v>
      </c>
      <c r="AI585" s="1469"/>
      <c r="AJ585" s="1469"/>
      <c r="AK585" s="146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4" t="s">
        <v>2739</v>
      </c>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554</v>
      </c>
      <c r="O587" s="1373"/>
      <c r="T587" s="22"/>
      <c r="U587" t="s">
        <v>20</v>
      </c>
      <c r="AG587" s="1373" t="s">
        <v>678</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8">
        <f>C556</f>
        <v>0</v>
      </c>
      <c r="H589" s="1518"/>
      <c r="I589" s="1518"/>
      <c r="J589" s="1518"/>
      <c r="K589" s="1518"/>
      <c r="L589" s="1518"/>
      <c r="M589" s="1518"/>
      <c r="N589" s="1518"/>
      <c r="O589" s="1518"/>
      <c r="P589" s="1518"/>
      <c r="Q589" s="1518"/>
      <c r="R589" s="1518"/>
      <c r="T589" s="55" t="s">
        <v>465</v>
      </c>
      <c r="U589" t="s">
        <v>472</v>
      </c>
      <c r="Z589" s="1518">
        <f>C557</f>
        <v>0</v>
      </c>
      <c r="AA589" s="1518"/>
      <c r="AB589" s="1518"/>
      <c r="AC589" s="1518"/>
      <c r="AD589" s="1518"/>
      <c r="AE589" s="1518"/>
      <c r="AF589" s="1518"/>
      <c r="AG589" s="1518"/>
      <c r="AH589" s="1518"/>
      <c r="AI589" s="1518"/>
      <c r="AJ589" s="1518"/>
      <c r="AK589" s="151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4"/>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438"/>
      <c r="H593" s="1438"/>
      <c r="I593" s="1438"/>
      <c r="J593" s="1438"/>
      <c r="K593" s="1438"/>
      <c r="L593" s="1438"/>
      <c r="M593"/>
      <c r="N593"/>
      <c r="O593" s="33" t="s">
        <v>207</v>
      </c>
      <c r="P593" s="1469"/>
      <c r="Q593" s="1469"/>
      <c r="R593" s="1469"/>
      <c r="S593"/>
      <c r="T593" s="22"/>
      <c r="U593" t="s">
        <v>317</v>
      </c>
      <c r="V593"/>
      <c r="W593"/>
      <c r="X593"/>
      <c r="Y593"/>
      <c r="Z593" s="1438"/>
      <c r="AA593" s="1438"/>
      <c r="AB593" s="1438"/>
      <c r="AC593" s="1438"/>
      <c r="AD593" s="1438"/>
      <c r="AE593" s="1438"/>
      <c r="AF593"/>
      <c r="AG593"/>
      <c r="AH593" s="33" t="s">
        <v>207</v>
      </c>
      <c r="AI593" s="1469"/>
      <c r="AJ593" s="1469"/>
      <c r="AK593" s="146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502"/>
      <c r="BH595" s="1503"/>
      <c r="BI595" s="121" t="s">
        <v>484</v>
      </c>
      <c r="BJ595" s="122"/>
      <c r="BK595" s="1502"/>
      <c r="BL595" s="1503"/>
      <c r="BM595" s="3"/>
      <c r="BN595" s="1722" t="s">
        <v>642</v>
      </c>
      <c r="BO595" s="1723"/>
      <c r="BP595" s="1723"/>
      <c r="BQ595" s="1723"/>
      <c r="BR595" s="1724"/>
      <c r="BS595" s="1517" t="s">
        <v>326</v>
      </c>
      <c r="BT595" s="1517"/>
      <c r="BU595" s="1517"/>
      <c r="BV595" s="1517"/>
      <c r="BW595" s="1517"/>
      <c r="BX595" s="1517" t="s">
        <v>164</v>
      </c>
      <c r="BY595" s="1517"/>
      <c r="BZ595" s="1517"/>
      <c r="CA595" s="1517"/>
      <c r="CB595" s="1517"/>
      <c r="CC595" s="1517" t="s">
        <v>165</v>
      </c>
      <c r="CD595" s="1517"/>
      <c r="CE595" s="1517"/>
      <c r="CF595" s="1517"/>
      <c r="CG595" s="1517"/>
      <c r="CH595" s="1517" t="s">
        <v>469</v>
      </c>
      <c r="CI595" s="1517"/>
      <c r="CJ595" s="1517"/>
      <c r="CK595" s="1517"/>
      <c r="CL595" s="1517"/>
      <c r="CM595" s="1517" t="s">
        <v>30</v>
      </c>
      <c r="CN595" s="1517"/>
      <c r="CO595" s="1517"/>
      <c r="CP595" s="1517"/>
      <c r="CQ595" s="1517"/>
      <c r="CR595" s="89"/>
      <c r="CS595" s="1517" t="s">
        <v>642</v>
      </c>
      <c r="CT595" s="1517"/>
      <c r="CU595" s="1517"/>
      <c r="CV595" s="1517"/>
      <c r="CW595" s="1517"/>
      <c r="CX595" s="1517" t="s">
        <v>326</v>
      </c>
      <c r="CY595" s="1517"/>
      <c r="CZ595" s="1517"/>
      <c r="DA595" s="1517"/>
      <c r="DB595" s="1517"/>
      <c r="DC595" s="1517" t="s">
        <v>164</v>
      </c>
      <c r="DD595" s="1517"/>
      <c r="DE595" s="1517"/>
      <c r="DF595" s="1517"/>
      <c r="DG595" s="1517"/>
      <c r="DH595" s="1517" t="s">
        <v>165</v>
      </c>
      <c r="DI595" s="1517"/>
      <c r="DJ595" s="1517"/>
      <c r="DK595" s="1517"/>
      <c r="DL595" s="1517"/>
      <c r="DM595" s="1517" t="s">
        <v>469</v>
      </c>
      <c r="DN595" s="1517"/>
      <c r="DO595" s="1517"/>
      <c r="DP595" s="1517"/>
      <c r="DQ595" s="1517"/>
      <c r="DR595" s="1517" t="s">
        <v>30</v>
      </c>
      <c r="DS595" s="1517"/>
      <c r="DT595" s="1517"/>
      <c r="DU595" s="1517"/>
      <c r="DV595" s="1517"/>
      <c r="DX595" s="1517" t="s">
        <v>642</v>
      </c>
      <c r="DY595" s="1517"/>
      <c r="DZ595" s="1517"/>
      <c r="EA595" s="1517"/>
      <c r="EB595" s="1517"/>
      <c r="EC595" s="1517" t="s">
        <v>326</v>
      </c>
      <c r="ED595" s="1517"/>
      <c r="EE595" s="1517"/>
      <c r="EF595" s="1517"/>
      <c r="EG595" s="1517"/>
      <c r="EH595" s="1517" t="s">
        <v>164</v>
      </c>
      <c r="EI595" s="1517"/>
      <c r="EJ595" s="1517"/>
      <c r="EK595" s="1517"/>
      <c r="EL595" s="1517"/>
      <c r="EM595" s="1517" t="s">
        <v>165</v>
      </c>
      <c r="EN595" s="1517"/>
      <c r="EO595" s="1517"/>
      <c r="EP595" s="1517"/>
      <c r="EQ595" s="1517"/>
      <c r="ER595" s="1517" t="s">
        <v>469</v>
      </c>
      <c r="ES595" s="1517"/>
      <c r="ET595" s="1517"/>
      <c r="EU595" s="1517"/>
      <c r="EV595" s="1517"/>
      <c r="EW595" s="1517" t="s">
        <v>30</v>
      </c>
      <c r="EX595" s="1517"/>
      <c r="EY595" s="1517"/>
      <c r="EZ595" s="1517"/>
      <c r="FA595" s="1517"/>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9">
        <f t="shared" ref="BE596:BE620" si="1">IF(AND(AC714&lt;=0.5,AC714&gt;=0.36),1,0)</f>
        <v>0</v>
      </c>
      <c r="BF596" s="1420"/>
      <c r="BG596" s="1502">
        <f t="shared" ref="BG596:BG620" si="2">IF(BE596=1,G714,0)</f>
        <v>0</v>
      </c>
      <c r="BH596" s="1503"/>
      <c r="BI596" s="1419">
        <f t="shared" ref="BI596:BI620" si="3">IF(AND(AC714&lt;=0.35,AC714&gt;0),1,0)</f>
        <v>1</v>
      </c>
      <c r="BJ596" s="1420"/>
      <c r="BK596" s="1502">
        <f t="shared" ref="BK596:BK620" si="4">IF(BI596=1,G714,0)</f>
        <v>8</v>
      </c>
      <c r="BL596" s="1503"/>
      <c r="BM596" s="3"/>
      <c r="BN596" s="1513">
        <f t="shared" ref="BN596:BN620" si="5">IF(B714="SRO/Studio",G714,0)</f>
        <v>0</v>
      </c>
      <c r="BO596" s="1514"/>
      <c r="BP596" s="1514"/>
      <c r="BQ596" s="1514"/>
      <c r="BR596" s="1515"/>
      <c r="BS596" s="1395">
        <f t="shared" ref="BS596:BS620" si="6">IF(B714="1 Bedroom",G714,0)</f>
        <v>0</v>
      </c>
      <c r="BT596" s="1395"/>
      <c r="BU596" s="1395"/>
      <c r="BV596" s="1395"/>
      <c r="BW596" s="1395"/>
      <c r="BX596" s="1395">
        <f t="shared" ref="BX596:BX620" si="7">IF(B714="2 Bedrooms",G714,0)</f>
        <v>8</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26">
        <f t="shared" ref="CS596:CS620" si="11">IF(AND(B714="SRO/Studio",AC714&lt;=0.3),G714,0)</f>
        <v>0</v>
      </c>
      <c r="CT596" s="1726"/>
      <c r="CU596" s="1726"/>
      <c r="CV596" s="1726"/>
      <c r="CW596" s="1726"/>
      <c r="CX596" s="1726">
        <f t="shared" ref="CX596:CX620" si="12">IF(AND(B714="1 Bedroom",AC714&lt;=0.3),G714,0)</f>
        <v>0</v>
      </c>
      <c r="CY596" s="1726"/>
      <c r="CZ596" s="1726"/>
      <c r="DA596" s="1726"/>
      <c r="DB596" s="1726"/>
      <c r="DC596" s="1726">
        <f t="shared" ref="DC596:DC620" si="13">IF(AND(B714="2 Bedrooms",AC714&lt;=0.3),G714,0)</f>
        <v>8</v>
      </c>
      <c r="DD596" s="1726"/>
      <c r="DE596" s="1726"/>
      <c r="DF596" s="1726"/>
      <c r="DG596" s="1726"/>
      <c r="DH596" s="1726">
        <f t="shared" ref="DH596:DH620" si="14">IF(AND(B714="3 Bedrooms",AC714&lt;=0.3),G714,0)</f>
        <v>0</v>
      </c>
      <c r="DI596" s="1726"/>
      <c r="DJ596" s="1726"/>
      <c r="DK596" s="1726"/>
      <c r="DL596" s="1726"/>
      <c r="DM596" s="1726">
        <f t="shared" ref="DM596:DM620" si="15">IF(AND(B714="4 Bedrooms",AC714&lt;=0.3),G714,0)</f>
        <v>0</v>
      </c>
      <c r="DN596" s="1726"/>
      <c r="DO596" s="1726"/>
      <c r="DP596" s="1726"/>
      <c r="DQ596" s="1726"/>
      <c r="DR596" s="1726">
        <f t="shared" ref="DR596:DR620" si="16">IF(AND(B714="5 Bedrooms",AC714&lt;=0.3),G714,0)</f>
        <v>0</v>
      </c>
      <c r="DS596" s="1726"/>
      <c r="DT596" s="1726"/>
      <c r="DU596" s="1726"/>
      <c r="DV596" s="1726"/>
      <c r="DX596" s="1419" t="str">
        <f t="shared" ref="DX596:DX620" si="17">IF(BN596&gt;0,O714," ")</f>
        <v xml:space="preserve"> </v>
      </c>
      <c r="DY596" s="1857"/>
      <c r="DZ596" s="1857"/>
      <c r="EA596" s="1857"/>
      <c r="EB596" s="1420"/>
      <c r="EC596" s="1419" t="str">
        <f t="shared" ref="EC596:EC620" si="18">IF(BS596&gt;0,O714," ")</f>
        <v xml:space="preserve"> </v>
      </c>
      <c r="ED596" s="1857"/>
      <c r="EE596" s="1857"/>
      <c r="EF596" s="1857"/>
      <c r="EG596" s="1420"/>
      <c r="EH596" s="1419">
        <f t="shared" ref="EH596:EH620" si="19">IF(BX596&gt;0,O714," ")</f>
        <v>653</v>
      </c>
      <c r="EI596" s="1857"/>
      <c r="EJ596" s="1857"/>
      <c r="EK596" s="1857"/>
      <c r="EL596" s="1420"/>
      <c r="EM596" s="1419" t="str">
        <f t="shared" ref="EM596:EM620" si="20">IF(CC596&gt;0,O714," ")</f>
        <v xml:space="preserve"> </v>
      </c>
      <c r="EN596" s="1857"/>
      <c r="EO596" s="1857"/>
      <c r="EP596" s="1857"/>
      <c r="EQ596" s="1420"/>
      <c r="ER596" s="1419" t="str">
        <f t="shared" ref="ER596:ER620" si="21">IF(CH596&gt;0,O714," ")</f>
        <v xml:space="preserve"> </v>
      </c>
      <c r="ES596" s="1857"/>
      <c r="ET596" s="1857"/>
      <c r="EU596" s="1857"/>
      <c r="EV596" s="1420"/>
      <c r="EW596" s="1419" t="str">
        <f t="shared" ref="EW596:EW620" si="22">IF(CM596&gt;0,O714," ")</f>
        <v xml:space="preserve"> </v>
      </c>
      <c r="EX596" s="1857"/>
      <c r="EY596" s="1857"/>
      <c r="EZ596" s="1857"/>
      <c r="FA596" s="1420"/>
    </row>
    <row r="597" spans="1:157" s="4" customFormat="1" ht="13" customHeight="1">
      <c r="A597" s="55" t="s">
        <v>470</v>
      </c>
      <c r="B597" t="s">
        <v>472</v>
      </c>
      <c r="C597"/>
      <c r="D597"/>
      <c r="E597"/>
      <c r="F597"/>
      <c r="G597" s="1518">
        <f>C558</f>
        <v>0</v>
      </c>
      <c r="H597" s="1518"/>
      <c r="I597" s="1518"/>
      <c r="J597" s="1518"/>
      <c r="K597" s="1518"/>
      <c r="L597" s="1518"/>
      <c r="M597" s="1518"/>
      <c r="N597" s="1518"/>
      <c r="O597" s="1518"/>
      <c r="P597" s="1518"/>
      <c r="Q597" s="1518"/>
      <c r="R597" s="1518"/>
      <c r="S597"/>
      <c r="T597" s="55" t="s">
        <v>655</v>
      </c>
      <c r="U597" t="s">
        <v>472</v>
      </c>
      <c r="V597"/>
      <c r="W597"/>
      <c r="X597"/>
      <c r="Y597"/>
      <c r="Z597" s="1518">
        <f>C559</f>
        <v>0</v>
      </c>
      <c r="AA597" s="1518"/>
      <c r="AB597" s="1518"/>
      <c r="AC597" s="1518"/>
      <c r="AD597" s="1518"/>
      <c r="AE597" s="1518"/>
      <c r="AF597" s="1518"/>
      <c r="AG597" s="1518"/>
      <c r="AH597" s="1518"/>
      <c r="AI597" s="1518"/>
      <c r="AJ597" s="1518"/>
      <c r="AK597" s="1518"/>
      <c r="AL597"/>
      <c r="AM597"/>
      <c r="AN597"/>
      <c r="AO597"/>
      <c r="AP597"/>
      <c r="AQ597"/>
      <c r="AR597"/>
      <c r="AS597"/>
      <c r="AT597"/>
      <c r="AU597"/>
      <c r="AV597"/>
      <c r="AW597"/>
      <c r="AX597"/>
      <c r="AY597"/>
      <c r="BA597" s="4" t="s">
        <v>164</v>
      </c>
      <c r="BB597" s="3"/>
      <c r="BC597" s="3"/>
      <c r="BD597" s="3"/>
      <c r="BE597" s="1419">
        <f t="shared" si="1"/>
        <v>0</v>
      </c>
      <c r="BF597" s="1420"/>
      <c r="BG597" s="1502">
        <f t="shared" si="2"/>
        <v>0</v>
      </c>
      <c r="BH597" s="1503"/>
      <c r="BI597" s="1419">
        <f t="shared" si="3"/>
        <v>1</v>
      </c>
      <c r="BJ597" s="1420"/>
      <c r="BK597" s="1502">
        <f t="shared" si="4"/>
        <v>9</v>
      </c>
      <c r="BL597" s="1503"/>
      <c r="BM597" s="3"/>
      <c r="BN597" s="1513">
        <f t="shared" si="5"/>
        <v>0</v>
      </c>
      <c r="BO597" s="1514"/>
      <c r="BP597" s="1514"/>
      <c r="BQ597" s="1514"/>
      <c r="BR597" s="1515"/>
      <c r="BS597" s="1395">
        <f t="shared" si="6"/>
        <v>0</v>
      </c>
      <c r="BT597" s="1395"/>
      <c r="BU597" s="1395"/>
      <c r="BV597" s="1395"/>
      <c r="BW597" s="1395"/>
      <c r="BX597" s="1395">
        <f t="shared" si="7"/>
        <v>9</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26">
        <f t="shared" si="11"/>
        <v>0</v>
      </c>
      <c r="CT597" s="1726"/>
      <c r="CU597" s="1726"/>
      <c r="CV597" s="1726"/>
      <c r="CW597" s="1726"/>
      <c r="CX597" s="1726">
        <f t="shared" si="12"/>
        <v>0</v>
      </c>
      <c r="CY597" s="1726"/>
      <c r="CZ597" s="1726"/>
      <c r="DA597" s="1726"/>
      <c r="DB597" s="1726"/>
      <c r="DC597" s="1726">
        <f t="shared" si="13"/>
        <v>9</v>
      </c>
      <c r="DD597" s="1726"/>
      <c r="DE597" s="1726"/>
      <c r="DF597" s="1726"/>
      <c r="DG597" s="1726"/>
      <c r="DH597" s="1726">
        <f t="shared" si="14"/>
        <v>0</v>
      </c>
      <c r="DI597" s="1726"/>
      <c r="DJ597" s="1726"/>
      <c r="DK597" s="1726"/>
      <c r="DL597" s="1726"/>
      <c r="DM597" s="1726">
        <f t="shared" si="15"/>
        <v>0</v>
      </c>
      <c r="DN597" s="1726"/>
      <c r="DO597" s="1726"/>
      <c r="DP597" s="1726"/>
      <c r="DQ597" s="1726"/>
      <c r="DR597" s="1726">
        <f t="shared" si="16"/>
        <v>0</v>
      </c>
      <c r="DS597" s="1726"/>
      <c r="DT597" s="1726"/>
      <c r="DU597" s="1726"/>
      <c r="DV597" s="1726"/>
      <c r="DX597" s="1419" t="str">
        <f t="shared" si="17"/>
        <v xml:space="preserve"> </v>
      </c>
      <c r="DY597" s="1857"/>
      <c r="DZ597" s="1857"/>
      <c r="EA597" s="1857"/>
      <c r="EB597" s="1420"/>
      <c r="EC597" s="1419" t="str">
        <f t="shared" si="18"/>
        <v xml:space="preserve"> </v>
      </c>
      <c r="ED597" s="1857"/>
      <c r="EE597" s="1857"/>
      <c r="EF597" s="1857"/>
      <c r="EG597" s="1420"/>
      <c r="EH597" s="1419">
        <f t="shared" si="19"/>
        <v>653</v>
      </c>
      <c r="EI597" s="1857"/>
      <c r="EJ597" s="1857"/>
      <c r="EK597" s="1857"/>
      <c r="EL597" s="1420"/>
      <c r="EM597" s="1419" t="str">
        <f t="shared" si="20"/>
        <v xml:space="preserve"> </v>
      </c>
      <c r="EN597" s="1857"/>
      <c r="EO597" s="1857"/>
      <c r="EP597" s="1857"/>
      <c r="EQ597" s="1420"/>
      <c r="ER597" s="1419" t="str">
        <f t="shared" si="21"/>
        <v xml:space="preserve"> </v>
      </c>
      <c r="ES597" s="1857"/>
      <c r="ET597" s="1857"/>
      <c r="EU597" s="1857"/>
      <c r="EV597" s="1420"/>
      <c r="EW597" s="1419" t="str">
        <f t="shared" si="22"/>
        <v xml:space="preserve"> </v>
      </c>
      <c r="EX597" s="1857"/>
      <c r="EY597" s="1857"/>
      <c r="EZ597" s="1857"/>
      <c r="FA597" s="1420"/>
    </row>
    <row r="598" spans="1:157" ht="13"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502">
        <f t="shared" si="2"/>
        <v>0</v>
      </c>
      <c r="BH598" s="1503"/>
      <c r="BI598" s="1419">
        <f t="shared" si="3"/>
        <v>0</v>
      </c>
      <c r="BJ598" s="1420"/>
      <c r="BK598" s="1502">
        <f t="shared" si="4"/>
        <v>0</v>
      </c>
      <c r="BL598" s="1503"/>
      <c r="BM598" s="3"/>
      <c r="BN598" s="1513">
        <f t="shared" si="5"/>
        <v>0</v>
      </c>
      <c r="BO598" s="1514"/>
      <c r="BP598" s="1514"/>
      <c r="BQ598" s="1514"/>
      <c r="BR598" s="1515"/>
      <c r="BS598" s="1395">
        <f t="shared" si="6"/>
        <v>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26">
        <f t="shared" si="11"/>
        <v>0</v>
      </c>
      <c r="CT598" s="1726"/>
      <c r="CU598" s="1726"/>
      <c r="CV598" s="1726"/>
      <c r="CW598" s="1726"/>
      <c r="CX598" s="1726">
        <f t="shared" si="12"/>
        <v>0</v>
      </c>
      <c r="CY598" s="1726"/>
      <c r="CZ598" s="1726"/>
      <c r="DA598" s="1726"/>
      <c r="DB598" s="1726"/>
      <c r="DC598" s="1726">
        <f t="shared" si="13"/>
        <v>0</v>
      </c>
      <c r="DD598" s="1726"/>
      <c r="DE598" s="1726"/>
      <c r="DF598" s="1726"/>
      <c r="DG598" s="1726"/>
      <c r="DH598" s="1726">
        <f t="shared" si="14"/>
        <v>0</v>
      </c>
      <c r="DI598" s="1726"/>
      <c r="DJ598" s="1726"/>
      <c r="DK598" s="1726"/>
      <c r="DL598" s="1726"/>
      <c r="DM598" s="1726">
        <f t="shared" si="15"/>
        <v>0</v>
      </c>
      <c r="DN598" s="1726"/>
      <c r="DO598" s="1726"/>
      <c r="DP598" s="1726"/>
      <c r="DQ598" s="1726"/>
      <c r="DR598" s="1726">
        <f t="shared" si="16"/>
        <v>0</v>
      </c>
      <c r="DS598" s="1726"/>
      <c r="DT598" s="1726"/>
      <c r="DU598" s="1726"/>
      <c r="DV598" s="1726"/>
      <c r="DX598" s="1419" t="str">
        <f t="shared" si="17"/>
        <v xml:space="preserve"> </v>
      </c>
      <c r="DY598" s="1857"/>
      <c r="DZ598" s="1857"/>
      <c r="EA598" s="1857"/>
      <c r="EB598" s="1420"/>
      <c r="EC598" s="1419" t="str">
        <f t="shared" si="18"/>
        <v xml:space="preserve"> </v>
      </c>
      <c r="ED598" s="1857"/>
      <c r="EE598" s="1857"/>
      <c r="EF598" s="1857"/>
      <c r="EG598" s="1420"/>
      <c r="EH598" s="1419" t="str">
        <f t="shared" si="19"/>
        <v xml:space="preserve"> </v>
      </c>
      <c r="EI598" s="1857"/>
      <c r="EJ598" s="1857"/>
      <c r="EK598" s="1857"/>
      <c r="EL598" s="1420"/>
      <c r="EM598" s="1419" t="str">
        <f t="shared" si="20"/>
        <v xml:space="preserve"> </v>
      </c>
      <c r="EN598" s="1857"/>
      <c r="EO598" s="1857"/>
      <c r="EP598" s="1857"/>
      <c r="EQ598" s="1420"/>
      <c r="ER598" s="1419" t="str">
        <f t="shared" si="21"/>
        <v xml:space="preserve"> </v>
      </c>
      <c r="ES598" s="1857"/>
      <c r="ET598" s="1857"/>
      <c r="EU598" s="1857"/>
      <c r="EV598" s="1420"/>
      <c r="EW598" s="1419" t="str">
        <f t="shared" si="22"/>
        <v xml:space="preserve"> </v>
      </c>
      <c r="EX598" s="1857"/>
      <c r="EY598" s="1857"/>
      <c r="EZ598" s="1857"/>
      <c r="FA598" s="1420"/>
    </row>
    <row r="599" spans="1:157" ht="13"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502">
        <f t="shared" si="2"/>
        <v>0</v>
      </c>
      <c r="BH599" s="1503"/>
      <c r="BI599" s="1419">
        <f t="shared" si="3"/>
        <v>0</v>
      </c>
      <c r="BJ599" s="1420"/>
      <c r="BK599" s="1502">
        <f t="shared" si="4"/>
        <v>0</v>
      </c>
      <c r="BL599" s="1503"/>
      <c r="BM599" s="3"/>
      <c r="BN599" s="1513">
        <f t="shared" si="5"/>
        <v>0</v>
      </c>
      <c r="BO599" s="1514"/>
      <c r="BP599" s="1514"/>
      <c r="BQ599" s="1514"/>
      <c r="BR599" s="1515"/>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26">
        <f t="shared" si="11"/>
        <v>0</v>
      </c>
      <c r="CT599" s="1726"/>
      <c r="CU599" s="1726"/>
      <c r="CV599" s="1726"/>
      <c r="CW599" s="1726"/>
      <c r="CX599" s="1726">
        <f t="shared" si="12"/>
        <v>0</v>
      </c>
      <c r="CY599" s="1726"/>
      <c r="CZ599" s="1726"/>
      <c r="DA599" s="1726"/>
      <c r="DB599" s="1726"/>
      <c r="DC599" s="1726">
        <f t="shared" si="13"/>
        <v>0</v>
      </c>
      <c r="DD599" s="1726"/>
      <c r="DE599" s="1726"/>
      <c r="DF599" s="1726"/>
      <c r="DG599" s="1726"/>
      <c r="DH599" s="1726">
        <f t="shared" si="14"/>
        <v>0</v>
      </c>
      <c r="DI599" s="1726"/>
      <c r="DJ599" s="1726"/>
      <c r="DK599" s="1726"/>
      <c r="DL599" s="1726"/>
      <c r="DM599" s="1726">
        <f t="shared" si="15"/>
        <v>0</v>
      </c>
      <c r="DN599" s="1726"/>
      <c r="DO599" s="1726"/>
      <c r="DP599" s="1726"/>
      <c r="DQ599" s="1726"/>
      <c r="DR599" s="1726">
        <f t="shared" si="16"/>
        <v>0</v>
      </c>
      <c r="DS599" s="1726"/>
      <c r="DT599" s="1726"/>
      <c r="DU599" s="1726"/>
      <c r="DV599" s="1726"/>
      <c r="DX599" s="1419" t="str">
        <f t="shared" si="17"/>
        <v xml:space="preserve"> </v>
      </c>
      <c r="DY599" s="1857"/>
      <c r="DZ599" s="1857"/>
      <c r="EA599" s="1857"/>
      <c r="EB599" s="1420"/>
      <c r="EC599" s="1419" t="str">
        <f t="shared" si="18"/>
        <v xml:space="preserve"> </v>
      </c>
      <c r="ED599" s="1857"/>
      <c r="EE599" s="1857"/>
      <c r="EF599" s="1857"/>
      <c r="EG599" s="1420"/>
      <c r="EH599" s="1419" t="str">
        <f t="shared" si="19"/>
        <v xml:space="preserve"> </v>
      </c>
      <c r="EI599" s="1857"/>
      <c r="EJ599" s="1857"/>
      <c r="EK599" s="1857"/>
      <c r="EL599" s="1420"/>
      <c r="EM599" s="1419" t="str">
        <f t="shared" si="20"/>
        <v xml:space="preserve"> </v>
      </c>
      <c r="EN599" s="1857"/>
      <c r="EO599" s="1857"/>
      <c r="EP599" s="1857"/>
      <c r="EQ599" s="1420"/>
      <c r="ER599" s="1419" t="str">
        <f t="shared" si="21"/>
        <v xml:space="preserve"> </v>
      </c>
      <c r="ES599" s="1857"/>
      <c r="ET599" s="1857"/>
      <c r="EU599" s="1857"/>
      <c r="EV599" s="1420"/>
      <c r="EW599" s="1419" t="str">
        <f t="shared" si="22"/>
        <v xml:space="preserve"> </v>
      </c>
      <c r="EX599" s="1857"/>
      <c r="EY599" s="1857"/>
      <c r="EZ599" s="1857"/>
      <c r="FA599" s="1420"/>
    </row>
    <row r="600" spans="1:157" ht="13"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502">
        <f t="shared" si="2"/>
        <v>0</v>
      </c>
      <c r="BH600" s="1503"/>
      <c r="BI600" s="1419">
        <f t="shared" si="3"/>
        <v>0</v>
      </c>
      <c r="BJ600" s="1420"/>
      <c r="BK600" s="1502">
        <f t="shared" si="4"/>
        <v>0</v>
      </c>
      <c r="BL600" s="1503"/>
      <c r="BM600" s="3"/>
      <c r="BN600" s="1513">
        <f t="shared" si="5"/>
        <v>0</v>
      </c>
      <c r="BO600" s="1514"/>
      <c r="BP600" s="1514"/>
      <c r="BQ600" s="1514"/>
      <c r="BR600" s="1515"/>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26">
        <f t="shared" si="11"/>
        <v>0</v>
      </c>
      <c r="CT600" s="1726"/>
      <c r="CU600" s="1726"/>
      <c r="CV600" s="1726"/>
      <c r="CW600" s="1726"/>
      <c r="CX600" s="1726">
        <f t="shared" si="12"/>
        <v>0</v>
      </c>
      <c r="CY600" s="1726"/>
      <c r="CZ600" s="1726"/>
      <c r="DA600" s="1726"/>
      <c r="DB600" s="1726"/>
      <c r="DC600" s="1726">
        <f t="shared" si="13"/>
        <v>0</v>
      </c>
      <c r="DD600" s="1726"/>
      <c r="DE600" s="1726"/>
      <c r="DF600" s="1726"/>
      <c r="DG600" s="1726"/>
      <c r="DH600" s="1726">
        <f t="shared" si="14"/>
        <v>0</v>
      </c>
      <c r="DI600" s="1726"/>
      <c r="DJ600" s="1726"/>
      <c r="DK600" s="1726"/>
      <c r="DL600" s="1726"/>
      <c r="DM600" s="1726">
        <f t="shared" si="15"/>
        <v>0</v>
      </c>
      <c r="DN600" s="1726"/>
      <c r="DO600" s="1726"/>
      <c r="DP600" s="1726"/>
      <c r="DQ600" s="1726"/>
      <c r="DR600" s="1726">
        <f t="shared" si="16"/>
        <v>0</v>
      </c>
      <c r="DS600" s="1726"/>
      <c r="DT600" s="1726"/>
      <c r="DU600" s="1726"/>
      <c r="DV600" s="1726"/>
      <c r="DX600" s="1419" t="str">
        <f t="shared" si="17"/>
        <v xml:space="preserve"> </v>
      </c>
      <c r="DY600" s="1857"/>
      <c r="DZ600" s="1857"/>
      <c r="EA600" s="1857"/>
      <c r="EB600" s="1420"/>
      <c r="EC600" s="1419" t="str">
        <f t="shared" si="18"/>
        <v xml:space="preserve"> </v>
      </c>
      <c r="ED600" s="1857"/>
      <c r="EE600" s="1857"/>
      <c r="EF600" s="1857"/>
      <c r="EG600" s="1420"/>
      <c r="EH600" s="1419" t="str">
        <f t="shared" si="19"/>
        <v xml:space="preserve"> </v>
      </c>
      <c r="EI600" s="1857"/>
      <c r="EJ600" s="1857"/>
      <c r="EK600" s="1857"/>
      <c r="EL600" s="1420"/>
      <c r="EM600" s="1419" t="str">
        <f t="shared" si="20"/>
        <v xml:space="preserve"> </v>
      </c>
      <c r="EN600" s="1857"/>
      <c r="EO600" s="1857"/>
      <c r="EP600" s="1857"/>
      <c r="EQ600" s="1420"/>
      <c r="ER600" s="1419" t="str">
        <f t="shared" si="21"/>
        <v xml:space="preserve"> </v>
      </c>
      <c r="ES600" s="1857"/>
      <c r="ET600" s="1857"/>
      <c r="EU600" s="1857"/>
      <c r="EV600" s="1420"/>
      <c r="EW600" s="1419" t="str">
        <f t="shared" si="22"/>
        <v xml:space="preserve"> </v>
      </c>
      <c r="EX600" s="1857"/>
      <c r="EY600" s="1857"/>
      <c r="EZ600" s="1857"/>
      <c r="FA600" s="1420"/>
    </row>
    <row r="601" spans="1:157" ht="13" customHeight="1">
      <c r="A601" s="22"/>
      <c r="B601" t="s">
        <v>317</v>
      </c>
      <c r="G601" s="1438"/>
      <c r="H601" s="1438"/>
      <c r="I601" s="1438"/>
      <c r="J601" s="1438"/>
      <c r="K601" s="1438"/>
      <c r="L601" s="1438"/>
      <c r="O601" s="33" t="s">
        <v>207</v>
      </c>
      <c r="P601" s="1469"/>
      <c r="Q601" s="1469"/>
      <c r="R601" s="1469"/>
      <c r="T601" s="22"/>
      <c r="U601" t="s">
        <v>317</v>
      </c>
      <c r="Z601" s="1438"/>
      <c r="AA601" s="1438"/>
      <c r="AB601" s="1438"/>
      <c r="AC601" s="1438"/>
      <c r="AD601" s="1438"/>
      <c r="AE601" s="1438"/>
      <c r="AH601" s="33" t="s">
        <v>207</v>
      </c>
      <c r="AI601" s="1469"/>
      <c r="AJ601" s="1469"/>
      <c r="AK601" s="1469"/>
      <c r="AZ601" s="3"/>
      <c r="BA601" s="3"/>
      <c r="BB601" s="3"/>
      <c r="BC601" s="3"/>
      <c r="BD601" s="3"/>
      <c r="BE601" s="1419">
        <f t="shared" si="1"/>
        <v>0</v>
      </c>
      <c r="BF601" s="1420"/>
      <c r="BG601" s="1502">
        <f t="shared" si="2"/>
        <v>0</v>
      </c>
      <c r="BH601" s="1503"/>
      <c r="BI601" s="1419">
        <f t="shared" si="3"/>
        <v>0</v>
      </c>
      <c r="BJ601" s="1420"/>
      <c r="BK601" s="1502">
        <f t="shared" si="4"/>
        <v>0</v>
      </c>
      <c r="BL601" s="1503"/>
      <c r="BM601" s="3"/>
      <c r="BN601" s="1513">
        <f t="shared" si="5"/>
        <v>0</v>
      </c>
      <c r="BO601" s="1514"/>
      <c r="BP601" s="1514"/>
      <c r="BQ601" s="1514"/>
      <c r="BR601" s="1515"/>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26">
        <f t="shared" si="11"/>
        <v>0</v>
      </c>
      <c r="CT601" s="1726"/>
      <c r="CU601" s="1726"/>
      <c r="CV601" s="1726"/>
      <c r="CW601" s="1726"/>
      <c r="CX601" s="1726">
        <f t="shared" si="12"/>
        <v>0</v>
      </c>
      <c r="CY601" s="1726"/>
      <c r="CZ601" s="1726"/>
      <c r="DA601" s="1726"/>
      <c r="DB601" s="1726"/>
      <c r="DC601" s="1726">
        <f t="shared" si="13"/>
        <v>0</v>
      </c>
      <c r="DD601" s="1726"/>
      <c r="DE601" s="1726"/>
      <c r="DF601" s="1726"/>
      <c r="DG601" s="1726"/>
      <c r="DH601" s="1726">
        <f t="shared" si="14"/>
        <v>0</v>
      </c>
      <c r="DI601" s="1726"/>
      <c r="DJ601" s="1726"/>
      <c r="DK601" s="1726"/>
      <c r="DL601" s="1726"/>
      <c r="DM601" s="1726">
        <f t="shared" si="15"/>
        <v>0</v>
      </c>
      <c r="DN601" s="1726"/>
      <c r="DO601" s="1726"/>
      <c r="DP601" s="1726"/>
      <c r="DQ601" s="1726"/>
      <c r="DR601" s="1726">
        <f t="shared" si="16"/>
        <v>0</v>
      </c>
      <c r="DS601" s="1726"/>
      <c r="DT601" s="1726"/>
      <c r="DU601" s="1726"/>
      <c r="DV601" s="1726"/>
      <c r="DX601" s="1419" t="str">
        <f t="shared" si="17"/>
        <v xml:space="preserve"> </v>
      </c>
      <c r="DY601" s="1857"/>
      <c r="DZ601" s="1857"/>
      <c r="EA601" s="1857"/>
      <c r="EB601" s="1420"/>
      <c r="EC601" s="1419" t="str">
        <f t="shared" si="18"/>
        <v xml:space="preserve"> </v>
      </c>
      <c r="ED601" s="1857"/>
      <c r="EE601" s="1857"/>
      <c r="EF601" s="1857"/>
      <c r="EG601" s="1420"/>
      <c r="EH601" s="1419" t="str">
        <f t="shared" si="19"/>
        <v xml:space="preserve"> </v>
      </c>
      <c r="EI601" s="1857"/>
      <c r="EJ601" s="1857"/>
      <c r="EK601" s="1857"/>
      <c r="EL601" s="1420"/>
      <c r="EM601" s="1419" t="str">
        <f t="shared" si="20"/>
        <v xml:space="preserve"> </v>
      </c>
      <c r="EN601" s="1857"/>
      <c r="EO601" s="1857"/>
      <c r="EP601" s="1857"/>
      <c r="EQ601" s="1420"/>
      <c r="ER601" s="1419" t="str">
        <f t="shared" si="21"/>
        <v xml:space="preserve"> </v>
      </c>
      <c r="ES601" s="1857"/>
      <c r="ET601" s="1857"/>
      <c r="EU601" s="1857"/>
      <c r="EV601" s="1420"/>
      <c r="EW601" s="1419" t="str">
        <f t="shared" si="22"/>
        <v xml:space="preserve"> </v>
      </c>
      <c r="EX601" s="1857"/>
      <c r="EY601" s="1857"/>
      <c r="EZ601" s="1857"/>
      <c r="FA601" s="1420"/>
    </row>
    <row r="602" spans="1:157" ht="13"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502">
        <f t="shared" si="2"/>
        <v>0</v>
      </c>
      <c r="BH602" s="1503"/>
      <c r="BI602" s="1419">
        <f t="shared" si="3"/>
        <v>0</v>
      </c>
      <c r="BJ602" s="1420"/>
      <c r="BK602" s="1502">
        <f t="shared" si="4"/>
        <v>0</v>
      </c>
      <c r="BL602" s="1503"/>
      <c r="BM602" s="3"/>
      <c r="BN602" s="1513">
        <f t="shared" si="5"/>
        <v>0</v>
      </c>
      <c r="BO602" s="1514"/>
      <c r="BP602" s="1514"/>
      <c r="BQ602" s="1514"/>
      <c r="BR602" s="1515"/>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26">
        <f t="shared" si="11"/>
        <v>0</v>
      </c>
      <c r="CT602" s="1726"/>
      <c r="CU602" s="1726"/>
      <c r="CV602" s="1726"/>
      <c r="CW602" s="1726"/>
      <c r="CX602" s="1726">
        <f t="shared" si="12"/>
        <v>0</v>
      </c>
      <c r="CY602" s="1726"/>
      <c r="CZ602" s="1726"/>
      <c r="DA602" s="1726"/>
      <c r="DB602" s="1726"/>
      <c r="DC602" s="1726">
        <f t="shared" si="13"/>
        <v>0</v>
      </c>
      <c r="DD602" s="1726"/>
      <c r="DE602" s="1726"/>
      <c r="DF602" s="1726"/>
      <c r="DG602" s="1726"/>
      <c r="DH602" s="1726">
        <f t="shared" si="14"/>
        <v>0</v>
      </c>
      <c r="DI602" s="1726"/>
      <c r="DJ602" s="1726"/>
      <c r="DK602" s="1726"/>
      <c r="DL602" s="1726"/>
      <c r="DM602" s="1726">
        <f t="shared" si="15"/>
        <v>0</v>
      </c>
      <c r="DN602" s="1726"/>
      <c r="DO602" s="1726"/>
      <c r="DP602" s="1726"/>
      <c r="DQ602" s="1726"/>
      <c r="DR602" s="1726">
        <f t="shared" si="16"/>
        <v>0</v>
      </c>
      <c r="DS602" s="1726"/>
      <c r="DT602" s="1726"/>
      <c r="DU602" s="1726"/>
      <c r="DV602" s="1726"/>
      <c r="DX602" s="1419" t="str">
        <f t="shared" si="17"/>
        <v xml:space="preserve"> </v>
      </c>
      <c r="DY602" s="1857"/>
      <c r="DZ602" s="1857"/>
      <c r="EA602" s="1857"/>
      <c r="EB602" s="1420"/>
      <c r="EC602" s="1419" t="str">
        <f t="shared" si="18"/>
        <v xml:space="preserve"> </v>
      </c>
      <c r="ED602" s="1857"/>
      <c r="EE602" s="1857"/>
      <c r="EF602" s="1857"/>
      <c r="EG602" s="1420"/>
      <c r="EH602" s="1419" t="str">
        <f t="shared" si="19"/>
        <v xml:space="preserve"> </v>
      </c>
      <c r="EI602" s="1857"/>
      <c r="EJ602" s="1857"/>
      <c r="EK602" s="1857"/>
      <c r="EL602" s="1420"/>
      <c r="EM602" s="1419" t="str">
        <f t="shared" si="20"/>
        <v xml:space="preserve"> </v>
      </c>
      <c r="EN602" s="1857"/>
      <c r="EO602" s="1857"/>
      <c r="EP602" s="1857"/>
      <c r="EQ602" s="1420"/>
      <c r="ER602" s="1419" t="str">
        <f t="shared" si="21"/>
        <v xml:space="preserve"> </v>
      </c>
      <c r="ES602" s="1857"/>
      <c r="ET602" s="1857"/>
      <c r="EU602" s="1857"/>
      <c r="EV602" s="1420"/>
      <c r="EW602" s="1419" t="str">
        <f t="shared" si="22"/>
        <v xml:space="preserve"> </v>
      </c>
      <c r="EX602" s="1857"/>
      <c r="EY602" s="1857"/>
      <c r="EZ602" s="1857"/>
      <c r="FA602" s="1420"/>
    </row>
    <row r="603" spans="1:157" ht="13" customHeight="1">
      <c r="A603" s="22"/>
      <c r="B603" t="s">
        <v>20</v>
      </c>
      <c r="N603" s="1373" t="s">
        <v>678</v>
      </c>
      <c r="O603" s="1373"/>
      <c r="T603" s="22"/>
      <c r="U603" t="s">
        <v>20</v>
      </c>
      <c r="AG603" s="1373" t="s">
        <v>678</v>
      </c>
      <c r="AH603" s="1373"/>
      <c r="AZ603" s="3"/>
      <c r="BA603" s="3"/>
      <c r="BB603" s="3"/>
      <c r="BC603" s="3"/>
      <c r="BD603" s="3"/>
      <c r="BE603" s="1419">
        <f t="shared" si="1"/>
        <v>0</v>
      </c>
      <c r="BF603" s="1420"/>
      <c r="BG603" s="1502">
        <f t="shared" si="2"/>
        <v>0</v>
      </c>
      <c r="BH603" s="1503"/>
      <c r="BI603" s="1419">
        <f t="shared" si="3"/>
        <v>0</v>
      </c>
      <c r="BJ603" s="1420"/>
      <c r="BK603" s="1502">
        <f t="shared" si="4"/>
        <v>0</v>
      </c>
      <c r="BL603" s="1503"/>
      <c r="BM603" s="3"/>
      <c r="BN603" s="1513">
        <f t="shared" si="5"/>
        <v>0</v>
      </c>
      <c r="BO603" s="1514"/>
      <c r="BP603" s="1514"/>
      <c r="BQ603" s="1514"/>
      <c r="BR603" s="1515"/>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26">
        <f t="shared" si="11"/>
        <v>0</v>
      </c>
      <c r="CT603" s="1726"/>
      <c r="CU603" s="1726"/>
      <c r="CV603" s="1726"/>
      <c r="CW603" s="1726"/>
      <c r="CX603" s="1726">
        <f t="shared" si="12"/>
        <v>0</v>
      </c>
      <c r="CY603" s="1726"/>
      <c r="CZ603" s="1726"/>
      <c r="DA603" s="1726"/>
      <c r="DB603" s="1726"/>
      <c r="DC603" s="1726">
        <f t="shared" si="13"/>
        <v>0</v>
      </c>
      <c r="DD603" s="1726"/>
      <c r="DE603" s="1726"/>
      <c r="DF603" s="1726"/>
      <c r="DG603" s="1726"/>
      <c r="DH603" s="1726">
        <f t="shared" si="14"/>
        <v>0</v>
      </c>
      <c r="DI603" s="1726"/>
      <c r="DJ603" s="1726"/>
      <c r="DK603" s="1726"/>
      <c r="DL603" s="1726"/>
      <c r="DM603" s="1726">
        <f t="shared" si="15"/>
        <v>0</v>
      </c>
      <c r="DN603" s="1726"/>
      <c r="DO603" s="1726"/>
      <c r="DP603" s="1726"/>
      <c r="DQ603" s="1726"/>
      <c r="DR603" s="1726">
        <f t="shared" si="16"/>
        <v>0</v>
      </c>
      <c r="DS603" s="1726"/>
      <c r="DT603" s="1726"/>
      <c r="DU603" s="1726"/>
      <c r="DV603" s="1726"/>
      <c r="DX603" s="1419" t="str">
        <f t="shared" si="17"/>
        <v xml:space="preserve"> </v>
      </c>
      <c r="DY603" s="1857"/>
      <c r="DZ603" s="1857"/>
      <c r="EA603" s="1857"/>
      <c r="EB603" s="1420"/>
      <c r="EC603" s="1419" t="str">
        <f t="shared" si="18"/>
        <v xml:space="preserve"> </v>
      </c>
      <c r="ED603" s="1857"/>
      <c r="EE603" s="1857"/>
      <c r="EF603" s="1857"/>
      <c r="EG603" s="1420"/>
      <c r="EH603" s="1419" t="str">
        <f t="shared" si="19"/>
        <v xml:space="preserve"> </v>
      </c>
      <c r="EI603" s="1857"/>
      <c r="EJ603" s="1857"/>
      <c r="EK603" s="1857"/>
      <c r="EL603" s="1420"/>
      <c r="EM603" s="1419" t="str">
        <f t="shared" si="20"/>
        <v xml:space="preserve"> </v>
      </c>
      <c r="EN603" s="1857"/>
      <c r="EO603" s="1857"/>
      <c r="EP603" s="1857"/>
      <c r="EQ603" s="1420"/>
      <c r="ER603" s="1419" t="str">
        <f t="shared" si="21"/>
        <v xml:space="preserve"> </v>
      </c>
      <c r="ES603" s="1857"/>
      <c r="ET603" s="1857"/>
      <c r="EU603" s="1857"/>
      <c r="EV603" s="1420"/>
      <c r="EW603" s="1419" t="str">
        <f t="shared" si="22"/>
        <v xml:space="preserve"> </v>
      </c>
      <c r="EX603" s="1857"/>
      <c r="EY603" s="1857"/>
      <c r="EZ603" s="1857"/>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502">
        <f t="shared" si="2"/>
        <v>0</v>
      </c>
      <c r="BH604" s="1503"/>
      <c r="BI604" s="1419">
        <f t="shared" si="3"/>
        <v>0</v>
      </c>
      <c r="BJ604" s="1420"/>
      <c r="BK604" s="1502">
        <f t="shared" si="4"/>
        <v>0</v>
      </c>
      <c r="BL604" s="1503"/>
      <c r="BM604" s="3"/>
      <c r="BN604" s="1513">
        <f t="shared" si="5"/>
        <v>0</v>
      </c>
      <c r="BO604" s="1514"/>
      <c r="BP604" s="1514"/>
      <c r="BQ604" s="1514"/>
      <c r="BR604" s="1515"/>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26">
        <f t="shared" si="11"/>
        <v>0</v>
      </c>
      <c r="CT604" s="1726"/>
      <c r="CU604" s="1726"/>
      <c r="CV604" s="1726"/>
      <c r="CW604" s="1726"/>
      <c r="CX604" s="1726">
        <f t="shared" si="12"/>
        <v>0</v>
      </c>
      <c r="CY604" s="1726"/>
      <c r="CZ604" s="1726"/>
      <c r="DA604" s="1726"/>
      <c r="DB604" s="1726"/>
      <c r="DC604" s="1726">
        <f t="shared" si="13"/>
        <v>0</v>
      </c>
      <c r="DD604" s="1726"/>
      <c r="DE604" s="1726"/>
      <c r="DF604" s="1726"/>
      <c r="DG604" s="1726"/>
      <c r="DH604" s="1726">
        <f t="shared" si="14"/>
        <v>0</v>
      </c>
      <c r="DI604" s="1726"/>
      <c r="DJ604" s="1726"/>
      <c r="DK604" s="1726"/>
      <c r="DL604" s="1726"/>
      <c r="DM604" s="1726">
        <f t="shared" si="15"/>
        <v>0</v>
      </c>
      <c r="DN604" s="1726"/>
      <c r="DO604" s="1726"/>
      <c r="DP604" s="1726"/>
      <c r="DQ604" s="1726"/>
      <c r="DR604" s="1726">
        <f t="shared" si="16"/>
        <v>0</v>
      </c>
      <c r="DS604" s="1726"/>
      <c r="DT604" s="1726"/>
      <c r="DU604" s="1726"/>
      <c r="DV604" s="1726"/>
      <c r="DX604" s="1419" t="str">
        <f t="shared" si="17"/>
        <v xml:space="preserve"> </v>
      </c>
      <c r="DY604" s="1857"/>
      <c r="DZ604" s="1857"/>
      <c r="EA604" s="1857"/>
      <c r="EB604" s="1420"/>
      <c r="EC604" s="1419" t="str">
        <f t="shared" si="18"/>
        <v xml:space="preserve"> </v>
      </c>
      <c r="ED604" s="1857"/>
      <c r="EE604" s="1857"/>
      <c r="EF604" s="1857"/>
      <c r="EG604" s="1420"/>
      <c r="EH604" s="1419" t="str">
        <f t="shared" si="19"/>
        <v xml:space="preserve"> </v>
      </c>
      <c r="EI604" s="1857"/>
      <c r="EJ604" s="1857"/>
      <c r="EK604" s="1857"/>
      <c r="EL604" s="1420"/>
      <c r="EM604" s="1419" t="str">
        <f t="shared" si="20"/>
        <v xml:space="preserve"> </v>
      </c>
      <c r="EN604" s="1857"/>
      <c r="EO604" s="1857"/>
      <c r="EP604" s="1857"/>
      <c r="EQ604" s="1420"/>
      <c r="ER604" s="1419" t="str">
        <f t="shared" si="21"/>
        <v xml:space="preserve"> </v>
      </c>
      <c r="ES604" s="1857"/>
      <c r="ET604" s="1857"/>
      <c r="EU604" s="1857"/>
      <c r="EV604" s="1420"/>
      <c r="EW604" s="1419" t="str">
        <f t="shared" si="22"/>
        <v xml:space="preserve"> </v>
      </c>
      <c r="EX604" s="1857"/>
      <c r="EY604" s="1857"/>
      <c r="EZ604" s="1857"/>
      <c r="FA604" s="1420"/>
    </row>
    <row r="605" spans="1:157" s="4" customFormat="1" ht="13" customHeight="1">
      <c r="A605" s="55" t="s">
        <v>363</v>
      </c>
      <c r="B605" t="s">
        <v>472</v>
      </c>
      <c r="C605"/>
      <c r="D605"/>
      <c r="E605"/>
      <c r="F605"/>
      <c r="G605" s="1518">
        <f>C560</f>
        <v>0</v>
      </c>
      <c r="H605" s="1518"/>
      <c r="I605" s="1518"/>
      <c r="J605" s="1518"/>
      <c r="K605" s="1518"/>
      <c r="L605" s="1518"/>
      <c r="M605" s="1518"/>
      <c r="N605" s="1518"/>
      <c r="O605" s="1518"/>
      <c r="P605" s="1518"/>
      <c r="Q605" s="1518"/>
      <c r="R605" s="1518"/>
      <c r="S605"/>
      <c r="T605" s="55" t="s">
        <v>364</v>
      </c>
      <c r="U605" t="s">
        <v>472</v>
      </c>
      <c r="V605"/>
      <c r="W605"/>
      <c r="X605"/>
      <c r="Y605"/>
      <c r="Z605" s="1518">
        <f>C561</f>
        <v>0</v>
      </c>
      <c r="AA605" s="1518"/>
      <c r="AB605" s="1518"/>
      <c r="AC605" s="1518"/>
      <c r="AD605" s="1518"/>
      <c r="AE605" s="1518"/>
      <c r="AF605" s="1518"/>
      <c r="AG605" s="1518"/>
      <c r="AH605" s="1518"/>
      <c r="AI605" s="1518"/>
      <c r="AJ605" s="1518"/>
      <c r="AK605" s="1518"/>
      <c r="AL605"/>
      <c r="AM605"/>
      <c r="AN605"/>
      <c r="AO605"/>
      <c r="AP605"/>
      <c r="AQ605"/>
      <c r="AR605"/>
      <c r="AS605"/>
      <c r="AT605"/>
      <c r="AU605"/>
      <c r="AV605"/>
      <c r="AW605"/>
      <c r="AX605"/>
      <c r="AY605"/>
      <c r="AZ605" s="3"/>
      <c r="BA605" s="3"/>
      <c r="BB605" s="3"/>
      <c r="BC605" s="3"/>
      <c r="BD605" s="3"/>
      <c r="BE605" s="1419">
        <f t="shared" si="1"/>
        <v>0</v>
      </c>
      <c r="BF605" s="1420"/>
      <c r="BG605" s="1502">
        <f t="shared" si="2"/>
        <v>0</v>
      </c>
      <c r="BH605" s="1503"/>
      <c r="BI605" s="1419">
        <f t="shared" si="3"/>
        <v>0</v>
      </c>
      <c r="BJ605" s="1420"/>
      <c r="BK605" s="1502">
        <f t="shared" si="4"/>
        <v>0</v>
      </c>
      <c r="BL605" s="1503"/>
      <c r="BM605" s="3"/>
      <c r="BN605" s="1513">
        <f t="shared" si="5"/>
        <v>0</v>
      </c>
      <c r="BO605" s="1514"/>
      <c r="BP605" s="1514"/>
      <c r="BQ605" s="1514"/>
      <c r="BR605" s="1515"/>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26">
        <f t="shared" si="11"/>
        <v>0</v>
      </c>
      <c r="CT605" s="1726"/>
      <c r="CU605" s="1726"/>
      <c r="CV605" s="1726"/>
      <c r="CW605" s="1726"/>
      <c r="CX605" s="1726">
        <f t="shared" si="12"/>
        <v>0</v>
      </c>
      <c r="CY605" s="1726"/>
      <c r="CZ605" s="1726"/>
      <c r="DA605" s="1726"/>
      <c r="DB605" s="1726"/>
      <c r="DC605" s="1726">
        <f t="shared" si="13"/>
        <v>0</v>
      </c>
      <c r="DD605" s="1726"/>
      <c r="DE605" s="1726"/>
      <c r="DF605" s="1726"/>
      <c r="DG605" s="1726"/>
      <c r="DH605" s="1726">
        <f t="shared" si="14"/>
        <v>0</v>
      </c>
      <c r="DI605" s="1726"/>
      <c r="DJ605" s="1726"/>
      <c r="DK605" s="1726"/>
      <c r="DL605" s="1726"/>
      <c r="DM605" s="1726">
        <f t="shared" si="15"/>
        <v>0</v>
      </c>
      <c r="DN605" s="1726"/>
      <c r="DO605" s="1726"/>
      <c r="DP605" s="1726"/>
      <c r="DQ605" s="1726"/>
      <c r="DR605" s="1726">
        <f t="shared" si="16"/>
        <v>0</v>
      </c>
      <c r="DS605" s="1726"/>
      <c r="DT605" s="1726"/>
      <c r="DU605" s="1726"/>
      <c r="DV605" s="1726"/>
      <c r="DX605" s="1419" t="str">
        <f t="shared" si="17"/>
        <v xml:space="preserve"> </v>
      </c>
      <c r="DY605" s="1857"/>
      <c r="DZ605" s="1857"/>
      <c r="EA605" s="1857"/>
      <c r="EB605" s="1420"/>
      <c r="EC605" s="1419" t="str">
        <f t="shared" si="18"/>
        <v xml:space="preserve"> </v>
      </c>
      <c r="ED605" s="1857"/>
      <c r="EE605" s="1857"/>
      <c r="EF605" s="1857"/>
      <c r="EG605" s="1420"/>
      <c r="EH605" s="1419" t="str">
        <f t="shared" si="19"/>
        <v xml:space="preserve"> </v>
      </c>
      <c r="EI605" s="1857"/>
      <c r="EJ605" s="1857"/>
      <c r="EK605" s="1857"/>
      <c r="EL605" s="1420"/>
      <c r="EM605" s="1419" t="str">
        <f t="shared" si="20"/>
        <v xml:space="preserve"> </v>
      </c>
      <c r="EN605" s="1857"/>
      <c r="EO605" s="1857"/>
      <c r="EP605" s="1857"/>
      <c r="EQ605" s="1420"/>
      <c r="ER605" s="1419" t="str">
        <f t="shared" si="21"/>
        <v xml:space="preserve"> </v>
      </c>
      <c r="ES605" s="1857"/>
      <c r="ET605" s="1857"/>
      <c r="EU605" s="1857"/>
      <c r="EV605" s="1420"/>
      <c r="EW605" s="1419" t="str">
        <f t="shared" si="22"/>
        <v xml:space="preserve"> </v>
      </c>
      <c r="EX605" s="1857"/>
      <c r="EY605" s="1857"/>
      <c r="EZ605" s="1857"/>
      <c r="FA605" s="1420"/>
    </row>
    <row r="606" spans="1:157" s="4" customFormat="1" ht="13"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502">
        <f t="shared" si="2"/>
        <v>0</v>
      </c>
      <c r="BH606" s="1503"/>
      <c r="BI606" s="1419">
        <f t="shared" si="3"/>
        <v>0</v>
      </c>
      <c r="BJ606" s="1420"/>
      <c r="BK606" s="1502">
        <f t="shared" si="4"/>
        <v>0</v>
      </c>
      <c r="BL606" s="1503"/>
      <c r="BM606" s="3"/>
      <c r="BN606" s="1513">
        <f t="shared" si="5"/>
        <v>0</v>
      </c>
      <c r="BO606" s="1514"/>
      <c r="BP606" s="1514"/>
      <c r="BQ606" s="1514"/>
      <c r="BR606" s="1515"/>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26">
        <f t="shared" si="11"/>
        <v>0</v>
      </c>
      <c r="CT606" s="1726"/>
      <c r="CU606" s="1726"/>
      <c r="CV606" s="1726"/>
      <c r="CW606" s="1726"/>
      <c r="CX606" s="1726">
        <f t="shared" si="12"/>
        <v>0</v>
      </c>
      <c r="CY606" s="1726"/>
      <c r="CZ606" s="1726"/>
      <c r="DA606" s="1726"/>
      <c r="DB606" s="1726"/>
      <c r="DC606" s="1726">
        <f t="shared" si="13"/>
        <v>0</v>
      </c>
      <c r="DD606" s="1726"/>
      <c r="DE606" s="1726"/>
      <c r="DF606" s="1726"/>
      <c r="DG606" s="1726"/>
      <c r="DH606" s="1726">
        <f t="shared" si="14"/>
        <v>0</v>
      </c>
      <c r="DI606" s="1726"/>
      <c r="DJ606" s="1726"/>
      <c r="DK606" s="1726"/>
      <c r="DL606" s="1726"/>
      <c r="DM606" s="1726">
        <f t="shared" si="15"/>
        <v>0</v>
      </c>
      <c r="DN606" s="1726"/>
      <c r="DO606" s="1726"/>
      <c r="DP606" s="1726"/>
      <c r="DQ606" s="1726"/>
      <c r="DR606" s="1726">
        <f t="shared" si="16"/>
        <v>0</v>
      </c>
      <c r="DS606" s="1726"/>
      <c r="DT606" s="1726"/>
      <c r="DU606" s="1726"/>
      <c r="DV606" s="1726"/>
      <c r="DX606" s="1419" t="str">
        <f t="shared" si="17"/>
        <v xml:space="preserve"> </v>
      </c>
      <c r="DY606" s="1857"/>
      <c r="DZ606" s="1857"/>
      <c r="EA606" s="1857"/>
      <c r="EB606" s="1420"/>
      <c r="EC606" s="1419" t="str">
        <f t="shared" si="18"/>
        <v xml:space="preserve"> </v>
      </c>
      <c r="ED606" s="1857"/>
      <c r="EE606" s="1857"/>
      <c r="EF606" s="1857"/>
      <c r="EG606" s="1420"/>
      <c r="EH606" s="1419" t="str">
        <f t="shared" si="19"/>
        <v xml:space="preserve"> </v>
      </c>
      <c r="EI606" s="1857"/>
      <c r="EJ606" s="1857"/>
      <c r="EK606" s="1857"/>
      <c r="EL606" s="1420"/>
      <c r="EM606" s="1419" t="str">
        <f t="shared" si="20"/>
        <v xml:space="preserve"> </v>
      </c>
      <c r="EN606" s="1857"/>
      <c r="EO606" s="1857"/>
      <c r="EP606" s="1857"/>
      <c r="EQ606" s="1420"/>
      <c r="ER606" s="1419" t="str">
        <f t="shared" si="21"/>
        <v xml:space="preserve"> </v>
      </c>
      <c r="ES606" s="1857"/>
      <c r="ET606" s="1857"/>
      <c r="EU606" s="1857"/>
      <c r="EV606" s="1420"/>
      <c r="EW606" s="1419" t="str">
        <f t="shared" si="22"/>
        <v xml:space="preserve"> </v>
      </c>
      <c r="EX606" s="1857"/>
      <c r="EY606" s="1857"/>
      <c r="EZ606" s="1857"/>
      <c r="FA606" s="1420"/>
    </row>
    <row r="607" spans="1:157" ht="13"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502">
        <f t="shared" si="2"/>
        <v>0</v>
      </c>
      <c r="BH607" s="1503"/>
      <c r="BI607" s="1419">
        <f t="shared" si="3"/>
        <v>0</v>
      </c>
      <c r="BJ607" s="1420"/>
      <c r="BK607" s="1502">
        <f t="shared" si="4"/>
        <v>0</v>
      </c>
      <c r="BL607" s="1503"/>
      <c r="BM607" s="3"/>
      <c r="BN607" s="1513">
        <f t="shared" si="5"/>
        <v>0</v>
      </c>
      <c r="BO607" s="1514"/>
      <c r="BP607" s="1514"/>
      <c r="BQ607" s="1514"/>
      <c r="BR607" s="1515"/>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26">
        <f t="shared" si="11"/>
        <v>0</v>
      </c>
      <c r="CT607" s="1726"/>
      <c r="CU607" s="1726"/>
      <c r="CV607" s="1726"/>
      <c r="CW607" s="1726"/>
      <c r="CX607" s="1726">
        <f t="shared" si="12"/>
        <v>0</v>
      </c>
      <c r="CY607" s="1726"/>
      <c r="CZ607" s="1726"/>
      <c r="DA607" s="1726"/>
      <c r="DB607" s="1726"/>
      <c r="DC607" s="1726">
        <f t="shared" si="13"/>
        <v>0</v>
      </c>
      <c r="DD607" s="1726"/>
      <c r="DE607" s="1726"/>
      <c r="DF607" s="1726"/>
      <c r="DG607" s="1726"/>
      <c r="DH607" s="1726">
        <f t="shared" si="14"/>
        <v>0</v>
      </c>
      <c r="DI607" s="1726"/>
      <c r="DJ607" s="1726"/>
      <c r="DK607" s="1726"/>
      <c r="DL607" s="1726"/>
      <c r="DM607" s="1726">
        <f t="shared" si="15"/>
        <v>0</v>
      </c>
      <c r="DN607" s="1726"/>
      <c r="DO607" s="1726"/>
      <c r="DP607" s="1726"/>
      <c r="DQ607" s="1726"/>
      <c r="DR607" s="1726">
        <f t="shared" si="16"/>
        <v>0</v>
      </c>
      <c r="DS607" s="1726"/>
      <c r="DT607" s="1726"/>
      <c r="DU607" s="1726"/>
      <c r="DV607" s="1726"/>
      <c r="DX607" s="1419" t="str">
        <f t="shared" si="17"/>
        <v xml:space="preserve"> </v>
      </c>
      <c r="DY607" s="1857"/>
      <c r="DZ607" s="1857"/>
      <c r="EA607" s="1857"/>
      <c r="EB607" s="1420"/>
      <c r="EC607" s="1419" t="str">
        <f t="shared" si="18"/>
        <v xml:space="preserve"> </v>
      </c>
      <c r="ED607" s="1857"/>
      <c r="EE607" s="1857"/>
      <c r="EF607" s="1857"/>
      <c r="EG607" s="1420"/>
      <c r="EH607" s="1419" t="str">
        <f t="shared" si="19"/>
        <v xml:space="preserve"> </v>
      </c>
      <c r="EI607" s="1857"/>
      <c r="EJ607" s="1857"/>
      <c r="EK607" s="1857"/>
      <c r="EL607" s="1420"/>
      <c r="EM607" s="1419" t="str">
        <f t="shared" si="20"/>
        <v xml:space="preserve"> </v>
      </c>
      <c r="EN607" s="1857"/>
      <c r="EO607" s="1857"/>
      <c r="EP607" s="1857"/>
      <c r="EQ607" s="1420"/>
      <c r="ER607" s="1419" t="str">
        <f t="shared" si="21"/>
        <v xml:space="preserve"> </v>
      </c>
      <c r="ES607" s="1857"/>
      <c r="ET607" s="1857"/>
      <c r="EU607" s="1857"/>
      <c r="EV607" s="1420"/>
      <c r="EW607" s="1419" t="str">
        <f t="shared" si="22"/>
        <v xml:space="preserve"> </v>
      </c>
      <c r="EX607" s="1857"/>
      <c r="EY607" s="1857"/>
      <c r="EZ607" s="1857"/>
      <c r="FA607" s="1420"/>
    </row>
    <row r="608" spans="1:157" ht="13"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502">
        <f t="shared" si="2"/>
        <v>0</v>
      </c>
      <c r="BH608" s="1503"/>
      <c r="BI608" s="1419">
        <f t="shared" si="3"/>
        <v>0</v>
      </c>
      <c r="BJ608" s="1420"/>
      <c r="BK608" s="1502">
        <f t="shared" si="4"/>
        <v>0</v>
      </c>
      <c r="BL608" s="1503"/>
      <c r="BM608" s="3"/>
      <c r="BN608" s="1513">
        <f t="shared" si="5"/>
        <v>0</v>
      </c>
      <c r="BO608" s="1514"/>
      <c r="BP608" s="1514"/>
      <c r="BQ608" s="1514"/>
      <c r="BR608" s="1515"/>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26">
        <f t="shared" si="11"/>
        <v>0</v>
      </c>
      <c r="CT608" s="1726"/>
      <c r="CU608" s="1726"/>
      <c r="CV608" s="1726"/>
      <c r="CW608" s="1726"/>
      <c r="CX608" s="1726">
        <f t="shared" si="12"/>
        <v>0</v>
      </c>
      <c r="CY608" s="1726"/>
      <c r="CZ608" s="1726"/>
      <c r="DA608" s="1726"/>
      <c r="DB608" s="1726"/>
      <c r="DC608" s="1726">
        <f t="shared" si="13"/>
        <v>0</v>
      </c>
      <c r="DD608" s="1726"/>
      <c r="DE608" s="1726"/>
      <c r="DF608" s="1726"/>
      <c r="DG608" s="1726"/>
      <c r="DH608" s="1726">
        <f t="shared" si="14"/>
        <v>0</v>
      </c>
      <c r="DI608" s="1726"/>
      <c r="DJ608" s="1726"/>
      <c r="DK608" s="1726"/>
      <c r="DL608" s="1726"/>
      <c r="DM608" s="1726">
        <f t="shared" si="15"/>
        <v>0</v>
      </c>
      <c r="DN608" s="1726"/>
      <c r="DO608" s="1726"/>
      <c r="DP608" s="1726"/>
      <c r="DQ608" s="1726"/>
      <c r="DR608" s="1726">
        <f t="shared" si="16"/>
        <v>0</v>
      </c>
      <c r="DS608" s="1726"/>
      <c r="DT608" s="1726"/>
      <c r="DU608" s="1726"/>
      <c r="DV608" s="1726"/>
      <c r="DX608" s="1419" t="str">
        <f t="shared" si="17"/>
        <v xml:space="preserve"> </v>
      </c>
      <c r="DY608" s="1857"/>
      <c r="DZ608" s="1857"/>
      <c r="EA608" s="1857"/>
      <c r="EB608" s="1420"/>
      <c r="EC608" s="1419" t="str">
        <f t="shared" si="18"/>
        <v xml:space="preserve"> </v>
      </c>
      <c r="ED608" s="1857"/>
      <c r="EE608" s="1857"/>
      <c r="EF608" s="1857"/>
      <c r="EG608" s="1420"/>
      <c r="EH608" s="1419" t="str">
        <f t="shared" si="19"/>
        <v xml:space="preserve"> </v>
      </c>
      <c r="EI608" s="1857"/>
      <c r="EJ608" s="1857"/>
      <c r="EK608" s="1857"/>
      <c r="EL608" s="1420"/>
      <c r="EM608" s="1419" t="str">
        <f t="shared" si="20"/>
        <v xml:space="preserve"> </v>
      </c>
      <c r="EN608" s="1857"/>
      <c r="EO608" s="1857"/>
      <c r="EP608" s="1857"/>
      <c r="EQ608" s="1420"/>
      <c r="ER608" s="1419" t="str">
        <f t="shared" si="21"/>
        <v xml:space="preserve"> </v>
      </c>
      <c r="ES608" s="1857"/>
      <c r="ET608" s="1857"/>
      <c r="EU608" s="1857"/>
      <c r="EV608" s="1420"/>
      <c r="EW608" s="1419" t="str">
        <f t="shared" si="22"/>
        <v xml:space="preserve"> </v>
      </c>
      <c r="EX608" s="1857"/>
      <c r="EY608" s="1857"/>
      <c r="EZ608" s="1857"/>
      <c r="FA608" s="1420"/>
    </row>
    <row r="609" spans="1:157" ht="13" customHeight="1">
      <c r="B609" t="s">
        <v>317</v>
      </c>
      <c r="G609" s="1438"/>
      <c r="H609" s="1438"/>
      <c r="I609" s="1438"/>
      <c r="J609" s="1438"/>
      <c r="K609" s="1438"/>
      <c r="L609" s="1438"/>
      <c r="O609" s="33" t="s">
        <v>207</v>
      </c>
      <c r="P609" s="1469"/>
      <c r="Q609" s="1469"/>
      <c r="R609" s="1469"/>
      <c r="U609" t="s">
        <v>317</v>
      </c>
      <c r="Z609" s="1438"/>
      <c r="AA609" s="1438"/>
      <c r="AB609" s="1438"/>
      <c r="AC609" s="1438"/>
      <c r="AD609" s="1438"/>
      <c r="AE609" s="1438"/>
      <c r="AH609" s="33" t="s">
        <v>207</v>
      </c>
      <c r="AI609" s="1469"/>
      <c r="AJ609" s="1469"/>
      <c r="AK609" s="1469"/>
      <c r="AZ609" s="3"/>
      <c r="BA609" s="3"/>
      <c r="BB609" s="3"/>
      <c r="BC609" s="3"/>
      <c r="BD609" s="3"/>
      <c r="BE609" s="1419">
        <f t="shared" si="1"/>
        <v>0</v>
      </c>
      <c r="BF609" s="1420"/>
      <c r="BG609" s="1502">
        <f t="shared" si="2"/>
        <v>0</v>
      </c>
      <c r="BH609" s="1503"/>
      <c r="BI609" s="1419">
        <f t="shared" si="3"/>
        <v>0</v>
      </c>
      <c r="BJ609" s="1420"/>
      <c r="BK609" s="1502">
        <f t="shared" si="4"/>
        <v>0</v>
      </c>
      <c r="BL609" s="1503"/>
      <c r="BM609" s="3"/>
      <c r="BN609" s="1513">
        <f t="shared" si="5"/>
        <v>0</v>
      </c>
      <c r="BO609" s="1514"/>
      <c r="BP609" s="1514"/>
      <c r="BQ609" s="1514"/>
      <c r="BR609" s="1515"/>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26">
        <f t="shared" si="11"/>
        <v>0</v>
      </c>
      <c r="CT609" s="1726"/>
      <c r="CU609" s="1726"/>
      <c r="CV609" s="1726"/>
      <c r="CW609" s="1726"/>
      <c r="CX609" s="1726">
        <f t="shared" si="12"/>
        <v>0</v>
      </c>
      <c r="CY609" s="1726"/>
      <c r="CZ609" s="1726"/>
      <c r="DA609" s="1726"/>
      <c r="DB609" s="1726"/>
      <c r="DC609" s="1726">
        <f t="shared" si="13"/>
        <v>0</v>
      </c>
      <c r="DD609" s="1726"/>
      <c r="DE609" s="1726"/>
      <c r="DF609" s="1726"/>
      <c r="DG609" s="1726"/>
      <c r="DH609" s="1726">
        <f t="shared" si="14"/>
        <v>0</v>
      </c>
      <c r="DI609" s="1726"/>
      <c r="DJ609" s="1726"/>
      <c r="DK609" s="1726"/>
      <c r="DL609" s="1726"/>
      <c r="DM609" s="1726">
        <f t="shared" si="15"/>
        <v>0</v>
      </c>
      <c r="DN609" s="1726"/>
      <c r="DO609" s="1726"/>
      <c r="DP609" s="1726"/>
      <c r="DQ609" s="1726"/>
      <c r="DR609" s="1726">
        <f t="shared" si="16"/>
        <v>0</v>
      </c>
      <c r="DS609" s="1726"/>
      <c r="DT609" s="1726"/>
      <c r="DU609" s="1726"/>
      <c r="DV609" s="1726"/>
      <c r="DX609" s="1419" t="str">
        <f t="shared" si="17"/>
        <v xml:space="preserve"> </v>
      </c>
      <c r="DY609" s="1857"/>
      <c r="DZ609" s="1857"/>
      <c r="EA609" s="1857"/>
      <c r="EB609" s="1420"/>
      <c r="EC609" s="1419" t="str">
        <f t="shared" si="18"/>
        <v xml:space="preserve"> </v>
      </c>
      <c r="ED609" s="1857"/>
      <c r="EE609" s="1857"/>
      <c r="EF609" s="1857"/>
      <c r="EG609" s="1420"/>
      <c r="EH609" s="1419" t="str">
        <f t="shared" si="19"/>
        <v xml:space="preserve"> </v>
      </c>
      <c r="EI609" s="1857"/>
      <c r="EJ609" s="1857"/>
      <c r="EK609" s="1857"/>
      <c r="EL609" s="1420"/>
      <c r="EM609" s="1419" t="str">
        <f t="shared" si="20"/>
        <v xml:space="preserve"> </v>
      </c>
      <c r="EN609" s="1857"/>
      <c r="EO609" s="1857"/>
      <c r="EP609" s="1857"/>
      <c r="EQ609" s="1420"/>
      <c r="ER609" s="1419" t="str">
        <f t="shared" si="21"/>
        <v xml:space="preserve"> </v>
      </c>
      <c r="ES609" s="1857"/>
      <c r="ET609" s="1857"/>
      <c r="EU609" s="1857"/>
      <c r="EV609" s="1420"/>
      <c r="EW609" s="1419" t="str">
        <f t="shared" si="22"/>
        <v xml:space="preserve"> </v>
      </c>
      <c r="EX609" s="1857"/>
      <c r="EY609" s="1857"/>
      <c r="EZ609" s="1857"/>
      <c r="FA609" s="1420"/>
    </row>
    <row r="610" spans="1:157" ht="13"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502">
        <f t="shared" si="2"/>
        <v>0</v>
      </c>
      <c r="BH610" s="1503"/>
      <c r="BI610" s="1419">
        <f t="shared" si="3"/>
        <v>0</v>
      </c>
      <c r="BJ610" s="1420"/>
      <c r="BK610" s="1502">
        <f t="shared" si="4"/>
        <v>0</v>
      </c>
      <c r="BL610" s="1503"/>
      <c r="BM610" s="3"/>
      <c r="BN610" s="1513">
        <f t="shared" si="5"/>
        <v>0</v>
      </c>
      <c r="BO610" s="1514"/>
      <c r="BP610" s="1514"/>
      <c r="BQ610" s="1514"/>
      <c r="BR610" s="1515"/>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26">
        <f t="shared" si="11"/>
        <v>0</v>
      </c>
      <c r="CT610" s="1726"/>
      <c r="CU610" s="1726"/>
      <c r="CV610" s="1726"/>
      <c r="CW610" s="1726"/>
      <c r="CX610" s="1726">
        <f t="shared" si="12"/>
        <v>0</v>
      </c>
      <c r="CY610" s="1726"/>
      <c r="CZ610" s="1726"/>
      <c r="DA610" s="1726"/>
      <c r="DB610" s="1726"/>
      <c r="DC610" s="1726">
        <f t="shared" si="13"/>
        <v>0</v>
      </c>
      <c r="DD610" s="1726"/>
      <c r="DE610" s="1726"/>
      <c r="DF610" s="1726"/>
      <c r="DG610" s="1726"/>
      <c r="DH610" s="1726">
        <f t="shared" si="14"/>
        <v>0</v>
      </c>
      <c r="DI610" s="1726"/>
      <c r="DJ610" s="1726"/>
      <c r="DK610" s="1726"/>
      <c r="DL610" s="1726"/>
      <c r="DM610" s="1726">
        <f t="shared" si="15"/>
        <v>0</v>
      </c>
      <c r="DN610" s="1726"/>
      <c r="DO610" s="1726"/>
      <c r="DP610" s="1726"/>
      <c r="DQ610" s="1726"/>
      <c r="DR610" s="1726">
        <f t="shared" si="16"/>
        <v>0</v>
      </c>
      <c r="DS610" s="1726"/>
      <c r="DT610" s="1726"/>
      <c r="DU610" s="1726"/>
      <c r="DV610" s="1726"/>
      <c r="DX610" s="1419" t="str">
        <f t="shared" si="17"/>
        <v xml:space="preserve"> </v>
      </c>
      <c r="DY610" s="1857"/>
      <c r="DZ610" s="1857"/>
      <c r="EA610" s="1857"/>
      <c r="EB610" s="1420"/>
      <c r="EC610" s="1419" t="str">
        <f t="shared" si="18"/>
        <v xml:space="preserve"> </v>
      </c>
      <c r="ED610" s="1857"/>
      <c r="EE610" s="1857"/>
      <c r="EF610" s="1857"/>
      <c r="EG610" s="1420"/>
      <c r="EH610" s="1419" t="str">
        <f t="shared" si="19"/>
        <v xml:space="preserve"> </v>
      </c>
      <c r="EI610" s="1857"/>
      <c r="EJ610" s="1857"/>
      <c r="EK610" s="1857"/>
      <c r="EL610" s="1420"/>
      <c r="EM610" s="1419" t="str">
        <f t="shared" si="20"/>
        <v xml:space="preserve"> </v>
      </c>
      <c r="EN610" s="1857"/>
      <c r="EO610" s="1857"/>
      <c r="EP610" s="1857"/>
      <c r="EQ610" s="1420"/>
      <c r="ER610" s="1419" t="str">
        <f t="shared" si="21"/>
        <v xml:space="preserve"> </v>
      </c>
      <c r="ES610" s="1857"/>
      <c r="ET610" s="1857"/>
      <c r="EU610" s="1857"/>
      <c r="EV610" s="1420"/>
      <c r="EW610" s="1419" t="str">
        <f t="shared" si="22"/>
        <v xml:space="preserve"> </v>
      </c>
      <c r="EX610" s="1857"/>
      <c r="EY610" s="1857"/>
      <c r="EZ610" s="1857"/>
      <c r="FA610" s="1420"/>
    </row>
    <row r="611" spans="1:157" ht="13" customHeight="1">
      <c r="B611" t="s">
        <v>20</v>
      </c>
      <c r="N611" s="1373" t="s">
        <v>678</v>
      </c>
      <c r="O611" s="1373"/>
      <c r="U611" t="s">
        <v>20</v>
      </c>
      <c r="AG611" s="1373" t="s">
        <v>678</v>
      </c>
      <c r="AH611" s="1373"/>
      <c r="AZ611" s="3"/>
      <c r="BA611" s="3"/>
      <c r="BB611" s="3"/>
      <c r="BC611" s="3"/>
      <c r="BD611" s="3"/>
      <c r="BE611" s="1419">
        <f t="shared" si="1"/>
        <v>0</v>
      </c>
      <c r="BF611" s="1420"/>
      <c r="BG611" s="1502">
        <f t="shared" si="2"/>
        <v>0</v>
      </c>
      <c r="BH611" s="1503"/>
      <c r="BI611" s="1419">
        <f t="shared" si="3"/>
        <v>0</v>
      </c>
      <c r="BJ611" s="1420"/>
      <c r="BK611" s="1502">
        <f t="shared" si="4"/>
        <v>0</v>
      </c>
      <c r="BL611" s="1503"/>
      <c r="BM611" s="3"/>
      <c r="BN611" s="1513">
        <f t="shared" si="5"/>
        <v>0</v>
      </c>
      <c r="BO611" s="1514"/>
      <c r="BP611" s="1514"/>
      <c r="BQ611" s="1514"/>
      <c r="BR611" s="1515"/>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26">
        <f t="shared" si="11"/>
        <v>0</v>
      </c>
      <c r="CT611" s="1726"/>
      <c r="CU611" s="1726"/>
      <c r="CV611" s="1726"/>
      <c r="CW611" s="1726"/>
      <c r="CX611" s="1726">
        <f t="shared" si="12"/>
        <v>0</v>
      </c>
      <c r="CY611" s="1726"/>
      <c r="CZ611" s="1726"/>
      <c r="DA611" s="1726"/>
      <c r="DB611" s="1726"/>
      <c r="DC611" s="1726">
        <f t="shared" si="13"/>
        <v>0</v>
      </c>
      <c r="DD611" s="1726"/>
      <c r="DE611" s="1726"/>
      <c r="DF611" s="1726"/>
      <c r="DG611" s="1726"/>
      <c r="DH611" s="1726">
        <f t="shared" si="14"/>
        <v>0</v>
      </c>
      <c r="DI611" s="1726"/>
      <c r="DJ611" s="1726"/>
      <c r="DK611" s="1726"/>
      <c r="DL611" s="1726"/>
      <c r="DM611" s="1726">
        <f t="shared" si="15"/>
        <v>0</v>
      </c>
      <c r="DN611" s="1726"/>
      <c r="DO611" s="1726"/>
      <c r="DP611" s="1726"/>
      <c r="DQ611" s="1726"/>
      <c r="DR611" s="1726">
        <f t="shared" si="16"/>
        <v>0</v>
      </c>
      <c r="DS611" s="1726"/>
      <c r="DT611" s="1726"/>
      <c r="DU611" s="1726"/>
      <c r="DV611" s="1726"/>
      <c r="DX611" s="1419" t="str">
        <f t="shared" si="17"/>
        <v xml:space="preserve"> </v>
      </c>
      <c r="DY611" s="1857"/>
      <c r="DZ611" s="1857"/>
      <c r="EA611" s="1857"/>
      <c r="EB611" s="1420"/>
      <c r="EC611" s="1419" t="str">
        <f t="shared" si="18"/>
        <v xml:space="preserve"> </v>
      </c>
      <c r="ED611" s="1857"/>
      <c r="EE611" s="1857"/>
      <c r="EF611" s="1857"/>
      <c r="EG611" s="1420"/>
      <c r="EH611" s="1419" t="str">
        <f t="shared" si="19"/>
        <v xml:space="preserve"> </v>
      </c>
      <c r="EI611" s="1857"/>
      <c r="EJ611" s="1857"/>
      <c r="EK611" s="1857"/>
      <c r="EL611" s="1420"/>
      <c r="EM611" s="1419" t="str">
        <f t="shared" si="20"/>
        <v xml:space="preserve"> </v>
      </c>
      <c r="EN611" s="1857"/>
      <c r="EO611" s="1857"/>
      <c r="EP611" s="1857"/>
      <c r="EQ611" s="1420"/>
      <c r="ER611" s="1419" t="str">
        <f t="shared" si="21"/>
        <v xml:space="preserve"> </v>
      </c>
      <c r="ES611" s="1857"/>
      <c r="ET611" s="1857"/>
      <c r="EU611" s="1857"/>
      <c r="EV611" s="1420"/>
      <c r="EW611" s="1419" t="str">
        <f t="shared" si="22"/>
        <v xml:space="preserve"> </v>
      </c>
      <c r="EX611" s="1857"/>
      <c r="EY611" s="1857"/>
      <c r="EZ611" s="1857"/>
      <c r="FA611" s="1420"/>
    </row>
    <row r="612" spans="1:157" ht="13" customHeight="1">
      <c r="AZ612" s="3"/>
      <c r="BA612" s="3"/>
      <c r="BB612" s="3"/>
      <c r="BC612" s="3"/>
      <c r="BD612" s="3"/>
      <c r="BE612" s="1419">
        <f t="shared" si="1"/>
        <v>0</v>
      </c>
      <c r="BF612" s="1420"/>
      <c r="BG612" s="1502">
        <f t="shared" si="2"/>
        <v>0</v>
      </c>
      <c r="BH612" s="1503"/>
      <c r="BI612" s="1419">
        <f t="shared" si="3"/>
        <v>0</v>
      </c>
      <c r="BJ612" s="1420"/>
      <c r="BK612" s="1502">
        <f t="shared" si="4"/>
        <v>0</v>
      </c>
      <c r="BL612" s="1503"/>
      <c r="BM612" s="3"/>
      <c r="BN612" s="1513">
        <f t="shared" si="5"/>
        <v>0</v>
      </c>
      <c r="BO612" s="1514"/>
      <c r="BP612" s="1514"/>
      <c r="BQ612" s="1514"/>
      <c r="BR612" s="1515"/>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26">
        <f t="shared" si="11"/>
        <v>0</v>
      </c>
      <c r="CT612" s="1726"/>
      <c r="CU612" s="1726"/>
      <c r="CV612" s="1726"/>
      <c r="CW612" s="1726"/>
      <c r="CX612" s="1726">
        <f t="shared" si="12"/>
        <v>0</v>
      </c>
      <c r="CY612" s="1726"/>
      <c r="CZ612" s="1726"/>
      <c r="DA612" s="1726"/>
      <c r="DB612" s="1726"/>
      <c r="DC612" s="1726">
        <f t="shared" si="13"/>
        <v>0</v>
      </c>
      <c r="DD612" s="1726"/>
      <c r="DE612" s="1726"/>
      <c r="DF612" s="1726"/>
      <c r="DG612" s="1726"/>
      <c r="DH612" s="1726">
        <f t="shared" si="14"/>
        <v>0</v>
      </c>
      <c r="DI612" s="1726"/>
      <c r="DJ612" s="1726"/>
      <c r="DK612" s="1726"/>
      <c r="DL612" s="1726"/>
      <c r="DM612" s="1726">
        <f t="shared" si="15"/>
        <v>0</v>
      </c>
      <c r="DN612" s="1726"/>
      <c r="DO612" s="1726"/>
      <c r="DP612" s="1726"/>
      <c r="DQ612" s="1726"/>
      <c r="DR612" s="1726">
        <f t="shared" si="16"/>
        <v>0</v>
      </c>
      <c r="DS612" s="1726"/>
      <c r="DT612" s="1726"/>
      <c r="DU612" s="1726"/>
      <c r="DV612" s="1726"/>
      <c r="DX612" s="1419" t="str">
        <f t="shared" si="17"/>
        <v xml:space="preserve"> </v>
      </c>
      <c r="DY612" s="1857"/>
      <c r="DZ612" s="1857"/>
      <c r="EA612" s="1857"/>
      <c r="EB612" s="1420"/>
      <c r="EC612" s="1419" t="str">
        <f t="shared" si="18"/>
        <v xml:space="preserve"> </v>
      </c>
      <c r="ED612" s="1857"/>
      <c r="EE612" s="1857"/>
      <c r="EF612" s="1857"/>
      <c r="EG612" s="1420"/>
      <c r="EH612" s="1419" t="str">
        <f t="shared" si="19"/>
        <v xml:space="preserve"> </v>
      </c>
      <c r="EI612" s="1857"/>
      <c r="EJ612" s="1857"/>
      <c r="EK612" s="1857"/>
      <c r="EL612" s="1420"/>
      <c r="EM612" s="1419" t="str">
        <f t="shared" si="20"/>
        <v xml:space="preserve"> </v>
      </c>
      <c r="EN612" s="1857"/>
      <c r="EO612" s="1857"/>
      <c r="EP612" s="1857"/>
      <c r="EQ612" s="1420"/>
      <c r="ER612" s="1419" t="str">
        <f t="shared" si="21"/>
        <v xml:space="preserve"> </v>
      </c>
      <c r="ES612" s="1857"/>
      <c r="ET612" s="1857"/>
      <c r="EU612" s="1857"/>
      <c r="EV612" s="1420"/>
      <c r="EW612" s="1419" t="str">
        <f t="shared" si="22"/>
        <v xml:space="preserve"> </v>
      </c>
      <c r="EX612" s="1857"/>
      <c r="EY612" s="1857"/>
      <c r="EZ612" s="1857"/>
      <c r="FA612" s="1420"/>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502">
        <f t="shared" si="2"/>
        <v>0</v>
      </c>
      <c r="BH613" s="1503"/>
      <c r="BI613" s="1419">
        <f t="shared" si="3"/>
        <v>0</v>
      </c>
      <c r="BJ613" s="1420"/>
      <c r="BK613" s="1502">
        <f t="shared" si="4"/>
        <v>0</v>
      </c>
      <c r="BL613" s="1503"/>
      <c r="BM613" s="3"/>
      <c r="BN613" s="1513">
        <f t="shared" si="5"/>
        <v>0</v>
      </c>
      <c r="BO613" s="1514"/>
      <c r="BP613" s="1514"/>
      <c r="BQ613" s="1514"/>
      <c r="BR613" s="1515"/>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26">
        <f t="shared" si="11"/>
        <v>0</v>
      </c>
      <c r="CT613" s="1726"/>
      <c r="CU613" s="1726"/>
      <c r="CV613" s="1726"/>
      <c r="CW613" s="1726"/>
      <c r="CX613" s="1726">
        <f t="shared" si="12"/>
        <v>0</v>
      </c>
      <c r="CY613" s="1726"/>
      <c r="CZ613" s="1726"/>
      <c r="DA613" s="1726"/>
      <c r="DB613" s="1726"/>
      <c r="DC613" s="1726">
        <f t="shared" si="13"/>
        <v>0</v>
      </c>
      <c r="DD613" s="1726"/>
      <c r="DE613" s="1726"/>
      <c r="DF613" s="1726"/>
      <c r="DG613" s="1726"/>
      <c r="DH613" s="1726">
        <f t="shared" si="14"/>
        <v>0</v>
      </c>
      <c r="DI613" s="1726"/>
      <c r="DJ613" s="1726"/>
      <c r="DK613" s="1726"/>
      <c r="DL613" s="1726"/>
      <c r="DM613" s="1726">
        <f t="shared" si="15"/>
        <v>0</v>
      </c>
      <c r="DN613" s="1726"/>
      <c r="DO613" s="1726"/>
      <c r="DP613" s="1726"/>
      <c r="DQ613" s="1726"/>
      <c r="DR613" s="1726">
        <f t="shared" si="16"/>
        <v>0</v>
      </c>
      <c r="DS613" s="1726"/>
      <c r="DT613" s="1726"/>
      <c r="DU613" s="1726"/>
      <c r="DV613" s="1726"/>
      <c r="DX613" s="1419" t="str">
        <f t="shared" si="17"/>
        <v xml:space="preserve"> </v>
      </c>
      <c r="DY613" s="1857"/>
      <c r="DZ613" s="1857"/>
      <c r="EA613" s="1857"/>
      <c r="EB613" s="1420"/>
      <c r="EC613" s="1419" t="str">
        <f t="shared" si="18"/>
        <v xml:space="preserve"> </v>
      </c>
      <c r="ED613" s="1857"/>
      <c r="EE613" s="1857"/>
      <c r="EF613" s="1857"/>
      <c r="EG613" s="1420"/>
      <c r="EH613" s="1419" t="str">
        <f t="shared" si="19"/>
        <v xml:space="preserve"> </v>
      </c>
      <c r="EI613" s="1857"/>
      <c r="EJ613" s="1857"/>
      <c r="EK613" s="1857"/>
      <c r="EL613" s="1420"/>
      <c r="EM613" s="1419" t="str">
        <f t="shared" si="20"/>
        <v xml:space="preserve"> </v>
      </c>
      <c r="EN613" s="1857"/>
      <c r="EO613" s="1857"/>
      <c r="EP613" s="1857"/>
      <c r="EQ613" s="1420"/>
      <c r="ER613" s="1419" t="str">
        <f t="shared" si="21"/>
        <v xml:space="preserve"> </v>
      </c>
      <c r="ES613" s="1857"/>
      <c r="ET613" s="1857"/>
      <c r="EU613" s="1857"/>
      <c r="EV613" s="1420"/>
      <c r="EW613" s="1419" t="str">
        <f t="shared" si="22"/>
        <v xml:space="preserve"> </v>
      </c>
      <c r="EX613" s="1857"/>
      <c r="EY613" s="1857"/>
      <c r="EZ613" s="1857"/>
      <c r="FA613" s="1420"/>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502">
        <f t="shared" si="2"/>
        <v>0</v>
      </c>
      <c r="BH614" s="1503"/>
      <c r="BI614" s="1419">
        <f t="shared" si="3"/>
        <v>0</v>
      </c>
      <c r="BJ614" s="1420"/>
      <c r="BK614" s="1502">
        <f t="shared" si="4"/>
        <v>0</v>
      </c>
      <c r="BL614" s="1503"/>
      <c r="BM614" s="3"/>
      <c r="BN614" s="1513">
        <f t="shared" si="5"/>
        <v>0</v>
      </c>
      <c r="BO614" s="1514"/>
      <c r="BP614" s="1514"/>
      <c r="BQ614" s="1514"/>
      <c r="BR614" s="1515"/>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26">
        <f t="shared" si="11"/>
        <v>0</v>
      </c>
      <c r="CT614" s="1726"/>
      <c r="CU614" s="1726"/>
      <c r="CV614" s="1726"/>
      <c r="CW614" s="1726"/>
      <c r="CX614" s="1726">
        <f t="shared" si="12"/>
        <v>0</v>
      </c>
      <c r="CY614" s="1726"/>
      <c r="CZ614" s="1726"/>
      <c r="DA614" s="1726"/>
      <c r="DB614" s="1726"/>
      <c r="DC614" s="1726">
        <f t="shared" si="13"/>
        <v>0</v>
      </c>
      <c r="DD614" s="1726"/>
      <c r="DE614" s="1726"/>
      <c r="DF614" s="1726"/>
      <c r="DG614" s="1726"/>
      <c r="DH614" s="1726">
        <f t="shared" si="14"/>
        <v>0</v>
      </c>
      <c r="DI614" s="1726"/>
      <c r="DJ614" s="1726"/>
      <c r="DK614" s="1726"/>
      <c r="DL614" s="1726"/>
      <c r="DM614" s="1726">
        <f t="shared" si="15"/>
        <v>0</v>
      </c>
      <c r="DN614" s="1726"/>
      <c r="DO614" s="1726"/>
      <c r="DP614" s="1726"/>
      <c r="DQ614" s="1726"/>
      <c r="DR614" s="1726">
        <f t="shared" si="16"/>
        <v>0</v>
      </c>
      <c r="DS614" s="1726"/>
      <c r="DT614" s="1726"/>
      <c r="DU614" s="1726"/>
      <c r="DV614" s="1726"/>
      <c r="DX614" s="1419" t="str">
        <f t="shared" si="17"/>
        <v xml:space="preserve"> </v>
      </c>
      <c r="DY614" s="1857"/>
      <c r="DZ614" s="1857"/>
      <c r="EA614" s="1857"/>
      <c r="EB614" s="1420"/>
      <c r="EC614" s="1419" t="str">
        <f t="shared" si="18"/>
        <v xml:space="preserve"> </v>
      </c>
      <c r="ED614" s="1857"/>
      <c r="EE614" s="1857"/>
      <c r="EF614" s="1857"/>
      <c r="EG614" s="1420"/>
      <c r="EH614" s="1419" t="str">
        <f t="shared" si="19"/>
        <v xml:space="preserve"> </v>
      </c>
      <c r="EI614" s="1857"/>
      <c r="EJ614" s="1857"/>
      <c r="EK614" s="1857"/>
      <c r="EL614" s="1420"/>
      <c r="EM614" s="1419" t="str">
        <f t="shared" si="20"/>
        <v xml:space="preserve"> </v>
      </c>
      <c r="EN614" s="1857"/>
      <c r="EO614" s="1857"/>
      <c r="EP614" s="1857"/>
      <c r="EQ614" s="1420"/>
      <c r="ER614" s="1419" t="str">
        <f t="shared" si="21"/>
        <v xml:space="preserve"> </v>
      </c>
      <c r="ES614" s="1857"/>
      <c r="ET614" s="1857"/>
      <c r="EU614" s="1857"/>
      <c r="EV614" s="1420"/>
      <c r="EW614" s="1419" t="str">
        <f t="shared" si="22"/>
        <v xml:space="preserve"> </v>
      </c>
      <c r="EX614" s="1857"/>
      <c r="EY614" s="1857"/>
      <c r="EZ614" s="1857"/>
      <c r="FA614" s="1420"/>
    </row>
    <row r="615" spans="1:157" ht="13" customHeight="1">
      <c r="AZ615" s="3"/>
      <c r="BA615" s="3"/>
      <c r="BB615" s="3"/>
      <c r="BC615" s="3"/>
      <c r="BD615" s="3"/>
      <c r="BE615" s="1419">
        <f t="shared" si="1"/>
        <v>0</v>
      </c>
      <c r="BF615" s="1420"/>
      <c r="BG615" s="1502">
        <f t="shared" si="2"/>
        <v>0</v>
      </c>
      <c r="BH615" s="1503"/>
      <c r="BI615" s="1419">
        <f t="shared" si="3"/>
        <v>0</v>
      </c>
      <c r="BJ615" s="1420"/>
      <c r="BK615" s="1502">
        <f t="shared" si="4"/>
        <v>0</v>
      </c>
      <c r="BL615" s="1503"/>
      <c r="BM615" s="3"/>
      <c r="BN615" s="1513">
        <f t="shared" si="5"/>
        <v>0</v>
      </c>
      <c r="BO615" s="1514"/>
      <c r="BP615" s="1514"/>
      <c r="BQ615" s="1514"/>
      <c r="BR615" s="1515"/>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26">
        <f t="shared" si="11"/>
        <v>0</v>
      </c>
      <c r="CT615" s="1726"/>
      <c r="CU615" s="1726"/>
      <c r="CV615" s="1726"/>
      <c r="CW615" s="1726"/>
      <c r="CX615" s="1726">
        <f t="shared" si="12"/>
        <v>0</v>
      </c>
      <c r="CY615" s="1726"/>
      <c r="CZ615" s="1726"/>
      <c r="DA615" s="1726"/>
      <c r="DB615" s="1726"/>
      <c r="DC615" s="1726">
        <f t="shared" si="13"/>
        <v>0</v>
      </c>
      <c r="DD615" s="1726"/>
      <c r="DE615" s="1726"/>
      <c r="DF615" s="1726"/>
      <c r="DG615" s="1726"/>
      <c r="DH615" s="1726">
        <f t="shared" si="14"/>
        <v>0</v>
      </c>
      <c r="DI615" s="1726"/>
      <c r="DJ615" s="1726"/>
      <c r="DK615" s="1726"/>
      <c r="DL615" s="1726"/>
      <c r="DM615" s="1726">
        <f t="shared" si="15"/>
        <v>0</v>
      </c>
      <c r="DN615" s="1726"/>
      <c r="DO615" s="1726"/>
      <c r="DP615" s="1726"/>
      <c r="DQ615" s="1726"/>
      <c r="DR615" s="1726">
        <f t="shared" si="16"/>
        <v>0</v>
      </c>
      <c r="DS615" s="1726"/>
      <c r="DT615" s="1726"/>
      <c r="DU615" s="1726"/>
      <c r="DV615" s="1726"/>
      <c r="DX615" s="1419" t="str">
        <f t="shared" si="17"/>
        <v xml:space="preserve"> </v>
      </c>
      <c r="DY615" s="1857"/>
      <c r="DZ615" s="1857"/>
      <c r="EA615" s="1857"/>
      <c r="EB615" s="1420"/>
      <c r="EC615" s="1419" t="str">
        <f t="shared" si="18"/>
        <v xml:space="preserve"> </v>
      </c>
      <c r="ED615" s="1857"/>
      <c r="EE615" s="1857"/>
      <c r="EF615" s="1857"/>
      <c r="EG615" s="1420"/>
      <c r="EH615" s="1419" t="str">
        <f t="shared" si="19"/>
        <v xml:space="preserve"> </v>
      </c>
      <c r="EI615" s="1857"/>
      <c r="EJ615" s="1857"/>
      <c r="EK615" s="1857"/>
      <c r="EL615" s="1420"/>
      <c r="EM615" s="1419" t="str">
        <f t="shared" si="20"/>
        <v xml:space="preserve"> </v>
      </c>
      <c r="EN615" s="1857"/>
      <c r="EO615" s="1857"/>
      <c r="EP615" s="1857"/>
      <c r="EQ615" s="1420"/>
      <c r="ER615" s="1419" t="str">
        <f t="shared" si="21"/>
        <v xml:space="preserve"> </v>
      </c>
      <c r="ES615" s="1857"/>
      <c r="ET615" s="1857"/>
      <c r="EU615" s="1857"/>
      <c r="EV615" s="1420"/>
      <c r="EW615" s="1419" t="str">
        <f t="shared" si="22"/>
        <v xml:space="preserve"> </v>
      </c>
      <c r="EX615" s="1857"/>
      <c r="EY615" s="1857"/>
      <c r="EZ615" s="1857"/>
      <c r="FA615" s="1420"/>
    </row>
    <row r="616" spans="1:157" ht="13" customHeight="1">
      <c r="A616" s="2" t="s">
        <v>320</v>
      </c>
      <c r="B616" s="2"/>
      <c r="C616" s="2" t="s">
        <v>21</v>
      </c>
      <c r="AZ616" s="3"/>
      <c r="BA616" s="3"/>
      <c r="BB616" s="3"/>
      <c r="BC616" s="3"/>
      <c r="BD616" s="3"/>
      <c r="BE616" s="1419">
        <f t="shared" si="1"/>
        <v>0</v>
      </c>
      <c r="BF616" s="1420"/>
      <c r="BG616" s="1502">
        <f t="shared" si="2"/>
        <v>0</v>
      </c>
      <c r="BH616" s="1503"/>
      <c r="BI616" s="1419">
        <f t="shared" si="3"/>
        <v>0</v>
      </c>
      <c r="BJ616" s="1420"/>
      <c r="BK616" s="1502">
        <f t="shared" si="4"/>
        <v>0</v>
      </c>
      <c r="BL616" s="1503"/>
      <c r="BM616" s="3"/>
      <c r="BN616" s="1513">
        <f t="shared" si="5"/>
        <v>0</v>
      </c>
      <c r="BO616" s="1514"/>
      <c r="BP616" s="1514"/>
      <c r="BQ616" s="1514"/>
      <c r="BR616" s="1515"/>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26">
        <f t="shared" si="11"/>
        <v>0</v>
      </c>
      <c r="CT616" s="1726"/>
      <c r="CU616" s="1726"/>
      <c r="CV616" s="1726"/>
      <c r="CW616" s="1726"/>
      <c r="CX616" s="1726">
        <f t="shared" si="12"/>
        <v>0</v>
      </c>
      <c r="CY616" s="1726"/>
      <c r="CZ616" s="1726"/>
      <c r="DA616" s="1726"/>
      <c r="DB616" s="1726"/>
      <c r="DC616" s="1726">
        <f t="shared" si="13"/>
        <v>0</v>
      </c>
      <c r="DD616" s="1726"/>
      <c r="DE616" s="1726"/>
      <c r="DF616" s="1726"/>
      <c r="DG616" s="1726"/>
      <c r="DH616" s="1726">
        <f t="shared" si="14"/>
        <v>0</v>
      </c>
      <c r="DI616" s="1726"/>
      <c r="DJ616" s="1726"/>
      <c r="DK616" s="1726"/>
      <c r="DL616" s="1726"/>
      <c r="DM616" s="1726">
        <f t="shared" si="15"/>
        <v>0</v>
      </c>
      <c r="DN616" s="1726"/>
      <c r="DO616" s="1726"/>
      <c r="DP616" s="1726"/>
      <c r="DQ616" s="1726"/>
      <c r="DR616" s="1726">
        <f t="shared" si="16"/>
        <v>0</v>
      </c>
      <c r="DS616" s="1726"/>
      <c r="DT616" s="1726"/>
      <c r="DU616" s="1726"/>
      <c r="DV616" s="1726"/>
      <c r="DX616" s="1419" t="str">
        <f t="shared" si="17"/>
        <v xml:space="preserve"> </v>
      </c>
      <c r="DY616" s="1857"/>
      <c r="DZ616" s="1857"/>
      <c r="EA616" s="1857"/>
      <c r="EB616" s="1420"/>
      <c r="EC616" s="1419" t="str">
        <f t="shared" si="18"/>
        <v xml:space="preserve"> </v>
      </c>
      <c r="ED616" s="1857"/>
      <c r="EE616" s="1857"/>
      <c r="EF616" s="1857"/>
      <c r="EG616" s="1420"/>
      <c r="EH616" s="1419" t="str">
        <f t="shared" si="19"/>
        <v xml:space="preserve"> </v>
      </c>
      <c r="EI616" s="1857"/>
      <c r="EJ616" s="1857"/>
      <c r="EK616" s="1857"/>
      <c r="EL616" s="1420"/>
      <c r="EM616" s="1419" t="str">
        <f t="shared" si="20"/>
        <v xml:space="preserve"> </v>
      </c>
      <c r="EN616" s="1857"/>
      <c r="EO616" s="1857"/>
      <c r="EP616" s="1857"/>
      <c r="EQ616" s="1420"/>
      <c r="ER616" s="1419" t="str">
        <f t="shared" si="21"/>
        <v xml:space="preserve"> </v>
      </c>
      <c r="ES616" s="1857"/>
      <c r="ET616" s="1857"/>
      <c r="EU616" s="1857"/>
      <c r="EV616" s="1420"/>
      <c r="EW616" s="1419" t="str">
        <f t="shared" si="22"/>
        <v xml:space="preserve"> </v>
      </c>
      <c r="EX616" s="1857"/>
      <c r="EY616" s="1857"/>
      <c r="EZ616" s="1857"/>
      <c r="FA616" s="1420"/>
    </row>
    <row r="617" spans="1:157" ht="13" customHeight="1">
      <c r="A617" s="2"/>
      <c r="B617" s="2"/>
      <c r="C617" s="2"/>
      <c r="AZ617" s="3"/>
      <c r="BA617" s="3"/>
      <c r="BB617" s="3"/>
      <c r="BC617" s="3"/>
      <c r="BD617" s="3"/>
      <c r="BE617" s="1419">
        <f t="shared" si="1"/>
        <v>0</v>
      </c>
      <c r="BF617" s="1420"/>
      <c r="BG617" s="1502">
        <f t="shared" si="2"/>
        <v>0</v>
      </c>
      <c r="BH617" s="1503"/>
      <c r="BI617" s="1419">
        <f t="shared" si="3"/>
        <v>0</v>
      </c>
      <c r="BJ617" s="1420"/>
      <c r="BK617" s="1502">
        <f t="shared" si="4"/>
        <v>0</v>
      </c>
      <c r="BL617" s="1503"/>
      <c r="BM617" s="3"/>
      <c r="BN617" s="1513">
        <f t="shared" si="5"/>
        <v>0</v>
      </c>
      <c r="BO617" s="1514"/>
      <c r="BP617" s="1514"/>
      <c r="BQ617" s="1514"/>
      <c r="BR617" s="1515"/>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26">
        <f t="shared" si="11"/>
        <v>0</v>
      </c>
      <c r="CT617" s="1726"/>
      <c r="CU617" s="1726"/>
      <c r="CV617" s="1726"/>
      <c r="CW617" s="1726"/>
      <c r="CX617" s="1726">
        <f t="shared" si="12"/>
        <v>0</v>
      </c>
      <c r="CY617" s="1726"/>
      <c r="CZ617" s="1726"/>
      <c r="DA617" s="1726"/>
      <c r="DB617" s="1726"/>
      <c r="DC617" s="1726">
        <f t="shared" si="13"/>
        <v>0</v>
      </c>
      <c r="DD617" s="1726"/>
      <c r="DE617" s="1726"/>
      <c r="DF617" s="1726"/>
      <c r="DG617" s="1726"/>
      <c r="DH617" s="1726">
        <f t="shared" si="14"/>
        <v>0</v>
      </c>
      <c r="DI617" s="1726"/>
      <c r="DJ617" s="1726"/>
      <c r="DK617" s="1726"/>
      <c r="DL617" s="1726"/>
      <c r="DM617" s="1726">
        <f t="shared" si="15"/>
        <v>0</v>
      </c>
      <c r="DN617" s="1726"/>
      <c r="DO617" s="1726"/>
      <c r="DP617" s="1726"/>
      <c r="DQ617" s="1726"/>
      <c r="DR617" s="1726">
        <f t="shared" si="16"/>
        <v>0</v>
      </c>
      <c r="DS617" s="1726"/>
      <c r="DT617" s="1726"/>
      <c r="DU617" s="1726"/>
      <c r="DV617" s="1726"/>
      <c r="DX617" s="1419" t="str">
        <f t="shared" si="17"/>
        <v xml:space="preserve"> </v>
      </c>
      <c r="DY617" s="1857"/>
      <c r="DZ617" s="1857"/>
      <c r="EA617" s="1857"/>
      <c r="EB617" s="1420"/>
      <c r="EC617" s="1419" t="str">
        <f t="shared" si="18"/>
        <v xml:space="preserve"> </v>
      </c>
      <c r="ED617" s="1857"/>
      <c r="EE617" s="1857"/>
      <c r="EF617" s="1857"/>
      <c r="EG617" s="1420"/>
      <c r="EH617" s="1419" t="str">
        <f t="shared" si="19"/>
        <v xml:space="preserve"> </v>
      </c>
      <c r="EI617" s="1857"/>
      <c r="EJ617" s="1857"/>
      <c r="EK617" s="1857"/>
      <c r="EL617" s="1420"/>
      <c r="EM617" s="1419" t="str">
        <f t="shared" si="20"/>
        <v xml:space="preserve"> </v>
      </c>
      <c r="EN617" s="1857"/>
      <c r="EO617" s="1857"/>
      <c r="EP617" s="1857"/>
      <c r="EQ617" s="1420"/>
      <c r="ER617" s="1419" t="str">
        <f t="shared" si="21"/>
        <v xml:space="preserve"> </v>
      </c>
      <c r="ES617" s="1857"/>
      <c r="ET617" s="1857"/>
      <c r="EU617" s="1857"/>
      <c r="EV617" s="1420"/>
      <c r="EW617" s="1419" t="str">
        <f t="shared" si="22"/>
        <v xml:space="preserve"> </v>
      </c>
      <c r="EX617" s="1857"/>
      <c r="EY617" s="1857"/>
      <c r="EZ617" s="1857"/>
      <c r="FA617" s="1420"/>
    </row>
    <row r="618" spans="1:157" ht="13" customHeight="1">
      <c r="C618" s="2" t="s">
        <v>2529</v>
      </c>
      <c r="AZ618" s="3"/>
      <c r="BA618" s="3"/>
      <c r="BB618" s="3"/>
      <c r="BC618" s="3"/>
      <c r="BD618" s="3"/>
      <c r="BE618" s="1419">
        <f t="shared" si="1"/>
        <v>0</v>
      </c>
      <c r="BF618" s="1420"/>
      <c r="BG618" s="1502">
        <f t="shared" si="2"/>
        <v>0</v>
      </c>
      <c r="BH618" s="1503"/>
      <c r="BI618" s="1419">
        <f t="shared" si="3"/>
        <v>0</v>
      </c>
      <c r="BJ618" s="1420"/>
      <c r="BK618" s="1502">
        <f t="shared" si="4"/>
        <v>0</v>
      </c>
      <c r="BL618" s="1503"/>
      <c r="BM618" s="3"/>
      <c r="BN618" s="1513">
        <f t="shared" si="5"/>
        <v>0</v>
      </c>
      <c r="BO618" s="1514"/>
      <c r="BP618" s="1514"/>
      <c r="BQ618" s="1514"/>
      <c r="BR618" s="1515"/>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26">
        <f t="shared" si="11"/>
        <v>0</v>
      </c>
      <c r="CT618" s="1726"/>
      <c r="CU618" s="1726"/>
      <c r="CV618" s="1726"/>
      <c r="CW618" s="1726"/>
      <c r="CX618" s="1726">
        <f t="shared" si="12"/>
        <v>0</v>
      </c>
      <c r="CY618" s="1726"/>
      <c r="CZ618" s="1726"/>
      <c r="DA618" s="1726"/>
      <c r="DB618" s="1726"/>
      <c r="DC618" s="1726">
        <f t="shared" si="13"/>
        <v>0</v>
      </c>
      <c r="DD618" s="1726"/>
      <c r="DE618" s="1726"/>
      <c r="DF618" s="1726"/>
      <c r="DG618" s="1726"/>
      <c r="DH618" s="1726">
        <f t="shared" si="14"/>
        <v>0</v>
      </c>
      <c r="DI618" s="1726"/>
      <c r="DJ618" s="1726"/>
      <c r="DK618" s="1726"/>
      <c r="DL618" s="1726"/>
      <c r="DM618" s="1726">
        <f t="shared" si="15"/>
        <v>0</v>
      </c>
      <c r="DN618" s="1726"/>
      <c r="DO618" s="1726"/>
      <c r="DP618" s="1726"/>
      <c r="DQ618" s="1726"/>
      <c r="DR618" s="1726">
        <f t="shared" si="16"/>
        <v>0</v>
      </c>
      <c r="DS618" s="1726"/>
      <c r="DT618" s="1726"/>
      <c r="DU618" s="1726"/>
      <c r="DV618" s="1726"/>
      <c r="DX618" s="1419" t="str">
        <f t="shared" si="17"/>
        <v xml:space="preserve"> </v>
      </c>
      <c r="DY618" s="1857"/>
      <c r="DZ618" s="1857"/>
      <c r="EA618" s="1857"/>
      <c r="EB618" s="1420"/>
      <c r="EC618" s="1419" t="str">
        <f t="shared" si="18"/>
        <v xml:space="preserve"> </v>
      </c>
      <c r="ED618" s="1857"/>
      <c r="EE618" s="1857"/>
      <c r="EF618" s="1857"/>
      <c r="EG618" s="1420"/>
      <c r="EH618" s="1419" t="str">
        <f t="shared" si="19"/>
        <v xml:space="preserve"> </v>
      </c>
      <c r="EI618" s="1857"/>
      <c r="EJ618" s="1857"/>
      <c r="EK618" s="1857"/>
      <c r="EL618" s="1420"/>
      <c r="EM618" s="1419" t="str">
        <f t="shared" si="20"/>
        <v xml:space="preserve"> </v>
      </c>
      <c r="EN618" s="1857"/>
      <c r="EO618" s="1857"/>
      <c r="EP618" s="1857"/>
      <c r="EQ618" s="1420"/>
      <c r="ER618" s="1419" t="str">
        <f t="shared" si="21"/>
        <v xml:space="preserve"> </v>
      </c>
      <c r="ES618" s="1857"/>
      <c r="ET618" s="1857"/>
      <c r="EU618" s="1857"/>
      <c r="EV618" s="1420"/>
      <c r="EW618" s="1419" t="str">
        <f t="shared" si="22"/>
        <v xml:space="preserve"> </v>
      </c>
      <c r="EX618" s="1857"/>
      <c r="EY618" s="1857"/>
      <c r="EZ618" s="1857"/>
      <c r="FA618" s="1420"/>
    </row>
    <row r="619" spans="1:157" ht="13" customHeight="1">
      <c r="B619" s="547"/>
      <c r="C619" s="2"/>
      <c r="AZ619" s="3"/>
      <c r="BA619" s="3"/>
      <c r="BB619" s="3"/>
      <c r="BC619" s="3"/>
      <c r="BD619" s="3"/>
      <c r="BE619" s="1419">
        <f t="shared" si="1"/>
        <v>0</v>
      </c>
      <c r="BF619" s="1420"/>
      <c r="BG619" s="1502">
        <f t="shared" si="2"/>
        <v>0</v>
      </c>
      <c r="BH619" s="1503"/>
      <c r="BI619" s="1419">
        <f t="shared" si="3"/>
        <v>0</v>
      </c>
      <c r="BJ619" s="1420"/>
      <c r="BK619" s="1502">
        <f t="shared" si="4"/>
        <v>0</v>
      </c>
      <c r="BL619" s="1503"/>
      <c r="BM619" s="3"/>
      <c r="BN619" s="1513">
        <f t="shared" si="5"/>
        <v>0</v>
      </c>
      <c r="BO619" s="1514"/>
      <c r="BP619" s="1514"/>
      <c r="BQ619" s="1514"/>
      <c r="BR619" s="1515"/>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26">
        <f t="shared" si="11"/>
        <v>0</v>
      </c>
      <c r="CT619" s="1726"/>
      <c r="CU619" s="1726"/>
      <c r="CV619" s="1726"/>
      <c r="CW619" s="1726"/>
      <c r="CX619" s="1726">
        <f t="shared" si="12"/>
        <v>0</v>
      </c>
      <c r="CY619" s="1726"/>
      <c r="CZ619" s="1726"/>
      <c r="DA619" s="1726"/>
      <c r="DB619" s="1726"/>
      <c r="DC619" s="1726">
        <f t="shared" si="13"/>
        <v>0</v>
      </c>
      <c r="DD619" s="1726"/>
      <c r="DE619" s="1726"/>
      <c r="DF619" s="1726"/>
      <c r="DG619" s="1726"/>
      <c r="DH619" s="1726">
        <f t="shared" si="14"/>
        <v>0</v>
      </c>
      <c r="DI619" s="1726"/>
      <c r="DJ619" s="1726"/>
      <c r="DK619" s="1726"/>
      <c r="DL619" s="1726"/>
      <c r="DM619" s="1726">
        <f t="shared" si="15"/>
        <v>0</v>
      </c>
      <c r="DN619" s="1726"/>
      <c r="DO619" s="1726"/>
      <c r="DP619" s="1726"/>
      <c r="DQ619" s="1726"/>
      <c r="DR619" s="1726">
        <f t="shared" si="16"/>
        <v>0</v>
      </c>
      <c r="DS619" s="1726"/>
      <c r="DT619" s="1726"/>
      <c r="DU619" s="1726"/>
      <c r="DV619" s="1726"/>
      <c r="DX619" s="1419" t="str">
        <f t="shared" si="17"/>
        <v xml:space="preserve"> </v>
      </c>
      <c r="DY619" s="1857"/>
      <c r="DZ619" s="1857"/>
      <c r="EA619" s="1857"/>
      <c r="EB619" s="1420"/>
      <c r="EC619" s="1419" t="str">
        <f t="shared" si="18"/>
        <v xml:space="preserve"> </v>
      </c>
      <c r="ED619" s="1857"/>
      <c r="EE619" s="1857"/>
      <c r="EF619" s="1857"/>
      <c r="EG619" s="1420"/>
      <c r="EH619" s="1419" t="str">
        <f t="shared" si="19"/>
        <v xml:space="preserve"> </v>
      </c>
      <c r="EI619" s="1857"/>
      <c r="EJ619" s="1857"/>
      <c r="EK619" s="1857"/>
      <c r="EL619" s="1420"/>
      <c r="EM619" s="1419" t="str">
        <f t="shared" si="20"/>
        <v xml:space="preserve"> </v>
      </c>
      <c r="EN619" s="1857"/>
      <c r="EO619" s="1857"/>
      <c r="EP619" s="1857"/>
      <c r="EQ619" s="1420"/>
      <c r="ER619" s="1419" t="str">
        <f t="shared" si="21"/>
        <v xml:space="preserve"> </v>
      </c>
      <c r="ES619" s="1857"/>
      <c r="ET619" s="1857"/>
      <c r="EU619" s="1857"/>
      <c r="EV619" s="1420"/>
      <c r="EW619" s="1419" t="str">
        <f t="shared" si="22"/>
        <v xml:space="preserve"> </v>
      </c>
      <c r="EX619" s="1857"/>
      <c r="EY619" s="1857"/>
      <c r="EZ619" s="1857"/>
      <c r="FA619" s="1420"/>
    </row>
    <row r="620" spans="1:157" ht="13" customHeight="1">
      <c r="B620" s="1864" t="s">
        <v>2531</v>
      </c>
      <c r="C620" s="1864"/>
      <c r="D620" s="1864"/>
      <c r="E620" s="1864"/>
      <c r="F620" s="1864"/>
      <c r="G620" s="1864"/>
      <c r="H620" s="1864"/>
      <c r="I620" s="1864"/>
      <c r="J620" s="1864"/>
      <c r="K620" s="1864"/>
      <c r="L620" s="1864"/>
      <c r="M620" s="1519" t="s">
        <v>2532</v>
      </c>
      <c r="N620" s="1519"/>
      <c r="O620" s="1519"/>
      <c r="P620" s="1519"/>
      <c r="Q620" s="1519" t="s">
        <v>2116</v>
      </c>
      <c r="R620" s="1519"/>
      <c r="S620" s="1519"/>
      <c r="T620" s="1519" t="s">
        <v>2114</v>
      </c>
      <c r="U620" s="1519"/>
      <c r="V620" s="1519"/>
      <c r="W620" s="1863" t="s">
        <v>462</v>
      </c>
      <c r="X620" s="1863"/>
      <c r="Y620" s="1863"/>
      <c r="Z620" s="1409" t="s">
        <v>2561</v>
      </c>
      <c r="AA620" s="1409"/>
      <c r="AB620" s="1410"/>
      <c r="AC620" s="1750" t="s">
        <v>1936</v>
      </c>
      <c r="AD620" s="1751"/>
      <c r="AE620" s="1752"/>
      <c r="AF620" s="1408" t="s">
        <v>2314</v>
      </c>
      <c r="AG620" s="1409"/>
      <c r="AH620" s="1409"/>
      <c r="AI620" s="1409"/>
      <c r="AJ620" s="1410"/>
      <c r="AK620" s="1740" t="s">
        <v>2315</v>
      </c>
      <c r="AL620" s="1741"/>
      <c r="AM620" s="1741"/>
      <c r="AN620" s="1742"/>
      <c r="AO620" s="1519" t="s">
        <v>463</v>
      </c>
      <c r="AP620" s="1519"/>
      <c r="AQ620" s="1519"/>
      <c r="AR620" s="1519"/>
      <c r="AS620" s="1519"/>
      <c r="AZ620" s="3"/>
      <c r="BA620" s="3"/>
      <c r="BB620" s="3"/>
      <c r="BC620" s="3"/>
      <c r="BD620" s="3"/>
      <c r="BE620" s="1419">
        <f t="shared" si="1"/>
        <v>0</v>
      </c>
      <c r="BF620" s="1420"/>
      <c r="BG620" s="1502">
        <f t="shared" si="2"/>
        <v>0</v>
      </c>
      <c r="BH620" s="1503"/>
      <c r="BI620" s="1419">
        <f t="shared" si="3"/>
        <v>0</v>
      </c>
      <c r="BJ620" s="1420"/>
      <c r="BK620" s="1502">
        <f t="shared" si="4"/>
        <v>0</v>
      </c>
      <c r="BL620" s="1503"/>
      <c r="BM620" s="3"/>
      <c r="BN620" s="1513">
        <f t="shared" si="5"/>
        <v>0</v>
      </c>
      <c r="BO620" s="1514"/>
      <c r="BP620" s="1514"/>
      <c r="BQ620" s="1514"/>
      <c r="BR620" s="1515"/>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26">
        <f t="shared" si="11"/>
        <v>0</v>
      </c>
      <c r="CT620" s="1726"/>
      <c r="CU620" s="1726"/>
      <c r="CV620" s="1726"/>
      <c r="CW620" s="1726"/>
      <c r="CX620" s="1726">
        <f t="shared" si="12"/>
        <v>0</v>
      </c>
      <c r="CY620" s="1726"/>
      <c r="CZ620" s="1726"/>
      <c r="DA620" s="1726"/>
      <c r="DB620" s="1726"/>
      <c r="DC620" s="1726">
        <f t="shared" si="13"/>
        <v>0</v>
      </c>
      <c r="DD620" s="1726"/>
      <c r="DE620" s="1726"/>
      <c r="DF620" s="1726"/>
      <c r="DG620" s="1726"/>
      <c r="DH620" s="1726">
        <f t="shared" si="14"/>
        <v>0</v>
      </c>
      <c r="DI620" s="1726"/>
      <c r="DJ620" s="1726"/>
      <c r="DK620" s="1726"/>
      <c r="DL620" s="1726"/>
      <c r="DM620" s="1726">
        <f t="shared" si="15"/>
        <v>0</v>
      </c>
      <c r="DN620" s="1726"/>
      <c r="DO620" s="1726"/>
      <c r="DP620" s="1726"/>
      <c r="DQ620" s="1726"/>
      <c r="DR620" s="1726">
        <f t="shared" si="16"/>
        <v>0</v>
      </c>
      <c r="DS620" s="1726"/>
      <c r="DT620" s="1726"/>
      <c r="DU620" s="1726"/>
      <c r="DV620" s="1726"/>
      <c r="DX620" s="1419" t="str">
        <f t="shared" si="17"/>
        <v xml:space="preserve"> </v>
      </c>
      <c r="DY620" s="1857"/>
      <c r="DZ620" s="1857"/>
      <c r="EA620" s="1857"/>
      <c r="EB620" s="1420"/>
      <c r="EC620" s="1419" t="str">
        <f t="shared" si="18"/>
        <v xml:space="preserve"> </v>
      </c>
      <c r="ED620" s="1857"/>
      <c r="EE620" s="1857"/>
      <c r="EF620" s="1857"/>
      <c r="EG620" s="1420"/>
      <c r="EH620" s="1419" t="str">
        <f t="shared" si="19"/>
        <v xml:space="preserve"> </v>
      </c>
      <c r="EI620" s="1857"/>
      <c r="EJ620" s="1857"/>
      <c r="EK620" s="1857"/>
      <c r="EL620" s="1420"/>
      <c r="EM620" s="1419" t="str">
        <f t="shared" si="20"/>
        <v xml:space="preserve"> </v>
      </c>
      <c r="EN620" s="1857"/>
      <c r="EO620" s="1857"/>
      <c r="EP620" s="1857"/>
      <c r="EQ620" s="1420"/>
      <c r="ER620" s="1419" t="str">
        <f t="shared" si="21"/>
        <v xml:space="preserve"> </v>
      </c>
      <c r="ES620" s="1857"/>
      <c r="ET620" s="1857"/>
      <c r="EU620" s="1857"/>
      <c r="EV620" s="1420"/>
      <c r="EW620" s="1419" t="str">
        <f t="shared" si="22"/>
        <v xml:space="preserve"> </v>
      </c>
      <c r="EX620" s="1857"/>
      <c r="EY620" s="1857"/>
      <c r="EZ620" s="1857"/>
      <c r="FA620" s="1420"/>
    </row>
    <row r="621" spans="1:157" ht="13" customHeight="1">
      <c r="B621" s="1864"/>
      <c r="C621" s="1864"/>
      <c r="D621" s="1864"/>
      <c r="E621" s="1864"/>
      <c r="F621" s="1864"/>
      <c r="G621" s="1864"/>
      <c r="H621" s="1864"/>
      <c r="I621" s="1864"/>
      <c r="J621" s="1864"/>
      <c r="K621" s="1864"/>
      <c r="L621" s="1864"/>
      <c r="M621" s="1519"/>
      <c r="N621" s="1519"/>
      <c r="O621" s="1519"/>
      <c r="P621" s="1519"/>
      <c r="Q621" s="1519"/>
      <c r="R621" s="1519"/>
      <c r="S621" s="1519"/>
      <c r="T621" s="1519"/>
      <c r="U621" s="1519"/>
      <c r="V621" s="1519"/>
      <c r="W621" s="1863"/>
      <c r="X621" s="1863"/>
      <c r="Y621" s="1863"/>
      <c r="Z621" s="1412"/>
      <c r="AA621" s="1412"/>
      <c r="AB621" s="1413"/>
      <c r="AC621" s="1753"/>
      <c r="AD621" s="1754"/>
      <c r="AE621" s="1755"/>
      <c r="AF621" s="1411"/>
      <c r="AG621" s="1412"/>
      <c r="AH621" s="1412"/>
      <c r="AI621" s="1412"/>
      <c r="AJ621" s="1413"/>
      <c r="AK621" s="1743"/>
      <c r="AL621" s="1744"/>
      <c r="AM621" s="1744"/>
      <c r="AN621" s="1745"/>
      <c r="AO621" s="1519"/>
      <c r="AP621" s="1519"/>
      <c r="AQ621" s="1519"/>
      <c r="AR621" s="1519"/>
      <c r="AS621" s="1519"/>
      <c r="AZ621" s="3"/>
      <c r="BA621" s="3"/>
      <c r="BB621" s="3"/>
      <c r="BC621" s="3"/>
      <c r="BD621" s="3"/>
      <c r="BE621" s="3"/>
      <c r="BF621" s="3"/>
      <c r="BG621" s="1419">
        <f>SUM(BG596:BH620)</f>
        <v>0</v>
      </c>
      <c r="BH621" s="1420"/>
      <c r="BI621" s="3"/>
      <c r="BJ621" s="3"/>
      <c r="BK621" s="1419">
        <f>SUM(BK596:BL620)</f>
        <v>17</v>
      </c>
      <c r="BL621" s="1420"/>
      <c r="BM621" s="3"/>
      <c r="BN621" s="1419">
        <f>SUM(BN596:BR620)</f>
        <v>0</v>
      </c>
      <c r="BO621" s="1857"/>
      <c r="BP621" s="1857"/>
      <c r="BQ621" s="1857"/>
      <c r="BR621" s="1420"/>
      <c r="BS621" s="1698">
        <f>SUM(BS596:BW620)</f>
        <v>0</v>
      </c>
      <c r="BT621" s="1698"/>
      <c r="BU621" s="1698"/>
      <c r="BV621" s="1698"/>
      <c r="BW621" s="1698"/>
      <c r="BX621" s="1698">
        <f>SUM(BX596:CB620)</f>
        <v>17</v>
      </c>
      <c r="BY621" s="1698"/>
      <c r="BZ621" s="1698"/>
      <c r="CA621" s="1698"/>
      <c r="CB621" s="1698"/>
      <c r="CC621" s="1698">
        <f>SUM(CC596:CG620)</f>
        <v>0</v>
      </c>
      <c r="CD621" s="1698"/>
      <c r="CE621" s="1698"/>
      <c r="CF621" s="1698"/>
      <c r="CG621" s="1698"/>
      <c r="CH621" s="1698">
        <f>SUM(CH596:CL620)</f>
        <v>0</v>
      </c>
      <c r="CI621" s="1698"/>
      <c r="CJ621" s="1698"/>
      <c r="CK621" s="1698"/>
      <c r="CL621" s="1698"/>
      <c r="CM621" s="1698">
        <f>SUM(CM596:CQ620)</f>
        <v>0</v>
      </c>
      <c r="CN621" s="1698"/>
      <c r="CO621" s="1698"/>
      <c r="CP621" s="1698"/>
      <c r="CQ621" s="1698"/>
      <c r="CR621" s="386"/>
      <c r="CS621" s="1698">
        <f>SUM(CS596:CW620)</f>
        <v>0</v>
      </c>
      <c r="CT621" s="1698"/>
      <c r="CU621" s="1698"/>
      <c r="CV621" s="1698"/>
      <c r="CW621" s="1698"/>
      <c r="CX621" s="1698">
        <f>SUM(CX596:DB620)</f>
        <v>0</v>
      </c>
      <c r="CY621" s="1698"/>
      <c r="CZ621" s="1698"/>
      <c r="DA621" s="1698"/>
      <c r="DB621" s="1698"/>
      <c r="DC621" s="1698">
        <f>SUM(DC596:DG620)</f>
        <v>17</v>
      </c>
      <c r="DD621" s="1698"/>
      <c r="DE621" s="1698"/>
      <c r="DF621" s="1698"/>
      <c r="DG621" s="1698"/>
      <c r="DH621" s="1698">
        <f>SUM(DH596:DL620)</f>
        <v>0</v>
      </c>
      <c r="DI621" s="1698"/>
      <c r="DJ621" s="1698"/>
      <c r="DK621" s="1698"/>
      <c r="DL621" s="1698"/>
      <c r="DM621" s="1698">
        <f>SUM(DM596:DQ620)</f>
        <v>0</v>
      </c>
      <c r="DN621" s="1698"/>
      <c r="DO621" s="1698"/>
      <c r="DP621" s="1698"/>
      <c r="DQ621" s="1698"/>
      <c r="DR621" s="1698">
        <f>SUM(DR596:DV620)</f>
        <v>0</v>
      </c>
      <c r="DS621" s="1698"/>
      <c r="DT621" s="1698"/>
      <c r="DU621" s="1698"/>
      <c r="DV621" s="1698"/>
      <c r="DX621" s="1698">
        <f>SUM(DX596:EB620)</f>
        <v>0</v>
      </c>
      <c r="DY621" s="1698"/>
      <c r="DZ621" s="1698"/>
      <c r="EA621" s="1698"/>
      <c r="EB621" s="1698"/>
      <c r="EC621" s="1698">
        <f>SUM(EC596:EG620)</f>
        <v>0</v>
      </c>
      <c r="ED621" s="1698"/>
      <c r="EE621" s="1698"/>
      <c r="EF621" s="1698"/>
      <c r="EG621" s="1698"/>
      <c r="EH621" s="1698">
        <f>SUM(EH596:EL620)</f>
        <v>1306</v>
      </c>
      <c r="EI621" s="1698"/>
      <c r="EJ621" s="1698"/>
      <c r="EK621" s="1698"/>
      <c r="EL621" s="1698"/>
      <c r="EM621" s="1698">
        <f>SUM(EM596:EQ620)</f>
        <v>0</v>
      </c>
      <c r="EN621" s="1698"/>
      <c r="EO621" s="1698"/>
      <c r="EP621" s="1698"/>
      <c r="EQ621" s="1698"/>
      <c r="ER621" s="1698">
        <f>SUM(ER596:EV620)</f>
        <v>0</v>
      </c>
      <c r="ES621" s="1698"/>
      <c r="ET621" s="1698"/>
      <c r="EU621" s="1698"/>
      <c r="EV621" s="1698"/>
      <c r="EW621" s="1698">
        <f>SUM(EW596:FA620)</f>
        <v>0</v>
      </c>
      <c r="EX621" s="1698"/>
      <c r="EY621" s="1698"/>
      <c r="EZ621" s="1698"/>
      <c r="FA621" s="1698"/>
    </row>
    <row r="622" spans="1:157" ht="13" customHeight="1">
      <c r="B622" s="1864"/>
      <c r="C622" s="1864"/>
      <c r="D622" s="1864"/>
      <c r="E622" s="1864"/>
      <c r="F622" s="1864"/>
      <c r="G622" s="1864"/>
      <c r="H622" s="1864"/>
      <c r="I622" s="1864"/>
      <c r="J622" s="1864"/>
      <c r="K622" s="1864"/>
      <c r="L622" s="1864"/>
      <c r="M622" s="1519"/>
      <c r="N622" s="1519"/>
      <c r="O622" s="1519"/>
      <c r="P622" s="1519"/>
      <c r="Q622" s="1519"/>
      <c r="R622" s="1519"/>
      <c r="S622" s="1519"/>
      <c r="T622" s="1519"/>
      <c r="U622" s="1519"/>
      <c r="V622" s="1519"/>
      <c r="W622" s="1863"/>
      <c r="X622" s="1863"/>
      <c r="Y622" s="1863"/>
      <c r="Z622" s="1415"/>
      <c r="AA622" s="1415"/>
      <c r="AB622" s="1416"/>
      <c r="AC622" s="1756"/>
      <c r="AD622" s="1757"/>
      <c r="AE622" s="1758"/>
      <c r="AF622" s="1414"/>
      <c r="AG622" s="1415"/>
      <c r="AH622" s="1415"/>
      <c r="AI622" s="1415"/>
      <c r="AJ622" s="1416"/>
      <c r="AK622" s="1746"/>
      <c r="AL622" s="1747"/>
      <c r="AM622" s="1747"/>
      <c r="AN622" s="1748"/>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17</v>
      </c>
      <c r="CN622" s="1857"/>
      <c r="CO622" s="1857"/>
      <c r="CP622" s="1857"/>
      <c r="CQ622" s="1420"/>
      <c r="CR622" s="386"/>
      <c r="CS622" s="3"/>
      <c r="CT622" s="3"/>
      <c r="CU622" s="3"/>
      <c r="CV622" s="3"/>
      <c r="CW622" s="3"/>
      <c r="CX622" s="3"/>
      <c r="CY622" s="3"/>
      <c r="CZ622" s="3"/>
      <c r="DA622" s="3"/>
      <c r="DB622" s="3"/>
      <c r="DC622" s="3"/>
      <c r="DD622" s="3"/>
      <c r="DE622" s="3"/>
      <c r="DF622" s="3"/>
    </row>
    <row r="623" spans="1:157" ht="13" customHeight="1">
      <c r="B623" s="51" t="s">
        <v>113</v>
      </c>
      <c r="C623" s="1717" t="s">
        <v>2731</v>
      </c>
      <c r="D623" s="1717"/>
      <c r="E623" s="1717"/>
      <c r="F623" s="1717"/>
      <c r="G623" s="1717"/>
      <c r="H623" s="1717"/>
      <c r="I623" s="1717"/>
      <c r="J623" s="1717"/>
      <c r="K623" s="1717"/>
      <c r="L623" s="1717"/>
      <c r="M623" s="1862" t="s">
        <v>2548</v>
      </c>
      <c r="N623" s="1862"/>
      <c r="O623" s="1862"/>
      <c r="P623" s="1862"/>
      <c r="Q623" s="1553">
        <f>20*12</f>
        <v>240</v>
      </c>
      <c r="R623" s="1553"/>
      <c r="S623" s="1761"/>
      <c r="T623" s="1760">
        <f>40*12</f>
        <v>480</v>
      </c>
      <c r="U623" s="1553"/>
      <c r="V623" s="1761"/>
      <c r="W623" s="1602">
        <v>6.0999999999999999E-2</v>
      </c>
      <c r="X623" s="1603"/>
      <c r="Y623" s="1604"/>
      <c r="Z623" s="1719" t="s">
        <v>2560</v>
      </c>
      <c r="AA623" s="1720"/>
      <c r="AB623" s="1721"/>
      <c r="AC623" s="1431">
        <v>1</v>
      </c>
      <c r="AD623" s="1429"/>
      <c r="AE623" s="1430"/>
      <c r="AF623" s="1587">
        <f>-PMT(W623/12,T623,AO623)*12</f>
        <v>215186.86865204945</v>
      </c>
      <c r="AG623" s="1588"/>
      <c r="AH623" s="1588"/>
      <c r="AI623" s="1588"/>
      <c r="AJ623" s="1589"/>
      <c r="AK623" s="1605"/>
      <c r="AL623" s="1606"/>
      <c r="AM623" s="1606"/>
      <c r="AN623" s="1607"/>
      <c r="AO623" s="1628">
        <v>3218274</v>
      </c>
      <c r="AP623" s="1628"/>
      <c r="AQ623" s="1628"/>
      <c r="AR623" s="1628"/>
      <c r="AS623" s="1628"/>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34</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34</v>
      </c>
      <c r="CT623" s="57" t="s">
        <v>2126</v>
      </c>
      <c r="CU623" s="3"/>
      <c r="CV623" s="3"/>
      <c r="CW623" s="3"/>
      <c r="CX623" s="3"/>
      <c r="CY623" s="3"/>
      <c r="CZ623" s="3"/>
      <c r="DA623" s="3"/>
      <c r="DB623" s="3"/>
      <c r="DC623" s="3"/>
      <c r="DD623" s="3"/>
      <c r="DE623" s="3"/>
      <c r="DF623" s="3"/>
    </row>
    <row r="624" spans="1:157" ht="13" customHeight="1">
      <c r="B624" s="52" t="s">
        <v>114</v>
      </c>
      <c r="C624" s="1717" t="s">
        <v>2747</v>
      </c>
      <c r="D624" s="1717"/>
      <c r="E624" s="1717"/>
      <c r="F624" s="1717"/>
      <c r="G624" s="1717"/>
      <c r="H624" s="1717"/>
      <c r="I624" s="1717"/>
      <c r="J624" s="1717"/>
      <c r="K624" s="1717"/>
      <c r="L624" s="1717"/>
      <c r="M624" s="1862" t="s">
        <v>2541</v>
      </c>
      <c r="N624" s="1862"/>
      <c r="O624" s="1862"/>
      <c r="P624" s="1862"/>
      <c r="Q624" s="1760"/>
      <c r="R624" s="1553"/>
      <c r="S624" s="1761"/>
      <c r="T624" s="1760"/>
      <c r="U624" s="1553"/>
      <c r="V624" s="1761"/>
      <c r="W624" s="1602"/>
      <c r="X624" s="1603"/>
      <c r="Y624" s="1604"/>
      <c r="Z624" s="1719" t="s">
        <v>301</v>
      </c>
      <c r="AA624" s="1720"/>
      <c r="AB624" s="1721"/>
      <c r="AC624" s="1431">
        <v>2</v>
      </c>
      <c r="AD624" s="1429"/>
      <c r="AE624" s="1430"/>
      <c r="AF624" s="1587"/>
      <c r="AG624" s="1588"/>
      <c r="AH624" s="1588"/>
      <c r="AI624" s="1588"/>
      <c r="AJ624" s="1589"/>
      <c r="AK624" s="1605"/>
      <c r="AL624" s="1606"/>
      <c r="AM624" s="1606"/>
      <c r="AN624" s="1607"/>
      <c r="AO624" s="1608">
        <v>1287924</v>
      </c>
      <c r="AP624" s="1609"/>
      <c r="AQ624" s="1609"/>
      <c r="AR624" s="1609"/>
      <c r="AS624" s="161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1" t="e">
        <f t="shared" ref="DX624:DX648" si="23">DX596*(BN596/$BN$621)</f>
        <v>#VALUE!</v>
      </c>
      <c r="DY624" s="1861"/>
      <c r="DZ624" s="1861"/>
      <c r="EA624" s="1861"/>
      <c r="EB624" s="1861"/>
      <c r="EC624" s="1861" t="e">
        <f t="shared" ref="EC624:EC648" si="24">EC596*(BS596/$BS$621)</f>
        <v>#VALUE!</v>
      </c>
      <c r="ED624" s="1861"/>
      <c r="EE624" s="1861"/>
      <c r="EF624" s="1861"/>
      <c r="EG624" s="1861"/>
      <c r="EH624" s="1861">
        <f t="shared" ref="EH624:EH648" si="25">EH596*(BX596/$BX$621)</f>
        <v>307.29411764705884</v>
      </c>
      <c r="EI624" s="1861"/>
      <c r="EJ624" s="1861"/>
      <c r="EK624" s="1861"/>
      <c r="EL624" s="1861"/>
      <c r="EM624" s="1861" t="e">
        <f t="shared" ref="EM624:EM648" si="26">EM596*(CC596/$CC$621)</f>
        <v>#VALUE!</v>
      </c>
      <c r="EN624" s="1861"/>
      <c r="EO624" s="1861"/>
      <c r="EP624" s="1861"/>
      <c r="EQ624" s="1861"/>
      <c r="ER624" s="1861" t="e">
        <f t="shared" ref="ER624:ER648" si="27">ER596*(CH596/$CH$621)</f>
        <v>#VALUE!</v>
      </c>
      <c r="ES624" s="1861"/>
      <c r="ET624" s="1861"/>
      <c r="EU624" s="1861"/>
      <c r="EV624" s="1861"/>
      <c r="EW624" s="1861" t="e">
        <f t="shared" ref="EW624:EW648" si="28">EW596*(CM596/$CM$621)</f>
        <v>#VALUE!</v>
      </c>
      <c r="EX624" s="1861"/>
      <c r="EY624" s="1861"/>
      <c r="EZ624" s="1861"/>
      <c r="FA624" s="1861"/>
    </row>
    <row r="625" spans="1:157" ht="13" customHeight="1">
      <c r="B625" s="52" t="s">
        <v>120</v>
      </c>
      <c r="C625" s="1717" t="s">
        <v>1922</v>
      </c>
      <c r="D625" s="1717"/>
      <c r="E625" s="1717"/>
      <c r="F625" s="1717"/>
      <c r="G625" s="1717"/>
      <c r="H625" s="1717"/>
      <c r="I625" s="1717"/>
      <c r="J625" s="1717"/>
      <c r="K625" s="1717"/>
      <c r="L625" s="1717"/>
      <c r="M625" s="1862" t="s">
        <v>2535</v>
      </c>
      <c r="N625" s="1862"/>
      <c r="O625" s="1862"/>
      <c r="P625" s="1862"/>
      <c r="Q625" s="1760"/>
      <c r="R625" s="1553"/>
      <c r="S625" s="1761"/>
      <c r="T625" s="1760"/>
      <c r="U625" s="1553"/>
      <c r="V625" s="1761"/>
      <c r="W625" s="1602"/>
      <c r="X625" s="1603"/>
      <c r="Y625" s="1604"/>
      <c r="Z625" s="1719" t="s">
        <v>467</v>
      </c>
      <c r="AA625" s="1720"/>
      <c r="AB625" s="1721"/>
      <c r="AC625" s="1431">
        <v>3</v>
      </c>
      <c r="AD625" s="1429"/>
      <c r="AE625" s="1430"/>
      <c r="AF625" s="1587"/>
      <c r="AG625" s="1588"/>
      <c r="AH625" s="1588"/>
      <c r="AI625" s="1588"/>
      <c r="AJ625" s="1589"/>
      <c r="AK625" s="1605"/>
      <c r="AL625" s="1606"/>
      <c r="AM625" s="1606"/>
      <c r="AN625" s="1607"/>
      <c r="AO625" s="1608">
        <v>250000</v>
      </c>
      <c r="AP625" s="1609"/>
      <c r="AQ625" s="1609"/>
      <c r="AR625" s="1609"/>
      <c r="AS625" s="1610"/>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1" t="e">
        <f t="shared" si="23"/>
        <v>#VALUE!</v>
      </c>
      <c r="DY625" s="1861"/>
      <c r="DZ625" s="1861"/>
      <c r="EA625" s="1861"/>
      <c r="EB625" s="1861"/>
      <c r="EC625" s="1861" t="e">
        <f t="shared" si="24"/>
        <v>#VALUE!</v>
      </c>
      <c r="ED625" s="1861"/>
      <c r="EE625" s="1861"/>
      <c r="EF625" s="1861"/>
      <c r="EG625" s="1861"/>
      <c r="EH625" s="1861">
        <f t="shared" si="25"/>
        <v>345.70588235294116</v>
      </c>
      <c r="EI625" s="1861"/>
      <c r="EJ625" s="1861"/>
      <c r="EK625" s="1861"/>
      <c r="EL625" s="1861"/>
      <c r="EM625" s="1861" t="e">
        <f t="shared" si="26"/>
        <v>#VALUE!</v>
      </c>
      <c r="EN625" s="1861"/>
      <c r="EO625" s="1861"/>
      <c r="EP625" s="1861"/>
      <c r="EQ625" s="1861"/>
      <c r="ER625" s="1861" t="e">
        <f t="shared" si="27"/>
        <v>#VALUE!</v>
      </c>
      <c r="ES625" s="1861"/>
      <c r="ET625" s="1861"/>
      <c r="EU625" s="1861"/>
      <c r="EV625" s="1861"/>
      <c r="EW625" s="1861" t="e">
        <f t="shared" si="28"/>
        <v>#VALUE!</v>
      </c>
      <c r="EX625" s="1861"/>
      <c r="EY625" s="1861"/>
      <c r="EZ625" s="1861"/>
      <c r="FA625" s="1861"/>
    </row>
    <row r="626" spans="1:157" ht="13" customHeight="1">
      <c r="B626" s="52" t="s">
        <v>590</v>
      </c>
      <c r="C626" s="1718"/>
      <c r="D626" s="1718"/>
      <c r="E626" s="1718"/>
      <c r="F626" s="1718"/>
      <c r="G626" s="1718"/>
      <c r="H626" s="1718"/>
      <c r="I626" s="1718"/>
      <c r="J626" s="1718"/>
      <c r="K626" s="1718"/>
      <c r="L626" s="1718"/>
      <c r="M626" s="1862" t="s">
        <v>1327</v>
      </c>
      <c r="N626" s="1862"/>
      <c r="O626" s="1862"/>
      <c r="P626" s="1862"/>
      <c r="Q626" s="1760"/>
      <c r="R626" s="1553"/>
      <c r="S626" s="1761"/>
      <c r="T626" s="1760"/>
      <c r="U626" s="1553"/>
      <c r="V626" s="1761"/>
      <c r="W626" s="1602"/>
      <c r="X626" s="1603"/>
      <c r="Y626" s="1604"/>
      <c r="Z626" s="1719" t="s">
        <v>1327</v>
      </c>
      <c r="AA626" s="1720"/>
      <c r="AB626" s="1721"/>
      <c r="AC626" s="1431"/>
      <c r="AD626" s="1429"/>
      <c r="AE626" s="1430"/>
      <c r="AF626" s="1587"/>
      <c r="AG626" s="1588"/>
      <c r="AH626" s="1588"/>
      <c r="AI626" s="1588"/>
      <c r="AJ626" s="1589"/>
      <c r="AK626" s="1605"/>
      <c r="AL626" s="1606"/>
      <c r="AM626" s="1606"/>
      <c r="AN626" s="1607"/>
      <c r="AO626" s="1608"/>
      <c r="AP626" s="1609"/>
      <c r="AQ626" s="1609"/>
      <c r="AR626" s="1609"/>
      <c r="AS626" s="1610"/>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13">
        <f>IF(J758="SRO/Studio",O758,0)</f>
        <v>0</v>
      </c>
      <c r="BO626" s="1514"/>
      <c r="BP626" s="1514"/>
      <c r="BQ626" s="1514"/>
      <c r="BR626" s="1515"/>
      <c r="BS626" s="1395">
        <f>IF(J758="1 Bedroom",O758,0)</f>
        <v>1</v>
      </c>
      <c r="BT626" s="1395"/>
      <c r="BU626" s="1395"/>
      <c r="BV626" s="1395"/>
      <c r="BW626" s="1395"/>
      <c r="BX626" s="1395">
        <f>IF(J758="2 Bedrooms",O758,0)</f>
        <v>0</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61" t="e">
        <f t="shared" si="23"/>
        <v>#VALUE!</v>
      </c>
      <c r="DY626" s="1861"/>
      <c r="DZ626" s="1861"/>
      <c r="EA626" s="1861"/>
      <c r="EB626" s="1861"/>
      <c r="EC626" s="1861" t="e">
        <f t="shared" si="24"/>
        <v>#VALUE!</v>
      </c>
      <c r="ED626" s="1861"/>
      <c r="EE626" s="1861"/>
      <c r="EF626" s="1861"/>
      <c r="EG626" s="1861"/>
      <c r="EH626" s="1861" t="e">
        <f t="shared" si="25"/>
        <v>#VALUE!</v>
      </c>
      <c r="EI626" s="1861"/>
      <c r="EJ626" s="1861"/>
      <c r="EK626" s="1861"/>
      <c r="EL626" s="1861"/>
      <c r="EM626" s="1861" t="e">
        <f t="shared" si="26"/>
        <v>#VALUE!</v>
      </c>
      <c r="EN626" s="1861"/>
      <c r="EO626" s="1861"/>
      <c r="EP626" s="1861"/>
      <c r="EQ626" s="1861"/>
      <c r="ER626" s="1861" t="e">
        <f t="shared" si="27"/>
        <v>#VALUE!</v>
      </c>
      <c r="ES626" s="1861"/>
      <c r="ET626" s="1861"/>
      <c r="EU626" s="1861"/>
      <c r="EV626" s="1861"/>
      <c r="EW626" s="1861" t="e">
        <f t="shared" si="28"/>
        <v>#VALUE!</v>
      </c>
      <c r="EX626" s="1861"/>
      <c r="EY626" s="1861"/>
      <c r="EZ626" s="1861"/>
      <c r="FA626" s="1861"/>
    </row>
    <row r="627" spans="1:157" ht="13" customHeight="1">
      <c r="B627" s="52" t="s">
        <v>787</v>
      </c>
      <c r="C627" s="1718"/>
      <c r="D627" s="1718"/>
      <c r="E627" s="1718"/>
      <c r="F627" s="1718"/>
      <c r="G627" s="1718"/>
      <c r="H627" s="1718"/>
      <c r="I627" s="1718"/>
      <c r="J627" s="1718"/>
      <c r="K627" s="1718"/>
      <c r="L627" s="1718"/>
      <c r="M627" s="1862" t="s">
        <v>1327</v>
      </c>
      <c r="N627" s="1862"/>
      <c r="O627" s="1862"/>
      <c r="P627" s="1862"/>
      <c r="Q627" s="1760"/>
      <c r="R627" s="1553"/>
      <c r="S627" s="1761"/>
      <c r="T627" s="1760"/>
      <c r="U627" s="1553"/>
      <c r="V627" s="1761"/>
      <c r="W627" s="1602"/>
      <c r="X627" s="1603"/>
      <c r="Y627" s="1604"/>
      <c r="Z627" s="1719" t="s">
        <v>1327</v>
      </c>
      <c r="AA627" s="1720"/>
      <c r="AB627" s="1721"/>
      <c r="AC627" s="1431"/>
      <c r="AD627" s="1429"/>
      <c r="AE627" s="1430"/>
      <c r="AF627" s="1587"/>
      <c r="AG627" s="1588"/>
      <c r="AH627" s="1588"/>
      <c r="AI627" s="1588"/>
      <c r="AJ627" s="1589"/>
      <c r="AK627" s="1605"/>
      <c r="AL627" s="1606"/>
      <c r="AM627" s="1606"/>
      <c r="AN627" s="1607"/>
      <c r="AO627" s="1608"/>
      <c r="AP627" s="1609"/>
      <c r="AQ627" s="1609"/>
      <c r="AR627" s="1609"/>
      <c r="AS627" s="1610"/>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3">
        <f>IF(J759="SRO/Studio",O759,0)</f>
        <v>0</v>
      </c>
      <c r="BO627" s="1514"/>
      <c r="BP627" s="1514"/>
      <c r="BQ627" s="1514"/>
      <c r="BR627" s="1515"/>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61" t="e">
        <f t="shared" si="23"/>
        <v>#VALUE!</v>
      </c>
      <c r="DY627" s="1861"/>
      <c r="DZ627" s="1861"/>
      <c r="EA627" s="1861"/>
      <c r="EB627" s="1861"/>
      <c r="EC627" s="1861" t="e">
        <f t="shared" si="24"/>
        <v>#VALUE!</v>
      </c>
      <c r="ED627" s="1861"/>
      <c r="EE627" s="1861"/>
      <c r="EF627" s="1861"/>
      <c r="EG627" s="1861"/>
      <c r="EH627" s="1861" t="e">
        <f t="shared" si="25"/>
        <v>#VALUE!</v>
      </c>
      <c r="EI627" s="1861"/>
      <c r="EJ627" s="1861"/>
      <c r="EK627" s="1861"/>
      <c r="EL627" s="1861"/>
      <c r="EM627" s="1861" t="e">
        <f t="shared" si="26"/>
        <v>#VALUE!</v>
      </c>
      <c r="EN627" s="1861"/>
      <c r="EO627" s="1861"/>
      <c r="EP627" s="1861"/>
      <c r="EQ627" s="1861"/>
      <c r="ER627" s="1861" t="e">
        <f t="shared" si="27"/>
        <v>#VALUE!</v>
      </c>
      <c r="ES627" s="1861"/>
      <c r="ET627" s="1861"/>
      <c r="EU627" s="1861"/>
      <c r="EV627" s="1861"/>
      <c r="EW627" s="1861" t="e">
        <f t="shared" si="28"/>
        <v>#VALUE!</v>
      </c>
      <c r="EX627" s="1861"/>
      <c r="EY627" s="1861"/>
      <c r="EZ627" s="1861"/>
      <c r="FA627" s="1861"/>
    </row>
    <row r="628" spans="1:157" ht="13" customHeight="1">
      <c r="B628" s="52" t="s">
        <v>593</v>
      </c>
      <c r="C628" s="1718"/>
      <c r="D628" s="1718"/>
      <c r="E628" s="1718"/>
      <c r="F628" s="1718"/>
      <c r="G628" s="1718"/>
      <c r="H628" s="1718"/>
      <c r="I628" s="1718"/>
      <c r="J628" s="1718"/>
      <c r="K628" s="1718"/>
      <c r="L628" s="1718"/>
      <c r="M628" s="1862" t="s">
        <v>1327</v>
      </c>
      <c r="N628" s="1862"/>
      <c r="O628" s="1862"/>
      <c r="P628" s="1862"/>
      <c r="Q628" s="1760"/>
      <c r="R628" s="1553"/>
      <c r="S628" s="1761"/>
      <c r="T628" s="1760"/>
      <c r="U628" s="1553"/>
      <c r="V628" s="1761"/>
      <c r="W628" s="1602"/>
      <c r="X628" s="1603"/>
      <c r="Y628" s="1604"/>
      <c r="Z628" s="1719" t="s">
        <v>1327</v>
      </c>
      <c r="AA628" s="1720"/>
      <c r="AB628" s="1721"/>
      <c r="AC628" s="1431"/>
      <c r="AD628" s="1429"/>
      <c r="AE628" s="1430"/>
      <c r="AF628" s="1587"/>
      <c r="AG628" s="1588"/>
      <c r="AH628" s="1588"/>
      <c r="AI628" s="1588"/>
      <c r="AJ628" s="1589"/>
      <c r="AK628" s="1605"/>
      <c r="AL628" s="1606"/>
      <c r="AM628" s="1606"/>
      <c r="AN628" s="1607"/>
      <c r="AO628" s="1608"/>
      <c r="AP628" s="1609"/>
      <c r="AQ628" s="1609"/>
      <c r="AR628" s="1609"/>
      <c r="AS628" s="161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3">
        <f>IF(J760="SRO/Studio",O760,0)</f>
        <v>0</v>
      </c>
      <c r="BO628" s="1514"/>
      <c r="BP628" s="1514"/>
      <c r="BQ628" s="1514"/>
      <c r="BR628" s="1515"/>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61" t="e">
        <f t="shared" si="23"/>
        <v>#VALUE!</v>
      </c>
      <c r="DY628" s="1861"/>
      <c r="DZ628" s="1861"/>
      <c r="EA628" s="1861"/>
      <c r="EB628" s="1861"/>
      <c r="EC628" s="1861" t="e">
        <f t="shared" si="24"/>
        <v>#VALUE!</v>
      </c>
      <c r="ED628" s="1861"/>
      <c r="EE628" s="1861"/>
      <c r="EF628" s="1861"/>
      <c r="EG628" s="1861"/>
      <c r="EH628" s="1861" t="e">
        <f t="shared" si="25"/>
        <v>#VALUE!</v>
      </c>
      <c r="EI628" s="1861"/>
      <c r="EJ628" s="1861"/>
      <c r="EK628" s="1861"/>
      <c r="EL628" s="1861"/>
      <c r="EM628" s="1861" t="e">
        <f t="shared" si="26"/>
        <v>#VALUE!</v>
      </c>
      <c r="EN628" s="1861"/>
      <c r="EO628" s="1861"/>
      <c r="EP628" s="1861"/>
      <c r="EQ628" s="1861"/>
      <c r="ER628" s="1861" t="e">
        <f t="shared" si="27"/>
        <v>#VALUE!</v>
      </c>
      <c r="ES628" s="1861"/>
      <c r="ET628" s="1861"/>
      <c r="EU628" s="1861"/>
      <c r="EV628" s="1861"/>
      <c r="EW628" s="1861" t="e">
        <f t="shared" si="28"/>
        <v>#VALUE!</v>
      </c>
      <c r="EX628" s="1861"/>
      <c r="EY628" s="1861"/>
      <c r="EZ628" s="1861"/>
      <c r="FA628" s="1861"/>
    </row>
    <row r="629" spans="1:157" ht="13" customHeight="1">
      <c r="B629" s="52" t="s">
        <v>464</v>
      </c>
      <c r="C629" s="1718"/>
      <c r="D629" s="1718"/>
      <c r="E629" s="1718"/>
      <c r="F629" s="1718"/>
      <c r="G629" s="1718"/>
      <c r="H629" s="1718"/>
      <c r="I629" s="1718"/>
      <c r="J629" s="1718"/>
      <c r="K629" s="1718"/>
      <c r="L629" s="1718"/>
      <c r="M629" s="1862" t="s">
        <v>1327</v>
      </c>
      <c r="N629" s="1862"/>
      <c r="O629" s="1862"/>
      <c r="P629" s="1862"/>
      <c r="Q629" s="1760"/>
      <c r="R629" s="1553"/>
      <c r="S629" s="1761"/>
      <c r="T629" s="1760"/>
      <c r="U629" s="1553"/>
      <c r="V629" s="1761"/>
      <c r="W629" s="1602"/>
      <c r="X629" s="1603"/>
      <c r="Y629" s="1604"/>
      <c r="Z629" s="1719" t="s">
        <v>1327</v>
      </c>
      <c r="AA629" s="1720"/>
      <c r="AB629" s="1721"/>
      <c r="AC629" s="1431"/>
      <c r="AD629" s="1429"/>
      <c r="AE629" s="1430"/>
      <c r="AF629" s="1587"/>
      <c r="AG629" s="1588"/>
      <c r="AH629" s="1588"/>
      <c r="AI629" s="1588"/>
      <c r="AJ629" s="1589"/>
      <c r="AK629" s="1605"/>
      <c r="AL629" s="1606"/>
      <c r="AM629" s="1606"/>
      <c r="AN629" s="1607"/>
      <c r="AO629" s="1608"/>
      <c r="AP629" s="1609"/>
      <c r="AQ629" s="1609"/>
      <c r="AR629" s="1609"/>
      <c r="AS629" s="161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3">
        <f>IF(J761="SRO/Studio",O761,0)</f>
        <v>0</v>
      </c>
      <c r="BO629" s="1514"/>
      <c r="BP629" s="1514"/>
      <c r="BQ629" s="1514"/>
      <c r="BR629" s="1515"/>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61" t="e">
        <f t="shared" si="23"/>
        <v>#VALUE!</v>
      </c>
      <c r="DY629" s="1861"/>
      <c r="DZ629" s="1861"/>
      <c r="EA629" s="1861"/>
      <c r="EB629" s="1861"/>
      <c r="EC629" s="1861" t="e">
        <f t="shared" si="24"/>
        <v>#VALUE!</v>
      </c>
      <c r="ED629" s="1861"/>
      <c r="EE629" s="1861"/>
      <c r="EF629" s="1861"/>
      <c r="EG629" s="1861"/>
      <c r="EH629" s="1861" t="e">
        <f t="shared" si="25"/>
        <v>#VALUE!</v>
      </c>
      <c r="EI629" s="1861"/>
      <c r="EJ629" s="1861"/>
      <c r="EK629" s="1861"/>
      <c r="EL629" s="1861"/>
      <c r="EM629" s="1861" t="e">
        <f t="shared" si="26"/>
        <v>#VALUE!</v>
      </c>
      <c r="EN629" s="1861"/>
      <c r="EO629" s="1861"/>
      <c r="EP629" s="1861"/>
      <c r="EQ629" s="1861"/>
      <c r="ER629" s="1861" t="e">
        <f t="shared" si="27"/>
        <v>#VALUE!</v>
      </c>
      <c r="ES629" s="1861"/>
      <c r="ET629" s="1861"/>
      <c r="EU629" s="1861"/>
      <c r="EV629" s="1861"/>
      <c r="EW629" s="1861" t="e">
        <f t="shared" si="28"/>
        <v>#VALUE!</v>
      </c>
      <c r="EX629" s="1861"/>
      <c r="EY629" s="1861"/>
      <c r="EZ629" s="1861"/>
      <c r="FA629" s="1861"/>
    </row>
    <row r="630" spans="1:157" ht="13" customHeight="1">
      <c r="B630" s="52" t="s">
        <v>465</v>
      </c>
      <c r="C630" s="1718"/>
      <c r="D630" s="1718"/>
      <c r="E630" s="1718"/>
      <c r="F630" s="1718"/>
      <c r="G630" s="1718"/>
      <c r="H630" s="1718"/>
      <c r="I630" s="1718"/>
      <c r="J630" s="1718"/>
      <c r="K630" s="1718"/>
      <c r="L630" s="1718"/>
      <c r="M630" s="1862" t="s">
        <v>1327</v>
      </c>
      <c r="N630" s="1862"/>
      <c r="O630" s="1862"/>
      <c r="P630" s="1862"/>
      <c r="Q630" s="1760"/>
      <c r="R630" s="1553"/>
      <c r="S630" s="1761"/>
      <c r="T630" s="1760"/>
      <c r="U630" s="1553"/>
      <c r="V630" s="1761"/>
      <c r="W630" s="1602"/>
      <c r="X630" s="1603"/>
      <c r="Y630" s="1604"/>
      <c r="Z630" s="1719" t="s">
        <v>1327</v>
      </c>
      <c r="AA630" s="1720"/>
      <c r="AB630" s="1721"/>
      <c r="AC630" s="1431"/>
      <c r="AD630" s="1429"/>
      <c r="AE630" s="1430"/>
      <c r="AF630" s="1587"/>
      <c r="AG630" s="1588"/>
      <c r="AH630" s="1588"/>
      <c r="AI630" s="1588"/>
      <c r="AJ630" s="1589"/>
      <c r="AK630" s="1605"/>
      <c r="AL630" s="1606"/>
      <c r="AM630" s="1606"/>
      <c r="AN630" s="1607"/>
      <c r="AO630" s="1608"/>
      <c r="AP630" s="1609"/>
      <c r="AQ630" s="1609"/>
      <c r="AR630" s="1609"/>
      <c r="AS630" s="161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2">
        <f>SUM(BN626:BR629)</f>
        <v>0</v>
      </c>
      <c r="BO630" s="1516"/>
      <c r="BP630" s="1516"/>
      <c r="BQ630" s="1516"/>
      <c r="BR630" s="1503"/>
      <c r="BS630" s="1711">
        <f>SUM(BS626:BW629)</f>
        <v>1</v>
      </c>
      <c r="BT630" s="1712"/>
      <c r="BU630" s="1712"/>
      <c r="BV630" s="1712"/>
      <c r="BW630" s="1713"/>
      <c r="BX630" s="1711">
        <f>SUM(BX626:CB629)</f>
        <v>0</v>
      </c>
      <c r="BY630" s="1712"/>
      <c r="BZ630" s="1712"/>
      <c r="CA630" s="1712"/>
      <c r="CB630" s="1713"/>
      <c r="CC630" s="1711">
        <f>SUM(CC626:CG629)</f>
        <v>0</v>
      </c>
      <c r="CD630" s="1712"/>
      <c r="CE630" s="1712"/>
      <c r="CF630" s="1712"/>
      <c r="CG630" s="1713"/>
      <c r="CH630" s="1711">
        <f>SUM(CH626:CL629)</f>
        <v>0</v>
      </c>
      <c r="CI630" s="1712"/>
      <c r="CJ630" s="1712"/>
      <c r="CK630" s="1712"/>
      <c r="CL630" s="1713"/>
      <c r="CM630" s="1711">
        <f>SUM(CM626:CQ629)</f>
        <v>0</v>
      </c>
      <c r="CN630" s="1712"/>
      <c r="CO630" s="1712"/>
      <c r="CP630" s="1712"/>
      <c r="CQ630" s="1713"/>
      <c r="CS630" s="897">
        <f>BN630+BS630+BX630+CC630+CH630+CM630</f>
        <v>1</v>
      </c>
      <c r="CT630" s="57" t="s">
        <v>2123</v>
      </c>
      <c r="CU630" s="3"/>
      <c r="CV630" s="3"/>
      <c r="CW630" s="3"/>
      <c r="CX630" s="3"/>
      <c r="CY630" s="3"/>
      <c r="CZ630" s="3"/>
      <c r="DA630" s="3"/>
      <c r="DB630" s="3"/>
      <c r="DC630" s="3"/>
      <c r="DD630" s="3"/>
      <c r="DE630" s="3"/>
      <c r="DF630" s="3"/>
      <c r="DX630" s="1861" t="e">
        <f t="shared" si="23"/>
        <v>#VALUE!</v>
      </c>
      <c r="DY630" s="1861"/>
      <c r="DZ630" s="1861"/>
      <c r="EA630" s="1861"/>
      <c r="EB630" s="1861"/>
      <c r="EC630" s="1861" t="e">
        <f t="shared" si="24"/>
        <v>#VALUE!</v>
      </c>
      <c r="ED630" s="1861"/>
      <c r="EE630" s="1861"/>
      <c r="EF630" s="1861"/>
      <c r="EG630" s="1861"/>
      <c r="EH630" s="1861" t="e">
        <f t="shared" si="25"/>
        <v>#VALUE!</v>
      </c>
      <c r="EI630" s="1861"/>
      <c r="EJ630" s="1861"/>
      <c r="EK630" s="1861"/>
      <c r="EL630" s="1861"/>
      <c r="EM630" s="1861" t="e">
        <f t="shared" si="26"/>
        <v>#VALUE!</v>
      </c>
      <c r="EN630" s="1861"/>
      <c r="EO630" s="1861"/>
      <c r="EP630" s="1861"/>
      <c r="EQ630" s="1861"/>
      <c r="ER630" s="1861" t="e">
        <f t="shared" si="27"/>
        <v>#VALUE!</v>
      </c>
      <c r="ES630" s="1861"/>
      <c r="ET630" s="1861"/>
      <c r="EU630" s="1861"/>
      <c r="EV630" s="1861"/>
      <c r="EW630" s="1861" t="e">
        <f t="shared" si="28"/>
        <v>#VALUE!</v>
      </c>
      <c r="EX630" s="1861"/>
      <c r="EY630" s="1861"/>
      <c r="EZ630" s="1861"/>
      <c r="FA630" s="1861"/>
    </row>
    <row r="631" spans="1:157" ht="13" customHeight="1">
      <c r="B631" s="52" t="s">
        <v>470</v>
      </c>
      <c r="C631" s="1718"/>
      <c r="D631" s="1718"/>
      <c r="E631" s="1718"/>
      <c r="F631" s="1718"/>
      <c r="G631" s="1718"/>
      <c r="H631" s="1718"/>
      <c r="I631" s="1718"/>
      <c r="J631" s="1718"/>
      <c r="K631" s="1718"/>
      <c r="L631" s="1718"/>
      <c r="M631" s="1862" t="s">
        <v>1327</v>
      </c>
      <c r="N631" s="1862"/>
      <c r="O631" s="1862"/>
      <c r="P631" s="1862"/>
      <c r="Q631" s="1760"/>
      <c r="R631" s="1553"/>
      <c r="S631" s="1761"/>
      <c r="T631" s="1760"/>
      <c r="U631" s="1553"/>
      <c r="V631" s="1761"/>
      <c r="W631" s="1602"/>
      <c r="X631" s="1603"/>
      <c r="Y631" s="1604"/>
      <c r="Z631" s="1719" t="s">
        <v>1327</v>
      </c>
      <c r="AA631" s="1720"/>
      <c r="AB631" s="1721"/>
      <c r="AC631" s="1431"/>
      <c r="AD631" s="1429"/>
      <c r="AE631" s="1430"/>
      <c r="AF631" s="1587"/>
      <c r="AG631" s="1588"/>
      <c r="AH631" s="1588"/>
      <c r="AI631" s="1588"/>
      <c r="AJ631" s="1589"/>
      <c r="AK631" s="1605"/>
      <c r="AL631" s="1606"/>
      <c r="AM631" s="1606"/>
      <c r="AN631" s="1607"/>
      <c r="AO631" s="1608"/>
      <c r="AP631" s="1609"/>
      <c r="AQ631" s="1609"/>
      <c r="AR631" s="1609"/>
      <c r="AS631" s="161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2125</v>
      </c>
      <c r="CU631" s="3"/>
      <c r="CV631" s="3"/>
      <c r="CW631" s="3"/>
      <c r="CX631" s="3"/>
      <c r="CY631" s="3"/>
      <c r="CZ631" s="3"/>
      <c r="DA631" s="3"/>
      <c r="DB631" s="3"/>
      <c r="DC631" s="3"/>
      <c r="DD631" s="3"/>
      <c r="DE631" s="3"/>
      <c r="DF631" s="3"/>
      <c r="DX631" s="1861" t="e">
        <f t="shared" si="23"/>
        <v>#VALUE!</v>
      </c>
      <c r="DY631" s="1861"/>
      <c r="DZ631" s="1861"/>
      <c r="EA631" s="1861"/>
      <c r="EB631" s="1861"/>
      <c r="EC631" s="1861" t="e">
        <f t="shared" si="24"/>
        <v>#VALUE!</v>
      </c>
      <c r="ED631" s="1861"/>
      <c r="EE631" s="1861"/>
      <c r="EF631" s="1861"/>
      <c r="EG631" s="1861"/>
      <c r="EH631" s="1861" t="e">
        <f t="shared" si="25"/>
        <v>#VALUE!</v>
      </c>
      <c r="EI631" s="1861"/>
      <c r="EJ631" s="1861"/>
      <c r="EK631" s="1861"/>
      <c r="EL631" s="1861"/>
      <c r="EM631" s="1861" t="e">
        <f t="shared" si="26"/>
        <v>#VALUE!</v>
      </c>
      <c r="EN631" s="1861"/>
      <c r="EO631" s="1861"/>
      <c r="EP631" s="1861"/>
      <c r="EQ631" s="1861"/>
      <c r="ER631" s="1861" t="e">
        <f t="shared" si="27"/>
        <v>#VALUE!</v>
      </c>
      <c r="ES631" s="1861"/>
      <c r="ET631" s="1861"/>
      <c r="EU631" s="1861"/>
      <c r="EV631" s="1861"/>
      <c r="EW631" s="1861" t="e">
        <f t="shared" si="28"/>
        <v>#VALUE!</v>
      </c>
      <c r="EX631" s="1861"/>
      <c r="EY631" s="1861"/>
      <c r="EZ631" s="1861"/>
      <c r="FA631" s="1861"/>
    </row>
    <row r="632" spans="1:157" ht="13" customHeight="1">
      <c r="B632" s="52" t="s">
        <v>655</v>
      </c>
      <c r="C632" s="1718"/>
      <c r="D632" s="1718"/>
      <c r="E632" s="1718"/>
      <c r="F632" s="1718"/>
      <c r="G632" s="1718"/>
      <c r="H632" s="1718"/>
      <c r="I632" s="1718"/>
      <c r="J632" s="1718"/>
      <c r="K632" s="1718"/>
      <c r="L632" s="1718"/>
      <c r="M632" s="1862" t="s">
        <v>1327</v>
      </c>
      <c r="N632" s="1862"/>
      <c r="O632" s="1862"/>
      <c r="P632" s="1862"/>
      <c r="Q632" s="1760"/>
      <c r="R632" s="1553"/>
      <c r="S632" s="1761"/>
      <c r="T632" s="1760"/>
      <c r="U632" s="1553"/>
      <c r="V632" s="1761"/>
      <c r="W632" s="1602"/>
      <c r="X632" s="1603"/>
      <c r="Y632" s="1604"/>
      <c r="Z632" s="1719" t="s">
        <v>1327</v>
      </c>
      <c r="AA632" s="1720"/>
      <c r="AB632" s="1721"/>
      <c r="AC632" s="1431"/>
      <c r="AD632" s="1429"/>
      <c r="AE632" s="1430"/>
      <c r="AF632" s="1587"/>
      <c r="AG632" s="1588"/>
      <c r="AH632" s="1588"/>
      <c r="AI632" s="1588"/>
      <c r="AJ632" s="1589"/>
      <c r="AK632" s="1605"/>
      <c r="AL632" s="1606"/>
      <c r="AM632" s="1606"/>
      <c r="AN632" s="1607"/>
      <c r="AO632" s="1608"/>
      <c r="AP632" s="1609"/>
      <c r="AQ632" s="1609"/>
      <c r="AR632" s="1609"/>
      <c r="AS632" s="161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1" t="e">
        <f t="shared" si="23"/>
        <v>#VALUE!</v>
      </c>
      <c r="DY632" s="1861"/>
      <c r="DZ632" s="1861"/>
      <c r="EA632" s="1861"/>
      <c r="EB632" s="1861"/>
      <c r="EC632" s="1861" t="e">
        <f t="shared" si="24"/>
        <v>#VALUE!</v>
      </c>
      <c r="ED632" s="1861"/>
      <c r="EE632" s="1861"/>
      <c r="EF632" s="1861"/>
      <c r="EG632" s="1861"/>
      <c r="EH632" s="1861" t="e">
        <f t="shared" si="25"/>
        <v>#VALUE!</v>
      </c>
      <c r="EI632" s="1861"/>
      <c r="EJ632" s="1861"/>
      <c r="EK632" s="1861"/>
      <c r="EL632" s="1861"/>
      <c r="EM632" s="1861" t="e">
        <f t="shared" si="26"/>
        <v>#VALUE!</v>
      </c>
      <c r="EN632" s="1861"/>
      <c r="EO632" s="1861"/>
      <c r="EP632" s="1861"/>
      <c r="EQ632" s="1861"/>
      <c r="ER632" s="1861" t="e">
        <f t="shared" si="27"/>
        <v>#VALUE!</v>
      </c>
      <c r="ES632" s="1861"/>
      <c r="ET632" s="1861"/>
      <c r="EU632" s="1861"/>
      <c r="EV632" s="1861"/>
      <c r="EW632" s="1861" t="e">
        <f t="shared" si="28"/>
        <v>#VALUE!</v>
      </c>
      <c r="EX632" s="1861"/>
      <c r="EY632" s="1861"/>
      <c r="EZ632" s="1861"/>
      <c r="FA632" s="1861"/>
    </row>
    <row r="633" spans="1:157" ht="13" customHeight="1">
      <c r="B633" s="52" t="s">
        <v>363</v>
      </c>
      <c r="C633" s="1718"/>
      <c r="D633" s="1718"/>
      <c r="E633" s="1718"/>
      <c r="F633" s="1718"/>
      <c r="G633" s="1718"/>
      <c r="H633" s="1718"/>
      <c r="I633" s="1718"/>
      <c r="J633" s="1718"/>
      <c r="K633" s="1718"/>
      <c r="L633" s="1718"/>
      <c r="M633" s="1862" t="s">
        <v>1327</v>
      </c>
      <c r="N633" s="1862"/>
      <c r="O633" s="1862"/>
      <c r="P633" s="1862"/>
      <c r="Q633" s="1760"/>
      <c r="R633" s="1553"/>
      <c r="S633" s="1761"/>
      <c r="T633" s="1760"/>
      <c r="U633" s="1553"/>
      <c r="V633" s="1761"/>
      <c r="W633" s="1602"/>
      <c r="X633" s="1603"/>
      <c r="Y633" s="1604"/>
      <c r="Z633" s="1719" t="s">
        <v>1327</v>
      </c>
      <c r="AA633" s="1720"/>
      <c r="AB633" s="1721"/>
      <c r="AC633" s="1431"/>
      <c r="AD633" s="1429"/>
      <c r="AE633" s="1430"/>
      <c r="AF633" s="1587"/>
      <c r="AG633" s="1588"/>
      <c r="AH633" s="1588"/>
      <c r="AI633" s="1588"/>
      <c r="AJ633" s="1589"/>
      <c r="AK633" s="1605"/>
      <c r="AL633" s="1606"/>
      <c r="AM633" s="1606"/>
      <c r="AN633" s="1607"/>
      <c r="AO633" s="1608"/>
      <c r="AP633" s="1609"/>
      <c r="AQ633" s="1609"/>
      <c r="AR633" s="1609"/>
      <c r="AS633" s="161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61" t="e">
        <f t="shared" si="23"/>
        <v>#VALUE!</v>
      </c>
      <c r="DY633" s="1861"/>
      <c r="DZ633" s="1861"/>
      <c r="EA633" s="1861"/>
      <c r="EB633" s="1861"/>
      <c r="EC633" s="1861" t="e">
        <f t="shared" si="24"/>
        <v>#VALUE!</v>
      </c>
      <c r="ED633" s="1861"/>
      <c r="EE633" s="1861"/>
      <c r="EF633" s="1861"/>
      <c r="EG633" s="1861"/>
      <c r="EH633" s="1861" t="e">
        <f t="shared" si="25"/>
        <v>#VALUE!</v>
      </c>
      <c r="EI633" s="1861"/>
      <c r="EJ633" s="1861"/>
      <c r="EK633" s="1861"/>
      <c r="EL633" s="1861"/>
      <c r="EM633" s="1861" t="e">
        <f t="shared" si="26"/>
        <v>#VALUE!</v>
      </c>
      <c r="EN633" s="1861"/>
      <c r="EO633" s="1861"/>
      <c r="EP633" s="1861"/>
      <c r="EQ633" s="1861"/>
      <c r="ER633" s="1861" t="e">
        <f t="shared" si="27"/>
        <v>#VALUE!</v>
      </c>
      <c r="ES633" s="1861"/>
      <c r="ET633" s="1861"/>
      <c r="EU633" s="1861"/>
      <c r="EV633" s="1861"/>
      <c r="EW633" s="1861" t="e">
        <f t="shared" si="28"/>
        <v>#VALUE!</v>
      </c>
      <c r="EX633" s="1861"/>
      <c r="EY633" s="1861"/>
      <c r="EZ633" s="1861"/>
      <c r="FA633" s="1861"/>
    </row>
    <row r="634" spans="1:157" ht="13" customHeight="1">
      <c r="B634" s="52" t="s">
        <v>364</v>
      </c>
      <c r="C634" s="1718"/>
      <c r="D634" s="1718"/>
      <c r="E634" s="1718"/>
      <c r="F634" s="1718"/>
      <c r="G634" s="1718"/>
      <c r="H634" s="1718"/>
      <c r="I634" s="1718"/>
      <c r="J634" s="1718"/>
      <c r="K634" s="1718"/>
      <c r="L634" s="1718"/>
      <c r="M634" s="1862" t="s">
        <v>1327</v>
      </c>
      <c r="N634" s="1862"/>
      <c r="O634" s="1862"/>
      <c r="P634" s="1862"/>
      <c r="Q634" s="1760"/>
      <c r="R634" s="1553"/>
      <c r="S634" s="1761"/>
      <c r="T634" s="1760"/>
      <c r="U634" s="1553"/>
      <c r="V634" s="1761"/>
      <c r="W634" s="1602"/>
      <c r="X634" s="1603"/>
      <c r="Y634" s="1604"/>
      <c r="Z634" s="1719" t="s">
        <v>1327</v>
      </c>
      <c r="AA634" s="1720"/>
      <c r="AB634" s="1721"/>
      <c r="AC634" s="1431"/>
      <c r="AD634" s="1429"/>
      <c r="AE634" s="1430"/>
      <c r="AF634" s="1587"/>
      <c r="AG634" s="1588"/>
      <c r="AH634" s="1588"/>
      <c r="AI634" s="1588"/>
      <c r="AJ634" s="1589"/>
      <c r="AK634" s="1605"/>
      <c r="AL634" s="1606"/>
      <c r="AM634" s="1606"/>
      <c r="AN634" s="1607"/>
      <c r="AO634" s="1608"/>
      <c r="AP634" s="1609"/>
      <c r="AQ634" s="1609"/>
      <c r="AR634" s="1609"/>
      <c r="AS634" s="161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3">
        <f t="shared" ref="BN634:BN643" si="30">IF(J772="SRO/Studio",O772,0)</f>
        <v>0</v>
      </c>
      <c r="BO634" s="1514"/>
      <c r="BP634" s="1514"/>
      <c r="BQ634" s="1514"/>
      <c r="BR634" s="1515"/>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13">
        <f>IF(AND(BN634&gt;=1,AH772&gt;=0.1,AH772&lt;=1),O772,0)</f>
        <v>0</v>
      </c>
      <c r="CT634" s="1514"/>
      <c r="CU634" s="1514"/>
      <c r="CV634" s="1514"/>
      <c r="CW634" s="1515"/>
      <c r="CX634" s="1513">
        <f>IF(AND(BS634&gt;=1,AH772&gt;=0.1,AH772&lt;=1),O772,0)</f>
        <v>0</v>
      </c>
      <c r="CY634" s="1514"/>
      <c r="CZ634" s="1514"/>
      <c r="DA634" s="1514"/>
      <c r="DB634" s="1515"/>
      <c r="DC634" s="1513">
        <f>IF(AND(BX634&gt;=1,AH772&gt;=0.1,AH772&lt;=1),O772,0)</f>
        <v>0</v>
      </c>
      <c r="DD634" s="1514"/>
      <c r="DE634" s="1514"/>
      <c r="DF634" s="1514"/>
      <c r="DG634" s="1515"/>
      <c r="DH634" s="1513">
        <f>IF(AND(CC634&gt;=1,AH772&gt;=0.1,AH772&lt;=1),O772,0)</f>
        <v>0</v>
      </c>
      <c r="DI634" s="1514"/>
      <c r="DJ634" s="1514"/>
      <c r="DK634" s="1514"/>
      <c r="DL634" s="1515"/>
      <c r="DM634" s="1513">
        <f>IF(AND(CH634&gt;=1,AH772&gt;=0.1,AH772&lt;=1),O772,0)</f>
        <v>0</v>
      </c>
      <c r="DN634" s="1514"/>
      <c r="DO634" s="1514"/>
      <c r="DP634" s="1514"/>
      <c r="DQ634" s="1515"/>
      <c r="DR634" s="1513">
        <f>IF(AND(CM634&gt;=1,AH772&gt;=0.1,AH772&lt;=1),O772,0)</f>
        <v>0</v>
      </c>
      <c r="DS634" s="1514"/>
      <c r="DT634" s="1514"/>
      <c r="DU634" s="1514"/>
      <c r="DV634" s="1515"/>
      <c r="DX634" s="1861" t="e">
        <f t="shared" si="23"/>
        <v>#VALUE!</v>
      </c>
      <c r="DY634" s="1861"/>
      <c r="DZ634" s="1861"/>
      <c r="EA634" s="1861"/>
      <c r="EB634" s="1861"/>
      <c r="EC634" s="1861" t="e">
        <f t="shared" si="24"/>
        <v>#VALUE!</v>
      </c>
      <c r="ED634" s="1861"/>
      <c r="EE634" s="1861"/>
      <c r="EF634" s="1861"/>
      <c r="EG634" s="1861"/>
      <c r="EH634" s="1861" t="e">
        <f t="shared" si="25"/>
        <v>#VALUE!</v>
      </c>
      <c r="EI634" s="1861"/>
      <c r="EJ634" s="1861"/>
      <c r="EK634" s="1861"/>
      <c r="EL634" s="1861"/>
      <c r="EM634" s="1861" t="e">
        <f t="shared" si="26"/>
        <v>#VALUE!</v>
      </c>
      <c r="EN634" s="1861"/>
      <c r="EO634" s="1861"/>
      <c r="EP634" s="1861"/>
      <c r="EQ634" s="1861"/>
      <c r="ER634" s="1861" t="e">
        <f t="shared" si="27"/>
        <v>#VALUE!</v>
      </c>
      <c r="ES634" s="1861"/>
      <c r="ET634" s="1861"/>
      <c r="EU634" s="1861"/>
      <c r="EV634" s="1861"/>
      <c r="EW634" s="1861" t="e">
        <f t="shared" si="28"/>
        <v>#VALUE!</v>
      </c>
      <c r="EX634" s="1861"/>
      <c r="EY634" s="1861"/>
      <c r="EZ634" s="1861"/>
      <c r="FA634" s="1861"/>
    </row>
    <row r="635" spans="1:157" ht="13" customHeight="1">
      <c r="B635" s="1525" t="s">
        <v>129</v>
      </c>
      <c r="C635" s="1526"/>
      <c r="D635" s="1526"/>
      <c r="E635" s="1526"/>
      <c r="F635" s="1526"/>
      <c r="G635" s="1526"/>
      <c r="H635" s="1526"/>
      <c r="I635" s="1526"/>
      <c r="J635" s="1526"/>
      <c r="K635" s="1526"/>
      <c r="L635" s="1526"/>
      <c r="M635" s="1526"/>
      <c r="N635" s="1526"/>
      <c r="O635" s="1526"/>
      <c r="P635" s="1526"/>
      <c r="Q635" s="1526"/>
      <c r="R635" s="1526"/>
      <c r="S635" s="1526"/>
      <c r="T635" s="1526"/>
      <c r="U635" s="1526"/>
      <c r="V635" s="1526"/>
      <c r="W635" s="1526"/>
      <c r="X635" s="1526"/>
      <c r="Y635" s="1526"/>
      <c r="Z635" s="1526"/>
      <c r="AA635" s="1526"/>
      <c r="AB635" s="1526"/>
      <c r="AC635" s="1526"/>
      <c r="AD635" s="1526"/>
      <c r="AE635" s="1526"/>
      <c r="AF635" s="1526"/>
      <c r="AG635" s="1526"/>
      <c r="AH635" s="1526"/>
      <c r="AI635" s="1526"/>
      <c r="AJ635" s="1526"/>
      <c r="AK635" s="1526"/>
      <c r="AL635" s="1526"/>
      <c r="AM635" s="1526"/>
      <c r="AN635" s="1528"/>
      <c r="AO635" s="1522">
        <f>SUM(AO623:AR634)</f>
        <v>4756198</v>
      </c>
      <c r="AP635" s="1523"/>
      <c r="AQ635" s="1523"/>
      <c r="AR635" s="1523"/>
      <c r="AS635" s="1524"/>
      <c r="AZ635" s="3"/>
      <c r="BA635" s="3"/>
      <c r="BB635" s="3"/>
      <c r="BC635" s="3"/>
      <c r="BD635" s="3"/>
      <c r="BE635" s="3"/>
      <c r="BF635" s="3"/>
      <c r="BG635" s="3"/>
      <c r="BH635" s="3"/>
      <c r="BI635" s="3"/>
      <c r="BJ635" s="3"/>
      <c r="BK635" s="3"/>
      <c r="BL635" s="3"/>
      <c r="BM635" s="3"/>
      <c r="BN635" s="1513">
        <f t="shared" si="30"/>
        <v>0</v>
      </c>
      <c r="BO635" s="1514"/>
      <c r="BP635" s="1514"/>
      <c r="BQ635" s="1514"/>
      <c r="BR635" s="1515"/>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13">
        <f t="shared" ref="CS635:CS643" si="36">IF(AND(BN635&gt;=1,AH773&gt;=0.1,AH773&lt;=1),O773,0)</f>
        <v>0</v>
      </c>
      <c r="CT635" s="1514"/>
      <c r="CU635" s="1514"/>
      <c r="CV635" s="1514"/>
      <c r="CW635" s="1515"/>
      <c r="CX635" s="1513">
        <f t="shared" ref="CX635:CX643" si="37">IF(AND(BS635&gt;=1,AH773&gt;=0.1,AH773&lt;=1),O773,0)</f>
        <v>0</v>
      </c>
      <c r="CY635" s="1514"/>
      <c r="CZ635" s="1514"/>
      <c r="DA635" s="1514"/>
      <c r="DB635" s="1515"/>
      <c r="DC635" s="1513">
        <f t="shared" ref="DC635:DC643" si="38">IF(AND(BX635&gt;=1,AH773&gt;=0.1,AH773&lt;=1),O773,0)</f>
        <v>0</v>
      </c>
      <c r="DD635" s="1514"/>
      <c r="DE635" s="1514"/>
      <c r="DF635" s="1514"/>
      <c r="DG635" s="1515"/>
      <c r="DH635" s="1513">
        <f t="shared" ref="DH635:DH643" si="39">IF(AND(CC635&gt;=1,AH773&gt;=0.1,AH773&lt;=1),O773,0)</f>
        <v>0</v>
      </c>
      <c r="DI635" s="1514"/>
      <c r="DJ635" s="1514"/>
      <c r="DK635" s="1514"/>
      <c r="DL635" s="1515"/>
      <c r="DM635" s="1513">
        <f t="shared" ref="DM635:DM643" si="40">IF(AND(CH635&gt;=1,AH773&gt;=0.1,AH773&lt;=1),O773,0)</f>
        <v>0</v>
      </c>
      <c r="DN635" s="1514"/>
      <c r="DO635" s="1514"/>
      <c r="DP635" s="1514"/>
      <c r="DQ635" s="1515"/>
      <c r="DR635" s="1513">
        <f t="shared" ref="DR635:DR643" si="41">IF(AND(CM635&gt;=1,AH773&gt;=0.1,AH773&lt;=1),O773,0)</f>
        <v>0</v>
      </c>
      <c r="DS635" s="1514"/>
      <c r="DT635" s="1514"/>
      <c r="DU635" s="1514"/>
      <c r="DV635" s="1515"/>
      <c r="DX635" s="1861" t="e">
        <f t="shared" si="23"/>
        <v>#VALUE!</v>
      </c>
      <c r="DY635" s="1861"/>
      <c r="DZ635" s="1861"/>
      <c r="EA635" s="1861"/>
      <c r="EB635" s="1861"/>
      <c r="EC635" s="1861" t="e">
        <f t="shared" si="24"/>
        <v>#VALUE!</v>
      </c>
      <c r="ED635" s="1861"/>
      <c r="EE635" s="1861"/>
      <c r="EF635" s="1861"/>
      <c r="EG635" s="1861"/>
      <c r="EH635" s="1861" t="e">
        <f t="shared" si="25"/>
        <v>#VALUE!</v>
      </c>
      <c r="EI635" s="1861"/>
      <c r="EJ635" s="1861"/>
      <c r="EK635" s="1861"/>
      <c r="EL635" s="1861"/>
      <c r="EM635" s="1861" t="e">
        <f t="shared" si="26"/>
        <v>#VALUE!</v>
      </c>
      <c r="EN635" s="1861"/>
      <c r="EO635" s="1861"/>
      <c r="EP635" s="1861"/>
      <c r="EQ635" s="1861"/>
      <c r="ER635" s="1861" t="e">
        <f t="shared" si="27"/>
        <v>#VALUE!</v>
      </c>
      <c r="ES635" s="1861"/>
      <c r="ET635" s="1861"/>
      <c r="EU635" s="1861"/>
      <c r="EV635" s="1861"/>
      <c r="EW635" s="1861" t="e">
        <f t="shared" si="28"/>
        <v>#VALUE!</v>
      </c>
      <c r="EX635" s="1861"/>
      <c r="EY635" s="1861"/>
      <c r="EZ635" s="1861"/>
      <c r="FA635" s="1861"/>
    </row>
    <row r="636" spans="1:157" ht="13" customHeight="1">
      <c r="B636" s="1525" t="s">
        <v>268</v>
      </c>
      <c r="C636" s="1526"/>
      <c r="D636" s="1526"/>
      <c r="E636" s="1526"/>
      <c r="F636" s="1526"/>
      <c r="G636" s="1526"/>
      <c r="H636" s="1526"/>
      <c r="I636" s="1526"/>
      <c r="J636" s="1526"/>
      <c r="K636" s="1526"/>
      <c r="L636" s="1526"/>
      <c r="M636" s="1526"/>
      <c r="N636" s="1526"/>
      <c r="O636" s="1526"/>
      <c r="P636" s="1526"/>
      <c r="Q636" s="1526"/>
      <c r="R636" s="1526"/>
      <c r="S636" s="1526"/>
      <c r="T636" s="1526"/>
      <c r="U636" s="1526"/>
      <c r="V636" s="1526"/>
      <c r="W636" s="1526"/>
      <c r="X636" s="1526"/>
      <c r="Y636" s="1526"/>
      <c r="Z636" s="1526"/>
      <c r="AA636" s="1526"/>
      <c r="AB636" s="1526"/>
      <c r="AC636" s="1526"/>
      <c r="AD636" s="1526"/>
      <c r="AE636" s="1526"/>
      <c r="AF636" s="1526"/>
      <c r="AG636" s="1526"/>
      <c r="AH636" s="1526"/>
      <c r="AI636" s="1526"/>
      <c r="AJ636" s="1526"/>
      <c r="AK636" s="1526"/>
      <c r="AL636" s="1526"/>
      <c r="AM636" s="1526"/>
      <c r="AN636" s="1528"/>
      <c r="AO636" s="1608">
        <f>'Sources and Uses Budget'!E105</f>
        <v>6857144.2081942484</v>
      </c>
      <c r="AP636" s="1609"/>
      <c r="AQ636" s="1609"/>
      <c r="AR636" s="1609"/>
      <c r="AS636" s="1610"/>
      <c r="AZ636" s="34"/>
      <c r="BA636" s="34"/>
      <c r="BB636" s="34"/>
      <c r="BC636" s="34"/>
      <c r="BD636" s="34"/>
      <c r="BE636" s="34"/>
      <c r="BF636" s="34"/>
      <c r="BG636" s="34"/>
      <c r="BH636" s="34"/>
      <c r="BI636" s="34"/>
      <c r="BJ636" s="34"/>
      <c r="BK636" s="34"/>
      <c r="BL636" s="34"/>
      <c r="BM636" s="34"/>
      <c r="BN636" s="1513">
        <f t="shared" si="30"/>
        <v>0</v>
      </c>
      <c r="BO636" s="1514"/>
      <c r="BP636" s="1514"/>
      <c r="BQ636" s="1514"/>
      <c r="BR636" s="1515"/>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13">
        <f t="shared" si="36"/>
        <v>0</v>
      </c>
      <c r="CT636" s="1514"/>
      <c r="CU636" s="1514"/>
      <c r="CV636" s="1514"/>
      <c r="CW636" s="1515"/>
      <c r="CX636" s="1513">
        <f t="shared" si="37"/>
        <v>0</v>
      </c>
      <c r="CY636" s="1514"/>
      <c r="CZ636" s="1514"/>
      <c r="DA636" s="1514"/>
      <c r="DB636" s="1515"/>
      <c r="DC636" s="1513">
        <f t="shared" si="38"/>
        <v>0</v>
      </c>
      <c r="DD636" s="1514"/>
      <c r="DE636" s="1514"/>
      <c r="DF636" s="1514"/>
      <c r="DG636" s="1515"/>
      <c r="DH636" s="1513">
        <f t="shared" si="39"/>
        <v>0</v>
      </c>
      <c r="DI636" s="1514"/>
      <c r="DJ636" s="1514"/>
      <c r="DK636" s="1514"/>
      <c r="DL636" s="1515"/>
      <c r="DM636" s="1513">
        <f t="shared" si="40"/>
        <v>0</v>
      </c>
      <c r="DN636" s="1514"/>
      <c r="DO636" s="1514"/>
      <c r="DP636" s="1514"/>
      <c r="DQ636" s="1515"/>
      <c r="DR636" s="1513">
        <f t="shared" si="41"/>
        <v>0</v>
      </c>
      <c r="DS636" s="1514"/>
      <c r="DT636" s="1514"/>
      <c r="DU636" s="1514"/>
      <c r="DV636" s="1515"/>
      <c r="DX636" s="1861" t="e">
        <f t="shared" si="23"/>
        <v>#VALUE!</v>
      </c>
      <c r="DY636" s="1861"/>
      <c r="DZ636" s="1861"/>
      <c r="EA636" s="1861"/>
      <c r="EB636" s="1861"/>
      <c r="EC636" s="1861" t="e">
        <f t="shared" si="24"/>
        <v>#VALUE!</v>
      </c>
      <c r="ED636" s="1861"/>
      <c r="EE636" s="1861"/>
      <c r="EF636" s="1861"/>
      <c r="EG636" s="1861"/>
      <c r="EH636" s="1861" t="e">
        <f t="shared" si="25"/>
        <v>#VALUE!</v>
      </c>
      <c r="EI636" s="1861"/>
      <c r="EJ636" s="1861"/>
      <c r="EK636" s="1861"/>
      <c r="EL636" s="1861"/>
      <c r="EM636" s="1861" t="e">
        <f t="shared" si="26"/>
        <v>#VALUE!</v>
      </c>
      <c r="EN636" s="1861"/>
      <c r="EO636" s="1861"/>
      <c r="EP636" s="1861"/>
      <c r="EQ636" s="1861"/>
      <c r="ER636" s="1861" t="e">
        <f t="shared" si="27"/>
        <v>#VALUE!</v>
      </c>
      <c r="ES636" s="1861"/>
      <c r="ET636" s="1861"/>
      <c r="EU636" s="1861"/>
      <c r="EV636" s="1861"/>
      <c r="EW636" s="1861" t="e">
        <f t="shared" si="28"/>
        <v>#VALUE!</v>
      </c>
      <c r="EX636" s="1861"/>
      <c r="EY636" s="1861"/>
      <c r="EZ636" s="1861"/>
      <c r="FA636" s="1861"/>
    </row>
    <row r="637" spans="1:157" ht="13" customHeight="1">
      <c r="B637" s="1585" t="s">
        <v>269</v>
      </c>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c r="AF637" s="1527"/>
      <c r="AG637" s="1527"/>
      <c r="AH637" s="1527"/>
      <c r="AI637" s="1527"/>
      <c r="AJ637" s="1527"/>
      <c r="AK637" s="1527"/>
      <c r="AL637" s="1527"/>
      <c r="AM637" s="1527"/>
      <c r="AN637" s="1586"/>
      <c r="AO637" s="1522">
        <f>AO635+AO636</f>
        <v>11613342.208194248</v>
      </c>
      <c r="AP637" s="1523"/>
      <c r="AQ637" s="1523"/>
      <c r="AR637" s="1523"/>
      <c r="AS637" s="1524"/>
      <c r="AZ637" s="34"/>
      <c r="BA637" s="34"/>
      <c r="BB637" s="34"/>
      <c r="BC637" s="34"/>
      <c r="BD637" s="34"/>
      <c r="BE637" s="34"/>
      <c r="BF637" s="34"/>
      <c r="BG637" s="34"/>
      <c r="BH637" s="34"/>
      <c r="BI637" s="34"/>
      <c r="BJ637" s="34"/>
      <c r="BK637" s="34"/>
      <c r="BL637" s="34"/>
      <c r="BM637" s="34"/>
      <c r="BN637" s="1513">
        <f t="shared" si="30"/>
        <v>0</v>
      </c>
      <c r="BO637" s="1514"/>
      <c r="BP637" s="1514"/>
      <c r="BQ637" s="1514"/>
      <c r="BR637" s="1515"/>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13">
        <f t="shared" si="36"/>
        <v>0</v>
      </c>
      <c r="CT637" s="1514"/>
      <c r="CU637" s="1514"/>
      <c r="CV637" s="1514"/>
      <c r="CW637" s="1515"/>
      <c r="CX637" s="1513">
        <f t="shared" si="37"/>
        <v>0</v>
      </c>
      <c r="CY637" s="1514"/>
      <c r="CZ637" s="1514"/>
      <c r="DA637" s="1514"/>
      <c r="DB637" s="1515"/>
      <c r="DC637" s="1513">
        <f t="shared" si="38"/>
        <v>0</v>
      </c>
      <c r="DD637" s="1514"/>
      <c r="DE637" s="1514"/>
      <c r="DF637" s="1514"/>
      <c r="DG637" s="1515"/>
      <c r="DH637" s="1513">
        <f t="shared" si="39"/>
        <v>0</v>
      </c>
      <c r="DI637" s="1514"/>
      <c r="DJ637" s="1514"/>
      <c r="DK637" s="1514"/>
      <c r="DL637" s="1515"/>
      <c r="DM637" s="1513">
        <f t="shared" si="40"/>
        <v>0</v>
      </c>
      <c r="DN637" s="1514"/>
      <c r="DO637" s="1514"/>
      <c r="DP637" s="1514"/>
      <c r="DQ637" s="1515"/>
      <c r="DR637" s="1513">
        <f t="shared" si="41"/>
        <v>0</v>
      </c>
      <c r="DS637" s="1514"/>
      <c r="DT637" s="1514"/>
      <c r="DU637" s="1514"/>
      <c r="DV637" s="1515"/>
      <c r="DX637" s="1861" t="e">
        <f t="shared" si="23"/>
        <v>#VALUE!</v>
      </c>
      <c r="DY637" s="1861"/>
      <c r="DZ637" s="1861"/>
      <c r="EA637" s="1861"/>
      <c r="EB637" s="1861"/>
      <c r="EC637" s="1861" t="e">
        <f t="shared" si="24"/>
        <v>#VALUE!</v>
      </c>
      <c r="ED637" s="1861"/>
      <c r="EE637" s="1861"/>
      <c r="EF637" s="1861"/>
      <c r="EG637" s="1861"/>
      <c r="EH637" s="1861" t="e">
        <f t="shared" si="25"/>
        <v>#VALUE!</v>
      </c>
      <c r="EI637" s="1861"/>
      <c r="EJ637" s="1861"/>
      <c r="EK637" s="1861"/>
      <c r="EL637" s="1861"/>
      <c r="EM637" s="1861" t="e">
        <f t="shared" si="26"/>
        <v>#VALUE!</v>
      </c>
      <c r="EN637" s="1861"/>
      <c r="EO637" s="1861"/>
      <c r="EP637" s="1861"/>
      <c r="EQ637" s="1861"/>
      <c r="ER637" s="1861" t="e">
        <f t="shared" si="27"/>
        <v>#VALUE!</v>
      </c>
      <c r="ES637" s="1861"/>
      <c r="ET637" s="1861"/>
      <c r="EU637" s="1861"/>
      <c r="EV637" s="1861"/>
      <c r="EW637" s="1861" t="e">
        <f t="shared" si="28"/>
        <v>#VALUE!</v>
      </c>
      <c r="EX637" s="1861"/>
      <c r="EY637" s="1861"/>
      <c r="EZ637" s="1861"/>
      <c r="FA637" s="1861"/>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3">
        <f t="shared" si="30"/>
        <v>0</v>
      </c>
      <c r="BO638" s="1514"/>
      <c r="BP638" s="1514"/>
      <c r="BQ638" s="1514"/>
      <c r="BR638" s="1515"/>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13">
        <f t="shared" si="36"/>
        <v>0</v>
      </c>
      <c r="CT638" s="1514"/>
      <c r="CU638" s="1514"/>
      <c r="CV638" s="1514"/>
      <c r="CW638" s="1515"/>
      <c r="CX638" s="1513">
        <f t="shared" si="37"/>
        <v>0</v>
      </c>
      <c r="CY638" s="1514"/>
      <c r="CZ638" s="1514"/>
      <c r="DA638" s="1514"/>
      <c r="DB638" s="1515"/>
      <c r="DC638" s="1513">
        <f t="shared" si="38"/>
        <v>0</v>
      </c>
      <c r="DD638" s="1514"/>
      <c r="DE638" s="1514"/>
      <c r="DF638" s="1514"/>
      <c r="DG638" s="1515"/>
      <c r="DH638" s="1513">
        <f t="shared" si="39"/>
        <v>0</v>
      </c>
      <c r="DI638" s="1514"/>
      <c r="DJ638" s="1514"/>
      <c r="DK638" s="1514"/>
      <c r="DL638" s="1515"/>
      <c r="DM638" s="1513">
        <f t="shared" si="40"/>
        <v>0</v>
      </c>
      <c r="DN638" s="1514"/>
      <c r="DO638" s="1514"/>
      <c r="DP638" s="1514"/>
      <c r="DQ638" s="1515"/>
      <c r="DR638" s="1513">
        <f t="shared" si="41"/>
        <v>0</v>
      </c>
      <c r="DS638" s="1514"/>
      <c r="DT638" s="1514"/>
      <c r="DU638" s="1514"/>
      <c r="DV638" s="1515"/>
      <c r="DX638" s="1861" t="e">
        <f t="shared" si="23"/>
        <v>#VALUE!</v>
      </c>
      <c r="DY638" s="1861"/>
      <c r="DZ638" s="1861"/>
      <c r="EA638" s="1861"/>
      <c r="EB638" s="1861"/>
      <c r="EC638" s="1861" t="e">
        <f t="shared" si="24"/>
        <v>#VALUE!</v>
      </c>
      <c r="ED638" s="1861"/>
      <c r="EE638" s="1861"/>
      <c r="EF638" s="1861"/>
      <c r="EG638" s="1861"/>
      <c r="EH638" s="1861" t="e">
        <f t="shared" si="25"/>
        <v>#VALUE!</v>
      </c>
      <c r="EI638" s="1861"/>
      <c r="EJ638" s="1861"/>
      <c r="EK638" s="1861"/>
      <c r="EL638" s="1861"/>
      <c r="EM638" s="1861" t="e">
        <f t="shared" si="26"/>
        <v>#VALUE!</v>
      </c>
      <c r="EN638" s="1861"/>
      <c r="EO638" s="1861"/>
      <c r="EP638" s="1861"/>
      <c r="EQ638" s="1861"/>
      <c r="ER638" s="1861" t="e">
        <f t="shared" si="27"/>
        <v>#VALUE!</v>
      </c>
      <c r="ES638" s="1861"/>
      <c r="ET638" s="1861"/>
      <c r="EU638" s="1861"/>
      <c r="EV638" s="1861"/>
      <c r="EW638" s="1861" t="e">
        <f t="shared" si="28"/>
        <v>#VALUE!</v>
      </c>
      <c r="EX638" s="1861"/>
      <c r="EY638" s="1861"/>
      <c r="EZ638" s="1861"/>
      <c r="FA638" s="1861"/>
    </row>
    <row r="639" spans="1:157" ht="13" customHeight="1">
      <c r="A639" s="55" t="s">
        <v>113</v>
      </c>
      <c r="B639" t="s">
        <v>472</v>
      </c>
      <c r="G639" s="1518" t="str">
        <f>C623</f>
        <v>R4 Tax-exempt construction-to-perm loan</v>
      </c>
      <c r="H639" s="1518"/>
      <c r="I639" s="1518"/>
      <c r="J639" s="1518"/>
      <c r="K639" s="1518"/>
      <c r="L639" s="1518"/>
      <c r="M639" s="1518"/>
      <c r="N639" s="1518"/>
      <c r="O639" s="1518"/>
      <c r="P639" s="1518"/>
      <c r="Q639" s="1518"/>
      <c r="R639" s="1518"/>
      <c r="S639" s="8"/>
      <c r="T639" s="55" t="s">
        <v>114</v>
      </c>
      <c r="U639" t="s">
        <v>472</v>
      </c>
      <c r="Z639" s="1518" t="str">
        <f>C624</f>
        <v>Infill Infrastructure Grant Program (IIG) - Grant</v>
      </c>
      <c r="AA639" s="1518"/>
      <c r="AB639" s="1518"/>
      <c r="AC639" s="1518"/>
      <c r="AD639" s="1518"/>
      <c r="AE639" s="1518"/>
      <c r="AF639" s="1518"/>
      <c r="AG639" s="1518"/>
      <c r="AH639" s="1518"/>
      <c r="AI639" s="1518"/>
      <c r="AJ639" s="1518"/>
      <c r="AK639" s="1518"/>
      <c r="AZ639" s="34"/>
      <c r="BA639" s="34"/>
      <c r="BB639" s="34"/>
      <c r="BC639" s="34"/>
      <c r="BD639" s="34"/>
      <c r="BE639" s="34"/>
      <c r="BF639" s="34"/>
      <c r="BG639" s="34"/>
      <c r="BH639" s="34"/>
      <c r="BI639" s="34"/>
      <c r="BJ639" s="34"/>
      <c r="BK639" s="34"/>
      <c r="BL639" s="34"/>
      <c r="BM639" s="34"/>
      <c r="BN639" s="1513">
        <f t="shared" si="30"/>
        <v>0</v>
      </c>
      <c r="BO639" s="1514"/>
      <c r="BP639" s="1514"/>
      <c r="BQ639" s="1514"/>
      <c r="BR639" s="1515"/>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13">
        <f t="shared" si="36"/>
        <v>0</v>
      </c>
      <c r="CT639" s="1514"/>
      <c r="CU639" s="1514"/>
      <c r="CV639" s="1514"/>
      <c r="CW639" s="1515"/>
      <c r="CX639" s="1513">
        <f t="shared" si="37"/>
        <v>0</v>
      </c>
      <c r="CY639" s="1514"/>
      <c r="CZ639" s="1514"/>
      <c r="DA639" s="1514"/>
      <c r="DB639" s="1515"/>
      <c r="DC639" s="1513">
        <f t="shared" si="38"/>
        <v>0</v>
      </c>
      <c r="DD639" s="1514"/>
      <c r="DE639" s="1514"/>
      <c r="DF639" s="1514"/>
      <c r="DG639" s="1515"/>
      <c r="DH639" s="1513">
        <f t="shared" si="39"/>
        <v>0</v>
      </c>
      <c r="DI639" s="1514"/>
      <c r="DJ639" s="1514"/>
      <c r="DK639" s="1514"/>
      <c r="DL639" s="1515"/>
      <c r="DM639" s="1513">
        <f t="shared" si="40"/>
        <v>0</v>
      </c>
      <c r="DN639" s="1514"/>
      <c r="DO639" s="1514"/>
      <c r="DP639" s="1514"/>
      <c r="DQ639" s="1515"/>
      <c r="DR639" s="1513">
        <f t="shared" si="41"/>
        <v>0</v>
      </c>
      <c r="DS639" s="1514"/>
      <c r="DT639" s="1514"/>
      <c r="DU639" s="1514"/>
      <c r="DV639" s="1515"/>
      <c r="DX639" s="1861" t="e">
        <f t="shared" si="23"/>
        <v>#VALUE!</v>
      </c>
      <c r="DY639" s="1861"/>
      <c r="DZ639" s="1861"/>
      <c r="EA639" s="1861"/>
      <c r="EB639" s="1861"/>
      <c r="EC639" s="1861" t="e">
        <f t="shared" si="24"/>
        <v>#VALUE!</v>
      </c>
      <c r="ED639" s="1861"/>
      <c r="EE639" s="1861"/>
      <c r="EF639" s="1861"/>
      <c r="EG639" s="1861"/>
      <c r="EH639" s="1861" t="e">
        <f t="shared" si="25"/>
        <v>#VALUE!</v>
      </c>
      <c r="EI639" s="1861"/>
      <c r="EJ639" s="1861"/>
      <c r="EK639" s="1861"/>
      <c r="EL639" s="1861"/>
      <c r="EM639" s="1861" t="e">
        <f t="shared" si="26"/>
        <v>#VALUE!</v>
      </c>
      <c r="EN639" s="1861"/>
      <c r="EO639" s="1861"/>
      <c r="EP639" s="1861"/>
      <c r="EQ639" s="1861"/>
      <c r="ER639" s="1861" t="e">
        <f t="shared" si="27"/>
        <v>#VALUE!</v>
      </c>
      <c r="ES639" s="1861"/>
      <c r="ET639" s="1861"/>
      <c r="EU639" s="1861"/>
      <c r="EV639" s="1861"/>
      <c r="EW639" s="1861" t="e">
        <f t="shared" si="28"/>
        <v>#VALUE!</v>
      </c>
      <c r="EX639" s="1861"/>
      <c r="EY639" s="1861"/>
      <c r="EZ639" s="1861"/>
      <c r="FA639" s="1861"/>
    </row>
    <row r="640" spans="1:157" ht="13" customHeight="1">
      <c r="A640" s="22"/>
      <c r="B640" t="s">
        <v>86</v>
      </c>
      <c r="G640" s="1394" t="s">
        <v>2735</v>
      </c>
      <c r="H640" s="1394"/>
      <c r="I640" s="1394"/>
      <c r="J640" s="1394"/>
      <c r="K640" s="1394"/>
      <c r="L640" s="1394"/>
      <c r="M640" s="1394"/>
      <c r="N640" s="1394"/>
      <c r="O640" s="1394"/>
      <c r="P640" s="1394"/>
      <c r="Q640" s="1394"/>
      <c r="R640" s="1394"/>
      <c r="S640" s="8"/>
      <c r="T640" s="22"/>
      <c r="U640" t="s">
        <v>86</v>
      </c>
      <c r="Z640" s="1394" t="s">
        <v>2748</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3">
        <f t="shared" si="30"/>
        <v>0</v>
      </c>
      <c r="BO640" s="1514"/>
      <c r="BP640" s="1514"/>
      <c r="BQ640" s="1514"/>
      <c r="BR640" s="1515"/>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13">
        <f t="shared" si="36"/>
        <v>0</v>
      </c>
      <c r="CT640" s="1514"/>
      <c r="CU640" s="1514"/>
      <c r="CV640" s="1514"/>
      <c r="CW640" s="1515"/>
      <c r="CX640" s="1513">
        <f t="shared" si="37"/>
        <v>0</v>
      </c>
      <c r="CY640" s="1514"/>
      <c r="CZ640" s="1514"/>
      <c r="DA640" s="1514"/>
      <c r="DB640" s="1515"/>
      <c r="DC640" s="1513">
        <f t="shared" si="38"/>
        <v>0</v>
      </c>
      <c r="DD640" s="1514"/>
      <c r="DE640" s="1514"/>
      <c r="DF640" s="1514"/>
      <c r="DG640" s="1515"/>
      <c r="DH640" s="1513">
        <f t="shared" si="39"/>
        <v>0</v>
      </c>
      <c r="DI640" s="1514"/>
      <c r="DJ640" s="1514"/>
      <c r="DK640" s="1514"/>
      <c r="DL640" s="1515"/>
      <c r="DM640" s="1513">
        <f t="shared" si="40"/>
        <v>0</v>
      </c>
      <c r="DN640" s="1514"/>
      <c r="DO640" s="1514"/>
      <c r="DP640" s="1514"/>
      <c r="DQ640" s="1515"/>
      <c r="DR640" s="1513">
        <f t="shared" si="41"/>
        <v>0</v>
      </c>
      <c r="DS640" s="1514"/>
      <c r="DT640" s="1514"/>
      <c r="DU640" s="1514"/>
      <c r="DV640" s="1515"/>
      <c r="DX640" s="1861" t="e">
        <f t="shared" si="23"/>
        <v>#VALUE!</v>
      </c>
      <c r="DY640" s="1861"/>
      <c r="DZ640" s="1861"/>
      <c r="EA640" s="1861"/>
      <c r="EB640" s="1861"/>
      <c r="EC640" s="1861" t="e">
        <f t="shared" si="24"/>
        <v>#VALUE!</v>
      </c>
      <c r="ED640" s="1861"/>
      <c r="EE640" s="1861"/>
      <c r="EF640" s="1861"/>
      <c r="EG640" s="1861"/>
      <c r="EH640" s="1861" t="e">
        <f t="shared" si="25"/>
        <v>#VALUE!</v>
      </c>
      <c r="EI640" s="1861"/>
      <c r="EJ640" s="1861"/>
      <c r="EK640" s="1861"/>
      <c r="EL640" s="1861"/>
      <c r="EM640" s="1861" t="e">
        <f t="shared" si="26"/>
        <v>#VALUE!</v>
      </c>
      <c r="EN640" s="1861"/>
      <c r="EO640" s="1861"/>
      <c r="EP640" s="1861"/>
      <c r="EQ640" s="1861"/>
      <c r="ER640" s="1861" t="e">
        <f t="shared" si="27"/>
        <v>#VALUE!</v>
      </c>
      <c r="ES640" s="1861"/>
      <c r="ET640" s="1861"/>
      <c r="EU640" s="1861"/>
      <c r="EV640" s="1861"/>
      <c r="EW640" s="1861" t="e">
        <f t="shared" si="28"/>
        <v>#VALUE!</v>
      </c>
      <c r="EX640" s="1861"/>
      <c r="EY640" s="1861"/>
      <c r="EZ640" s="1861"/>
      <c r="FA640" s="1861"/>
    </row>
    <row r="641" spans="1:157" ht="13" customHeight="1">
      <c r="A641" s="22"/>
      <c r="B641" t="s">
        <v>589</v>
      </c>
      <c r="G641" s="1394" t="s">
        <v>2736</v>
      </c>
      <c r="H641" s="1394"/>
      <c r="I641" s="1394"/>
      <c r="J641" s="1394"/>
      <c r="K641" s="1394"/>
      <c r="L641" s="1394"/>
      <c r="M641" s="1394"/>
      <c r="N641" s="1394"/>
      <c r="O641" s="1394"/>
      <c r="P641" s="1394"/>
      <c r="Q641" s="1394"/>
      <c r="R641" s="1394"/>
      <c r="T641" s="22"/>
      <c r="U641" t="s">
        <v>589</v>
      </c>
      <c r="Z641" s="1366" t="s">
        <v>2749</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3">
        <f t="shared" si="30"/>
        <v>0</v>
      </c>
      <c r="BO641" s="1514"/>
      <c r="BP641" s="1514"/>
      <c r="BQ641" s="1514"/>
      <c r="BR641" s="1515"/>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13">
        <f t="shared" si="36"/>
        <v>0</v>
      </c>
      <c r="CT641" s="1514"/>
      <c r="CU641" s="1514"/>
      <c r="CV641" s="1514"/>
      <c r="CW641" s="1515"/>
      <c r="CX641" s="1513">
        <f t="shared" si="37"/>
        <v>0</v>
      </c>
      <c r="CY641" s="1514"/>
      <c r="CZ641" s="1514"/>
      <c r="DA641" s="1514"/>
      <c r="DB641" s="1515"/>
      <c r="DC641" s="1513">
        <f t="shared" si="38"/>
        <v>0</v>
      </c>
      <c r="DD641" s="1514"/>
      <c r="DE641" s="1514"/>
      <c r="DF641" s="1514"/>
      <c r="DG641" s="1515"/>
      <c r="DH641" s="1513">
        <f t="shared" si="39"/>
        <v>0</v>
      </c>
      <c r="DI641" s="1514"/>
      <c r="DJ641" s="1514"/>
      <c r="DK641" s="1514"/>
      <c r="DL641" s="1515"/>
      <c r="DM641" s="1513">
        <f t="shared" si="40"/>
        <v>0</v>
      </c>
      <c r="DN641" s="1514"/>
      <c r="DO641" s="1514"/>
      <c r="DP641" s="1514"/>
      <c r="DQ641" s="1515"/>
      <c r="DR641" s="1513">
        <f t="shared" si="41"/>
        <v>0</v>
      </c>
      <c r="DS641" s="1514"/>
      <c r="DT641" s="1514"/>
      <c r="DU641" s="1514"/>
      <c r="DV641" s="1515"/>
      <c r="DX641" s="1861" t="e">
        <f t="shared" si="23"/>
        <v>#VALUE!</v>
      </c>
      <c r="DY641" s="1861"/>
      <c r="DZ641" s="1861"/>
      <c r="EA641" s="1861"/>
      <c r="EB641" s="1861"/>
      <c r="EC641" s="1861" t="e">
        <f t="shared" si="24"/>
        <v>#VALUE!</v>
      </c>
      <c r="ED641" s="1861"/>
      <c r="EE641" s="1861"/>
      <c r="EF641" s="1861"/>
      <c r="EG641" s="1861"/>
      <c r="EH641" s="1861" t="e">
        <f t="shared" si="25"/>
        <v>#VALUE!</v>
      </c>
      <c r="EI641" s="1861"/>
      <c r="EJ641" s="1861"/>
      <c r="EK641" s="1861"/>
      <c r="EL641" s="1861"/>
      <c r="EM641" s="1861" t="e">
        <f t="shared" si="26"/>
        <v>#VALUE!</v>
      </c>
      <c r="EN641" s="1861"/>
      <c r="EO641" s="1861"/>
      <c r="EP641" s="1861"/>
      <c r="EQ641" s="1861"/>
      <c r="ER641" s="1861" t="e">
        <f t="shared" si="27"/>
        <v>#VALUE!</v>
      </c>
      <c r="ES641" s="1861"/>
      <c r="ET641" s="1861"/>
      <c r="EU641" s="1861"/>
      <c r="EV641" s="1861"/>
      <c r="EW641" s="1861" t="e">
        <f t="shared" si="28"/>
        <v>#VALUE!</v>
      </c>
      <c r="EX641" s="1861"/>
      <c r="EY641" s="1861"/>
      <c r="EZ641" s="1861"/>
      <c r="FA641" s="1861"/>
    </row>
    <row r="642" spans="1:157" ht="13" customHeight="1">
      <c r="A642" s="22"/>
      <c r="B642" t="s">
        <v>17</v>
      </c>
      <c r="G642" s="1394" t="s">
        <v>2737</v>
      </c>
      <c r="H642" s="1394"/>
      <c r="I642" s="1394"/>
      <c r="J642" s="1394"/>
      <c r="K642" s="1394"/>
      <c r="L642" s="1394"/>
      <c r="M642" s="1394"/>
      <c r="N642" s="1394"/>
      <c r="O642" s="1394"/>
      <c r="P642" s="1394"/>
      <c r="Q642" s="1394"/>
      <c r="R642" s="1394"/>
      <c r="S642" s="8"/>
      <c r="T642" s="22"/>
      <c r="U642" t="s">
        <v>17</v>
      </c>
      <c r="Z642" s="1366" t="s">
        <v>2750</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3">
        <f t="shared" si="30"/>
        <v>0</v>
      </c>
      <c r="BO642" s="1514"/>
      <c r="BP642" s="1514"/>
      <c r="BQ642" s="1514"/>
      <c r="BR642" s="1515"/>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13">
        <f t="shared" si="36"/>
        <v>0</v>
      </c>
      <c r="CT642" s="1514"/>
      <c r="CU642" s="1514"/>
      <c r="CV642" s="1514"/>
      <c r="CW642" s="1515"/>
      <c r="CX642" s="1513">
        <f t="shared" si="37"/>
        <v>0</v>
      </c>
      <c r="CY642" s="1514"/>
      <c r="CZ642" s="1514"/>
      <c r="DA642" s="1514"/>
      <c r="DB642" s="1515"/>
      <c r="DC642" s="1513">
        <f t="shared" si="38"/>
        <v>0</v>
      </c>
      <c r="DD642" s="1514"/>
      <c r="DE642" s="1514"/>
      <c r="DF642" s="1514"/>
      <c r="DG642" s="1515"/>
      <c r="DH642" s="1513">
        <f t="shared" si="39"/>
        <v>0</v>
      </c>
      <c r="DI642" s="1514"/>
      <c r="DJ642" s="1514"/>
      <c r="DK642" s="1514"/>
      <c r="DL642" s="1515"/>
      <c r="DM642" s="1513">
        <f t="shared" si="40"/>
        <v>0</v>
      </c>
      <c r="DN642" s="1514"/>
      <c r="DO642" s="1514"/>
      <c r="DP642" s="1514"/>
      <c r="DQ642" s="1515"/>
      <c r="DR642" s="1513">
        <f t="shared" si="41"/>
        <v>0</v>
      </c>
      <c r="DS642" s="1514"/>
      <c r="DT642" s="1514"/>
      <c r="DU642" s="1514"/>
      <c r="DV642" s="1515"/>
      <c r="DX642" s="1861" t="e">
        <f t="shared" si="23"/>
        <v>#VALUE!</v>
      </c>
      <c r="DY642" s="1861"/>
      <c r="DZ642" s="1861"/>
      <c r="EA642" s="1861"/>
      <c r="EB642" s="1861"/>
      <c r="EC642" s="1861" t="e">
        <f t="shared" si="24"/>
        <v>#VALUE!</v>
      </c>
      <c r="ED642" s="1861"/>
      <c r="EE642" s="1861"/>
      <c r="EF642" s="1861"/>
      <c r="EG642" s="1861"/>
      <c r="EH642" s="1861" t="e">
        <f t="shared" si="25"/>
        <v>#VALUE!</v>
      </c>
      <c r="EI642" s="1861"/>
      <c r="EJ642" s="1861"/>
      <c r="EK642" s="1861"/>
      <c r="EL642" s="1861"/>
      <c r="EM642" s="1861" t="e">
        <f t="shared" si="26"/>
        <v>#VALUE!</v>
      </c>
      <c r="EN642" s="1861"/>
      <c r="EO642" s="1861"/>
      <c r="EP642" s="1861"/>
      <c r="EQ642" s="1861"/>
      <c r="ER642" s="1861" t="e">
        <f t="shared" si="27"/>
        <v>#VALUE!</v>
      </c>
      <c r="ES642" s="1861"/>
      <c r="ET642" s="1861"/>
      <c r="EU642" s="1861"/>
      <c r="EV642" s="1861"/>
      <c r="EW642" s="1861" t="e">
        <f t="shared" si="28"/>
        <v>#VALUE!</v>
      </c>
      <c r="EX642" s="1861"/>
      <c r="EY642" s="1861"/>
      <c r="EZ642" s="1861"/>
      <c r="FA642" s="1861"/>
    </row>
    <row r="643" spans="1:157" ht="13" customHeight="1">
      <c r="A643" s="22"/>
      <c r="B643" t="s">
        <v>317</v>
      </c>
      <c r="G643" s="1438" t="s">
        <v>2738</v>
      </c>
      <c r="H643" s="1438"/>
      <c r="I643" s="1438"/>
      <c r="J643" s="1438"/>
      <c r="K643" s="1438"/>
      <c r="L643" s="1438"/>
      <c r="O643" s="33" t="s">
        <v>207</v>
      </c>
      <c r="P643" s="1469"/>
      <c r="Q643" s="1469"/>
      <c r="R643" s="1469"/>
      <c r="S643" s="10"/>
      <c r="T643" s="22"/>
      <c r="U643" t="s">
        <v>317</v>
      </c>
      <c r="Z643" s="1438" t="s">
        <v>2751</v>
      </c>
      <c r="AA643" s="1438"/>
      <c r="AB643" s="1438"/>
      <c r="AC643" s="1438"/>
      <c r="AD643" s="1438"/>
      <c r="AE643" s="1438"/>
      <c r="AH643" s="33" t="s">
        <v>207</v>
      </c>
      <c r="AI643" s="1469"/>
      <c r="AJ643" s="1469"/>
      <c r="AK643" s="1469"/>
      <c r="AZ643" s="34"/>
      <c r="BA643" s="34"/>
      <c r="BB643" s="34"/>
      <c r="BC643" s="34"/>
      <c r="BD643" s="34"/>
      <c r="BE643" s="34"/>
      <c r="BF643" s="34"/>
      <c r="BG643" s="34"/>
      <c r="BH643" s="34"/>
      <c r="BI643" s="34"/>
      <c r="BJ643" s="34"/>
      <c r="BK643" s="34"/>
      <c r="BL643" s="34"/>
      <c r="BM643" s="34"/>
      <c r="BN643" s="1513">
        <f t="shared" si="30"/>
        <v>0</v>
      </c>
      <c r="BO643" s="1514"/>
      <c r="BP643" s="1514"/>
      <c r="BQ643" s="1514"/>
      <c r="BR643" s="1515"/>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13">
        <f t="shared" si="36"/>
        <v>0</v>
      </c>
      <c r="CT643" s="1514"/>
      <c r="CU643" s="1514"/>
      <c r="CV643" s="1514"/>
      <c r="CW643" s="1515"/>
      <c r="CX643" s="1513">
        <f t="shared" si="37"/>
        <v>0</v>
      </c>
      <c r="CY643" s="1514"/>
      <c r="CZ643" s="1514"/>
      <c r="DA643" s="1514"/>
      <c r="DB643" s="1515"/>
      <c r="DC643" s="1513">
        <f t="shared" si="38"/>
        <v>0</v>
      </c>
      <c r="DD643" s="1514"/>
      <c r="DE643" s="1514"/>
      <c r="DF643" s="1514"/>
      <c r="DG643" s="1515"/>
      <c r="DH643" s="1513">
        <f t="shared" si="39"/>
        <v>0</v>
      </c>
      <c r="DI643" s="1514"/>
      <c r="DJ643" s="1514"/>
      <c r="DK643" s="1514"/>
      <c r="DL643" s="1515"/>
      <c r="DM643" s="1513">
        <f t="shared" si="40"/>
        <v>0</v>
      </c>
      <c r="DN643" s="1514"/>
      <c r="DO643" s="1514"/>
      <c r="DP643" s="1514"/>
      <c r="DQ643" s="1515"/>
      <c r="DR643" s="1513">
        <f t="shared" si="41"/>
        <v>0</v>
      </c>
      <c r="DS643" s="1514"/>
      <c r="DT643" s="1514"/>
      <c r="DU643" s="1514"/>
      <c r="DV643" s="1515"/>
      <c r="DX643" s="1861" t="e">
        <f t="shared" si="23"/>
        <v>#VALUE!</v>
      </c>
      <c r="DY643" s="1861"/>
      <c r="DZ643" s="1861"/>
      <c r="EA643" s="1861"/>
      <c r="EB643" s="1861"/>
      <c r="EC643" s="1861" t="e">
        <f t="shared" si="24"/>
        <v>#VALUE!</v>
      </c>
      <c r="ED643" s="1861"/>
      <c r="EE643" s="1861"/>
      <c r="EF643" s="1861"/>
      <c r="EG643" s="1861"/>
      <c r="EH643" s="1861" t="e">
        <f t="shared" si="25"/>
        <v>#VALUE!</v>
      </c>
      <c r="EI643" s="1861"/>
      <c r="EJ643" s="1861"/>
      <c r="EK643" s="1861"/>
      <c r="EL643" s="1861"/>
      <c r="EM643" s="1861" t="e">
        <f t="shared" si="26"/>
        <v>#VALUE!</v>
      </c>
      <c r="EN643" s="1861"/>
      <c r="EO643" s="1861"/>
      <c r="EP643" s="1861"/>
      <c r="EQ643" s="1861"/>
      <c r="ER643" s="1861" t="e">
        <f t="shared" si="27"/>
        <v>#VALUE!</v>
      </c>
      <c r="ES643" s="1861"/>
      <c r="ET643" s="1861"/>
      <c r="EU643" s="1861"/>
      <c r="EV643" s="1861"/>
      <c r="EW643" s="1861" t="e">
        <f t="shared" si="28"/>
        <v>#VALUE!</v>
      </c>
      <c r="EX643" s="1861"/>
      <c r="EY643" s="1861"/>
      <c r="EZ643" s="1861"/>
      <c r="FA643" s="1861"/>
    </row>
    <row r="644" spans="1:157" ht="13" customHeight="1">
      <c r="A644" s="22"/>
      <c r="B644" t="s">
        <v>18</v>
      </c>
      <c r="H644" s="1394" t="s">
        <v>2739</v>
      </c>
      <c r="I644" s="1394"/>
      <c r="J644" s="1394"/>
      <c r="K644" s="1394"/>
      <c r="L644" s="1394"/>
      <c r="M644" s="1394"/>
      <c r="N644" s="1394"/>
      <c r="O644" s="1394"/>
      <c r="P644" s="1394"/>
      <c r="Q644" s="1394"/>
      <c r="R644" s="1394"/>
      <c r="S644" s="8"/>
      <c r="T644" s="22"/>
      <c r="U644" t="s">
        <v>18</v>
      </c>
      <c r="AA644" s="1554" t="s">
        <v>2541</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502">
        <f>SUM(BN634:BR643)</f>
        <v>0</v>
      </c>
      <c r="BO644" s="1516"/>
      <c r="BP644" s="1516"/>
      <c r="BQ644" s="1516"/>
      <c r="BR644" s="1503"/>
      <c r="BS644" s="1711">
        <f>SUM(BS634:BW643)</f>
        <v>0</v>
      </c>
      <c r="BT644" s="1712"/>
      <c r="BU644" s="1712"/>
      <c r="BV644" s="1712"/>
      <c r="BW644" s="1713"/>
      <c r="BX644" s="1711">
        <f>SUM(BX634:CB643)</f>
        <v>0</v>
      </c>
      <c r="BY644" s="1712"/>
      <c r="BZ644" s="1712"/>
      <c r="CA644" s="1712"/>
      <c r="CB644" s="1713"/>
      <c r="CC644" s="1711">
        <f>SUM(CC634:CG643)</f>
        <v>0</v>
      </c>
      <c r="CD644" s="1712"/>
      <c r="CE644" s="1712"/>
      <c r="CF644" s="1712"/>
      <c r="CG644" s="1713"/>
      <c r="CH644" s="1711">
        <f>SUM(CH634:CL643)</f>
        <v>0</v>
      </c>
      <c r="CI644" s="1712"/>
      <c r="CJ644" s="1712"/>
      <c r="CK644" s="1712"/>
      <c r="CL644" s="1713"/>
      <c r="CM644" s="1711">
        <f>SUM(CM634:CQ643)</f>
        <v>0</v>
      </c>
      <c r="CN644" s="1712"/>
      <c r="CO644" s="1712"/>
      <c r="CP644" s="1712"/>
      <c r="CQ644" s="1713"/>
      <c r="CR644" s="1049"/>
      <c r="CS644" s="1709">
        <f>SUM(CS634:CW643)</f>
        <v>0</v>
      </c>
      <c r="CT644" s="1709"/>
      <c r="CU644" s="1709"/>
      <c r="CV644" s="1709"/>
      <c r="CW644" s="1709"/>
      <c r="CX644" s="1709">
        <f>SUM(CX634:DB643)</f>
        <v>0</v>
      </c>
      <c r="CY644" s="1709"/>
      <c r="CZ644" s="1709"/>
      <c r="DA644" s="1709"/>
      <c r="DB644" s="1709"/>
      <c r="DC644" s="1709">
        <f>SUM(DC634:DG643)</f>
        <v>0</v>
      </c>
      <c r="DD644" s="1709"/>
      <c r="DE644" s="1709"/>
      <c r="DF644" s="1709"/>
      <c r="DG644" s="1709"/>
      <c r="DH644" s="1709">
        <f>SUM(DH634:DL643)</f>
        <v>0</v>
      </c>
      <c r="DI644" s="1709"/>
      <c r="DJ644" s="1709"/>
      <c r="DK644" s="1709"/>
      <c r="DL644" s="1709"/>
      <c r="DM644" s="1709">
        <f>SUM(DM634:DQ643)</f>
        <v>0</v>
      </c>
      <c r="DN644" s="1709"/>
      <c r="DO644" s="1709"/>
      <c r="DP644" s="1709"/>
      <c r="DQ644" s="1709"/>
      <c r="DR644" s="1709">
        <f>SUM(DR634:DV643)</f>
        <v>0</v>
      </c>
      <c r="DS644" s="1709"/>
      <c r="DT644" s="1709"/>
      <c r="DU644" s="1709"/>
      <c r="DV644" s="1709"/>
      <c r="DX644" s="1861" t="e">
        <f t="shared" si="23"/>
        <v>#VALUE!</v>
      </c>
      <c r="DY644" s="1861"/>
      <c r="DZ644" s="1861"/>
      <c r="EA644" s="1861"/>
      <c r="EB644" s="1861"/>
      <c r="EC644" s="1861" t="e">
        <f t="shared" si="24"/>
        <v>#VALUE!</v>
      </c>
      <c r="ED644" s="1861"/>
      <c r="EE644" s="1861"/>
      <c r="EF644" s="1861"/>
      <c r="EG644" s="1861"/>
      <c r="EH644" s="1861" t="e">
        <f t="shared" si="25"/>
        <v>#VALUE!</v>
      </c>
      <c r="EI644" s="1861"/>
      <c r="EJ644" s="1861"/>
      <c r="EK644" s="1861"/>
      <c r="EL644" s="1861"/>
      <c r="EM644" s="1861" t="e">
        <f t="shared" si="26"/>
        <v>#VALUE!</v>
      </c>
      <c r="EN644" s="1861"/>
      <c r="EO644" s="1861"/>
      <c r="EP644" s="1861"/>
      <c r="EQ644" s="1861"/>
      <c r="ER644" s="1861" t="e">
        <f t="shared" si="27"/>
        <v>#VALUE!</v>
      </c>
      <c r="ES644" s="1861"/>
      <c r="ET644" s="1861"/>
      <c r="EU644" s="1861"/>
      <c r="EV644" s="1861"/>
      <c r="EW644" s="1861" t="e">
        <f t="shared" si="28"/>
        <v>#VALUE!</v>
      </c>
      <c r="EX644" s="1861"/>
      <c r="EY644" s="1861"/>
      <c r="EZ644" s="1861"/>
      <c r="FA644" s="1861"/>
    </row>
    <row r="645" spans="1:157" ht="13" customHeight="1">
      <c r="A645" s="22"/>
      <c r="B645" t="s">
        <v>20</v>
      </c>
      <c r="N645" s="1445"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1" t="e">
        <f t="shared" si="23"/>
        <v>#VALUE!</v>
      </c>
      <c r="DY645" s="1861"/>
      <c r="DZ645" s="1861"/>
      <c r="EA645" s="1861"/>
      <c r="EB645" s="1861"/>
      <c r="EC645" s="1861" t="e">
        <f t="shared" si="24"/>
        <v>#VALUE!</v>
      </c>
      <c r="ED645" s="1861"/>
      <c r="EE645" s="1861"/>
      <c r="EF645" s="1861"/>
      <c r="EG645" s="1861"/>
      <c r="EH645" s="1861" t="e">
        <f t="shared" si="25"/>
        <v>#VALUE!</v>
      </c>
      <c r="EI645" s="1861"/>
      <c r="EJ645" s="1861"/>
      <c r="EK645" s="1861"/>
      <c r="EL645" s="1861"/>
      <c r="EM645" s="1861" t="e">
        <f t="shared" si="26"/>
        <v>#VALUE!</v>
      </c>
      <c r="EN645" s="1861"/>
      <c r="EO645" s="1861"/>
      <c r="EP645" s="1861"/>
      <c r="EQ645" s="1861"/>
      <c r="ER645" s="1861" t="e">
        <f t="shared" si="27"/>
        <v>#VALUE!</v>
      </c>
      <c r="ES645" s="1861"/>
      <c r="ET645" s="1861"/>
      <c r="EU645" s="1861"/>
      <c r="EV645" s="1861"/>
      <c r="EW645" s="1861" t="e">
        <f t="shared" si="28"/>
        <v>#VALUE!</v>
      </c>
      <c r="EX645" s="1861"/>
      <c r="EY645" s="1861"/>
      <c r="EZ645" s="1861"/>
      <c r="FA645" s="1861"/>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61">
        <f>SUM(CS644:DV644)</f>
        <v>0</v>
      </c>
      <c r="DS646" s="1861"/>
      <c r="DT646" s="1861"/>
      <c r="DU646" s="1861"/>
      <c r="DV646" s="1861"/>
      <c r="DX646" s="1861" t="e">
        <f t="shared" si="23"/>
        <v>#VALUE!</v>
      </c>
      <c r="DY646" s="1861"/>
      <c r="DZ646" s="1861"/>
      <c r="EA646" s="1861"/>
      <c r="EB646" s="1861"/>
      <c r="EC646" s="1861" t="e">
        <f t="shared" si="24"/>
        <v>#VALUE!</v>
      </c>
      <c r="ED646" s="1861"/>
      <c r="EE646" s="1861"/>
      <c r="EF646" s="1861"/>
      <c r="EG646" s="1861"/>
      <c r="EH646" s="1861" t="e">
        <f t="shared" si="25"/>
        <v>#VALUE!</v>
      </c>
      <c r="EI646" s="1861"/>
      <c r="EJ646" s="1861"/>
      <c r="EK646" s="1861"/>
      <c r="EL646" s="1861"/>
      <c r="EM646" s="1861" t="e">
        <f t="shared" si="26"/>
        <v>#VALUE!</v>
      </c>
      <c r="EN646" s="1861"/>
      <c r="EO646" s="1861"/>
      <c r="EP646" s="1861"/>
      <c r="EQ646" s="1861"/>
      <c r="ER646" s="1861" t="e">
        <f t="shared" si="27"/>
        <v>#VALUE!</v>
      </c>
      <c r="ES646" s="1861"/>
      <c r="ET646" s="1861"/>
      <c r="EU646" s="1861"/>
      <c r="EV646" s="1861"/>
      <c r="EW646" s="1861" t="e">
        <f t="shared" si="28"/>
        <v>#VALUE!</v>
      </c>
      <c r="EX646" s="1861"/>
      <c r="EY646" s="1861"/>
      <c r="EZ646" s="1861"/>
      <c r="FA646" s="1861"/>
    </row>
    <row r="647" spans="1:157" ht="13" customHeight="1">
      <c r="A647" s="55" t="s">
        <v>120</v>
      </c>
      <c r="B647" t="s">
        <v>472</v>
      </c>
      <c r="G647" s="1518" t="str">
        <f>C625</f>
        <v>Deferred Developer Fee</v>
      </c>
      <c r="H647" s="1518"/>
      <c r="I647" s="1518"/>
      <c r="J647" s="1518"/>
      <c r="K647" s="1518"/>
      <c r="L647" s="1518"/>
      <c r="M647" s="1518"/>
      <c r="N647" s="1518"/>
      <c r="O647" s="1518"/>
      <c r="P647" s="1518"/>
      <c r="Q647" s="1518"/>
      <c r="R647" s="1518"/>
      <c r="T647" s="55" t="s">
        <v>590</v>
      </c>
      <c r="U647" t="s">
        <v>472</v>
      </c>
      <c r="Z647" s="1518">
        <f>C626</f>
        <v>0</v>
      </c>
      <c r="AA647" s="1518"/>
      <c r="AB647" s="1518"/>
      <c r="AC647" s="1518"/>
      <c r="AD647" s="1518"/>
      <c r="AE647" s="1518"/>
      <c r="AF647" s="1518"/>
      <c r="AG647" s="1518"/>
      <c r="AH647" s="1518"/>
      <c r="AI647" s="1518"/>
      <c r="AJ647" s="1518"/>
      <c r="AK647" s="1518"/>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61" t="e">
        <f t="shared" si="23"/>
        <v>#VALUE!</v>
      </c>
      <c r="DY647" s="1861"/>
      <c r="DZ647" s="1861"/>
      <c r="EA647" s="1861"/>
      <c r="EB647" s="1861"/>
      <c r="EC647" s="1861" t="e">
        <f t="shared" si="24"/>
        <v>#VALUE!</v>
      </c>
      <c r="ED647" s="1861"/>
      <c r="EE647" s="1861"/>
      <c r="EF647" s="1861"/>
      <c r="EG647" s="1861"/>
      <c r="EH647" s="1861" t="e">
        <f t="shared" si="25"/>
        <v>#VALUE!</v>
      </c>
      <c r="EI647" s="1861"/>
      <c r="EJ647" s="1861"/>
      <c r="EK647" s="1861"/>
      <c r="EL647" s="1861"/>
      <c r="EM647" s="1861" t="e">
        <f t="shared" si="26"/>
        <v>#VALUE!</v>
      </c>
      <c r="EN647" s="1861"/>
      <c r="EO647" s="1861"/>
      <c r="EP647" s="1861"/>
      <c r="EQ647" s="1861"/>
      <c r="ER647" s="1861" t="e">
        <f t="shared" si="27"/>
        <v>#VALUE!</v>
      </c>
      <c r="ES647" s="1861"/>
      <c r="ET647" s="1861"/>
      <c r="EU647" s="1861"/>
      <c r="EV647" s="1861"/>
      <c r="EW647" s="1861" t="e">
        <f t="shared" si="28"/>
        <v>#VALUE!</v>
      </c>
      <c r="EX647" s="1861"/>
      <c r="EY647" s="1861"/>
      <c r="EZ647" s="1861"/>
      <c r="FA647" s="1861"/>
    </row>
    <row r="648" spans="1:157" ht="13" customHeight="1">
      <c r="A648" s="22"/>
      <c r="B648" t="s">
        <v>86</v>
      </c>
      <c r="G648" s="1394" t="s">
        <v>2640</v>
      </c>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1" t="e">
        <f t="shared" si="23"/>
        <v>#VALUE!</v>
      </c>
      <c r="DY648" s="1861"/>
      <c r="DZ648" s="1861"/>
      <c r="EA648" s="1861"/>
      <c r="EB648" s="1861"/>
      <c r="EC648" s="1861" t="e">
        <f t="shared" si="24"/>
        <v>#VALUE!</v>
      </c>
      <c r="ED648" s="1861"/>
      <c r="EE648" s="1861"/>
      <c r="EF648" s="1861"/>
      <c r="EG648" s="1861"/>
      <c r="EH648" s="1861" t="e">
        <f t="shared" si="25"/>
        <v>#VALUE!</v>
      </c>
      <c r="EI648" s="1861"/>
      <c r="EJ648" s="1861"/>
      <c r="EK648" s="1861"/>
      <c r="EL648" s="1861"/>
      <c r="EM648" s="1861" t="e">
        <f t="shared" si="26"/>
        <v>#VALUE!</v>
      </c>
      <c r="EN648" s="1861"/>
      <c r="EO648" s="1861"/>
      <c r="EP648" s="1861"/>
      <c r="EQ648" s="1861"/>
      <c r="ER648" s="1861" t="e">
        <f t="shared" si="27"/>
        <v>#VALUE!</v>
      </c>
      <c r="ES648" s="1861"/>
      <c r="ET648" s="1861"/>
      <c r="EU648" s="1861"/>
      <c r="EV648" s="1861"/>
      <c r="EW648" s="1861" t="e">
        <f t="shared" si="28"/>
        <v>#VALUE!</v>
      </c>
      <c r="EX648" s="1861"/>
      <c r="EY648" s="1861"/>
      <c r="EZ648" s="1861"/>
      <c r="FA648" s="1861"/>
    </row>
    <row r="649" spans="1:157" ht="13" customHeight="1">
      <c r="A649" s="22"/>
      <c r="B649" t="s">
        <v>589</v>
      </c>
      <c r="G649" s="1366" t="s">
        <v>2660</v>
      </c>
      <c r="H649" s="1366"/>
      <c r="I649" s="1366"/>
      <c r="J649" s="1366"/>
      <c r="K649" s="1366"/>
      <c r="L649" s="1366"/>
      <c r="M649" s="1366"/>
      <c r="N649" s="1366"/>
      <c r="O649" s="1366"/>
      <c r="P649" s="1366"/>
      <c r="Q649" s="1366"/>
      <c r="R649" s="1366"/>
      <c r="T649" s="22"/>
      <c r="U649" t="s">
        <v>589</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11">
        <f>BN621+BN630+BN644</f>
        <v>0</v>
      </c>
      <c r="BO649" s="1712"/>
      <c r="BP649" s="1712"/>
      <c r="BQ649" s="1712"/>
      <c r="BR649" s="1713"/>
      <c r="BS649" s="1711">
        <f>BS621+BS630+BS644</f>
        <v>1</v>
      </c>
      <c r="BT649" s="1712"/>
      <c r="BU649" s="1712"/>
      <c r="BV649" s="1712"/>
      <c r="BW649" s="1713"/>
      <c r="BX649" s="1711">
        <f>BX621+BX630+BX644</f>
        <v>17</v>
      </c>
      <c r="BY649" s="1712"/>
      <c r="BZ649" s="1712"/>
      <c r="CA649" s="1712"/>
      <c r="CB649" s="1713"/>
      <c r="CC649" s="1711">
        <f>CC621+CC630+CC644</f>
        <v>0</v>
      </c>
      <c r="CD649" s="1712"/>
      <c r="CE649" s="1712"/>
      <c r="CF649" s="1712"/>
      <c r="CG649" s="1713"/>
      <c r="CH649" s="1711">
        <f>CH621+CH630+CH644</f>
        <v>0</v>
      </c>
      <c r="CI649" s="1712"/>
      <c r="CJ649" s="1712"/>
      <c r="CK649" s="1712"/>
      <c r="CL649" s="1713"/>
      <c r="CM649" s="1419">
        <f>CM644+CM630+CM621</f>
        <v>0</v>
      </c>
      <c r="CN649" s="1857"/>
      <c r="CO649" s="1857"/>
      <c r="CP649" s="1857"/>
      <c r="CQ649" s="1420"/>
      <c r="CR649" s="3"/>
      <c r="CS649" s="897">
        <f>CS623+CS647</f>
        <v>34</v>
      </c>
      <c r="CT649" s="57" t="s">
        <v>2127</v>
      </c>
      <c r="CU649" s="3"/>
      <c r="CV649" s="3"/>
      <c r="CW649" s="3"/>
      <c r="CX649" s="3"/>
      <c r="CY649" s="3"/>
      <c r="CZ649" s="3"/>
      <c r="DA649" s="3"/>
      <c r="DB649" s="3"/>
      <c r="DC649" s="3"/>
      <c r="DD649" s="3"/>
      <c r="DE649" s="3"/>
      <c r="DF649" s="3"/>
      <c r="DX649" s="1861">
        <f>SUMIF(DX624:EB648,"&gt;0")</f>
        <v>0</v>
      </c>
      <c r="DY649" s="1861"/>
      <c r="DZ649" s="1861"/>
      <c r="EA649" s="1861"/>
      <c r="EB649" s="1861"/>
      <c r="EC649" s="1861">
        <f>SUMIF(EC624:EG648,"&gt;0")</f>
        <v>0</v>
      </c>
      <c r="ED649" s="1861"/>
      <c r="EE649" s="1861"/>
      <c r="EF649" s="1861"/>
      <c r="EG649" s="1861"/>
      <c r="EH649" s="1861">
        <f>SUMIF(EH624:EL648,"&gt;0")</f>
        <v>653</v>
      </c>
      <c r="EI649" s="1861"/>
      <c r="EJ649" s="1861"/>
      <c r="EK649" s="1861"/>
      <c r="EL649" s="1861"/>
      <c r="EM649" s="1861">
        <f>SUMIF(EM624:EQ648,"&gt;0")</f>
        <v>0</v>
      </c>
      <c r="EN649" s="1861"/>
      <c r="EO649" s="1861"/>
      <c r="EP649" s="1861"/>
      <c r="EQ649" s="1861"/>
      <c r="ER649" s="1861">
        <f>SUMIF(ER624:EV648,"&gt;0")</f>
        <v>0</v>
      </c>
      <c r="ES649" s="1861"/>
      <c r="ET649" s="1861"/>
      <c r="EU649" s="1861"/>
      <c r="EV649" s="1861"/>
      <c r="EW649" s="1861">
        <f>SUMIF(EW624:FA648,"&gt;0")</f>
        <v>0</v>
      </c>
      <c r="EX649" s="1861"/>
      <c r="EY649" s="1861"/>
      <c r="EZ649" s="1861"/>
      <c r="FA649" s="1861"/>
    </row>
    <row r="650" spans="1:157" ht="13" customHeight="1">
      <c r="A650" s="22"/>
      <c r="B650" t="s">
        <v>17</v>
      </c>
      <c r="G650" s="1366" t="s">
        <v>2740</v>
      </c>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438" t="s">
        <v>2644</v>
      </c>
      <c r="H651" s="1438"/>
      <c r="I651" s="1438"/>
      <c r="J651" s="1438"/>
      <c r="K651" s="1438"/>
      <c r="L651" s="1438"/>
      <c r="O651" s="33" t="s">
        <v>207</v>
      </c>
      <c r="P651" s="1469"/>
      <c r="Q651" s="1469"/>
      <c r="R651" s="1469"/>
      <c r="T651" s="22"/>
      <c r="U651" t="s">
        <v>317</v>
      </c>
      <c r="Z651" s="1438"/>
      <c r="AA651" s="1438"/>
      <c r="AB651" s="1438"/>
      <c r="AC651" s="1438"/>
      <c r="AD651" s="1438"/>
      <c r="AE651" s="1438"/>
      <c r="AH651" s="33" t="s">
        <v>207</v>
      </c>
      <c r="AI651" s="1469"/>
      <c r="AJ651" s="1469"/>
      <c r="AK651" s="146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4" t="s">
        <v>2741</v>
      </c>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554</v>
      </c>
      <c r="O653" s="1373"/>
      <c r="T653" s="22"/>
      <c r="U653" t="s">
        <v>20</v>
      </c>
      <c r="AG653" s="1373" t="s">
        <v>678</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18">
        <f>C627</f>
        <v>0</v>
      </c>
      <c r="H655" s="1518"/>
      <c r="I655" s="1518"/>
      <c r="J655" s="1518"/>
      <c r="K655" s="1518"/>
      <c r="L655" s="1518"/>
      <c r="M655" s="1518"/>
      <c r="N655" s="1518"/>
      <c r="O655" s="1518"/>
      <c r="P655" s="1518"/>
      <c r="Q655" s="1518"/>
      <c r="R655" s="1518"/>
      <c r="T655" s="55" t="s">
        <v>593</v>
      </c>
      <c r="U655" t="s">
        <v>472</v>
      </c>
      <c r="Z655" s="1518">
        <f>C628</f>
        <v>0</v>
      </c>
      <c r="AA655" s="1518"/>
      <c r="AB655" s="1518"/>
      <c r="AC655" s="1518"/>
      <c r="AD655" s="1518"/>
      <c r="AE655" s="1518"/>
      <c r="AF655" s="1518"/>
      <c r="AG655" s="1518"/>
      <c r="AH655" s="1518"/>
      <c r="AI655" s="1518"/>
      <c r="AJ655" s="1518"/>
      <c r="AK655" s="1518"/>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2230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4"/>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si="42"/>
        <v>2230</v>
      </c>
      <c r="BB657" s="3"/>
      <c r="BC657" s="3"/>
      <c r="BD657" s="3"/>
      <c r="BE657" s="3"/>
      <c r="BF657" s="218"/>
      <c r="BG657" s="315">
        <f t="shared" ref="BG657:BG681" si="43">G714</f>
        <v>8</v>
      </c>
      <c r="BH657" s="319">
        <f>BG657/$BG$682</f>
        <v>0.47058823529411764</v>
      </c>
      <c r="BI657" s="320">
        <f t="shared" ref="BI657:BI681" si="44">IF(BH657=0," ",BH657*AC714)</f>
        <v>0.14117647058823529</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t="str">
        <f t="shared" si="42"/>
        <v>N/A</v>
      </c>
      <c r="BB658" s="3"/>
      <c r="BC658" s="3"/>
      <c r="BD658" s="3"/>
      <c r="BE658" s="3"/>
      <c r="BF658" s="218"/>
      <c r="BG658" s="316">
        <f t="shared" si="43"/>
        <v>9</v>
      </c>
      <c r="BH658" s="319">
        <f t="shared" ref="BH658:BH681" si="45">BG658/$BG$682</f>
        <v>0.52941176470588236</v>
      </c>
      <c r="BI658" s="320">
        <f t="shared" si="44"/>
        <v>0.1588235294117647</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438"/>
      <c r="H659" s="1438"/>
      <c r="I659" s="1438"/>
      <c r="J659" s="1438"/>
      <c r="K659" s="1438"/>
      <c r="L659" s="1438"/>
      <c r="O659" s="33" t="s">
        <v>207</v>
      </c>
      <c r="P659" s="1469"/>
      <c r="Q659" s="1469"/>
      <c r="R659" s="1469"/>
      <c r="T659" s="22"/>
      <c r="U659" t="s">
        <v>317</v>
      </c>
      <c r="Z659" s="1438"/>
      <c r="AA659" s="1438"/>
      <c r="AB659" s="1438"/>
      <c r="AC659" s="1438"/>
      <c r="AD659" s="1438"/>
      <c r="AE659" s="1438"/>
      <c r="AH659" s="33" t="s">
        <v>207</v>
      </c>
      <c r="AI659" s="1469"/>
      <c r="AJ659" s="1469"/>
      <c r="AK659" s="1469"/>
      <c r="AZ659" s="3"/>
      <c r="BA659" s="118" t="str">
        <f t="shared" si="42"/>
        <v>N/A</v>
      </c>
      <c r="BB659" s="3"/>
      <c r="BC659" s="3"/>
      <c r="BD659" s="3"/>
      <c r="BE659" s="3"/>
      <c r="BF659" s="218"/>
      <c r="BG659" s="316">
        <f t="shared" si="43"/>
        <v>0</v>
      </c>
      <c r="BH659" s="319">
        <f t="shared" si="45"/>
        <v>0</v>
      </c>
      <c r="BI659" s="320" t="str">
        <f t="shared" si="44"/>
        <v xml:space="preserve"> </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678</v>
      </c>
      <c r="O661" s="1373"/>
      <c r="T661" s="22"/>
      <c r="U661" t="s">
        <v>20</v>
      </c>
      <c r="AG661" s="1373" t="s">
        <v>678</v>
      </c>
      <c r="AH661" s="137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8">
        <f>C629</f>
        <v>0</v>
      </c>
      <c r="H663" s="1518"/>
      <c r="I663" s="1518"/>
      <c r="J663" s="1518"/>
      <c r="K663" s="1518"/>
      <c r="L663" s="1518"/>
      <c r="M663" s="1518"/>
      <c r="N663" s="1518"/>
      <c r="O663" s="1518"/>
      <c r="P663" s="1518"/>
      <c r="Q663" s="1518"/>
      <c r="R663" s="1518"/>
      <c r="T663" s="55" t="s">
        <v>465</v>
      </c>
      <c r="U663" t="s">
        <v>472</v>
      </c>
      <c r="Z663" s="1518">
        <f>C630</f>
        <v>0</v>
      </c>
      <c r="AA663" s="1518"/>
      <c r="AB663" s="1518"/>
      <c r="AC663" s="1518"/>
      <c r="AD663" s="1518"/>
      <c r="AE663" s="1518"/>
      <c r="AF663" s="1518"/>
      <c r="AG663" s="1518"/>
      <c r="AH663" s="1518"/>
      <c r="AI663" s="1518"/>
      <c r="AJ663" s="1518"/>
      <c r="AK663" s="1518"/>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438"/>
      <c r="H667" s="1438"/>
      <c r="I667" s="1438"/>
      <c r="J667" s="1438"/>
      <c r="K667" s="1438"/>
      <c r="L667" s="1438"/>
      <c r="O667" s="33" t="s">
        <v>207</v>
      </c>
      <c r="P667" s="1469"/>
      <c r="Q667" s="1469"/>
      <c r="R667" s="1469"/>
      <c r="T667" s="22"/>
      <c r="U667" t="s">
        <v>317</v>
      </c>
      <c r="Z667" s="1438"/>
      <c r="AA667" s="1438"/>
      <c r="AB667" s="1438"/>
      <c r="AC667" s="1438"/>
      <c r="AD667" s="1438"/>
      <c r="AE667" s="1438"/>
      <c r="AH667" s="33" t="s">
        <v>207</v>
      </c>
      <c r="AI667" s="1469"/>
      <c r="AJ667" s="1469"/>
      <c r="AK667" s="1469"/>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8">
        <f>C631</f>
        <v>0</v>
      </c>
      <c r="H671" s="1518"/>
      <c r="I671" s="1518"/>
      <c r="J671" s="1518"/>
      <c r="K671" s="1518"/>
      <c r="L671" s="1518"/>
      <c r="M671" s="1518"/>
      <c r="N671" s="1518"/>
      <c r="O671" s="1518"/>
      <c r="P671" s="1518"/>
      <c r="Q671" s="1518"/>
      <c r="R671" s="1518"/>
      <c r="T671" s="55" t="s">
        <v>655</v>
      </c>
      <c r="U671" t="s">
        <v>472</v>
      </c>
      <c r="Z671" s="1518">
        <f>C632</f>
        <v>0</v>
      </c>
      <c r="AA671" s="1518"/>
      <c r="AB671" s="1518"/>
      <c r="AC671" s="1518"/>
      <c r="AD671" s="1518"/>
      <c r="AE671" s="1518"/>
      <c r="AF671" s="1518"/>
      <c r="AG671" s="1518"/>
      <c r="AH671" s="1518"/>
      <c r="AI671" s="1518"/>
      <c r="AJ671" s="1518"/>
      <c r="AK671" s="151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438"/>
      <c r="H675" s="1438"/>
      <c r="I675" s="1438"/>
      <c r="J675" s="1438"/>
      <c r="K675" s="1438"/>
      <c r="L675" s="1438"/>
      <c r="O675" s="33" t="s">
        <v>207</v>
      </c>
      <c r="P675" s="1469"/>
      <c r="Q675" s="1469"/>
      <c r="R675" s="1469"/>
      <c r="T675" s="22"/>
      <c r="U675" t="s">
        <v>317</v>
      </c>
      <c r="Z675" s="1438"/>
      <c r="AA675" s="1438"/>
      <c r="AB675" s="1438"/>
      <c r="AC675" s="1438"/>
      <c r="AD675" s="1438"/>
      <c r="AE675" s="1438"/>
      <c r="AH675" s="33" t="s">
        <v>207</v>
      </c>
      <c r="AI675" s="1469"/>
      <c r="AJ675" s="1469"/>
      <c r="AK675" s="1469"/>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518">
        <f>C633</f>
        <v>0</v>
      </c>
      <c r="H679" s="1518"/>
      <c r="I679" s="1518"/>
      <c r="J679" s="1518"/>
      <c r="K679" s="1518"/>
      <c r="L679" s="1518"/>
      <c r="M679" s="1518"/>
      <c r="N679" s="1518"/>
      <c r="O679" s="1518"/>
      <c r="P679" s="1518"/>
      <c r="Q679" s="1518"/>
      <c r="R679" s="1518"/>
      <c r="T679" s="55" t="s">
        <v>364</v>
      </c>
      <c r="U679" t="s">
        <v>472</v>
      </c>
      <c r="Z679" s="1518">
        <f>C634</f>
        <v>0</v>
      </c>
      <c r="AA679" s="1518"/>
      <c r="AB679" s="1518"/>
      <c r="AC679" s="1518"/>
      <c r="AD679" s="1518"/>
      <c r="AE679" s="1518"/>
      <c r="AF679" s="1518"/>
      <c r="AG679" s="1518"/>
      <c r="AH679" s="1518"/>
      <c r="AI679" s="1518"/>
      <c r="AJ679" s="1518"/>
      <c r="AK679" s="151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17</v>
      </c>
      <c r="BH682" s="322">
        <f>SUM(BH657:BH681)</f>
        <v>1</v>
      </c>
      <c r="BI682" s="322">
        <f>SUM(BI657:BI681)</f>
        <v>0.3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438"/>
      <c r="H683" s="1438"/>
      <c r="I683" s="1438"/>
      <c r="J683" s="1438"/>
      <c r="K683" s="1438"/>
      <c r="L683" s="1438"/>
      <c r="O683" s="33" t="s">
        <v>207</v>
      </c>
      <c r="P683" s="1469"/>
      <c r="Q683" s="1469"/>
      <c r="R683" s="1469"/>
      <c r="U683" t="s">
        <v>317</v>
      </c>
      <c r="Z683" s="1438"/>
      <c r="AA683" s="1438"/>
      <c r="AB683" s="1438"/>
      <c r="AC683" s="1438"/>
      <c r="AD683" s="1438"/>
      <c r="AE683" s="1438"/>
      <c r="AH683" s="33" t="s">
        <v>207</v>
      </c>
      <c r="AI683" s="1469"/>
      <c r="AJ683" s="1469"/>
      <c r="AK683" s="1469"/>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8</v>
      </c>
      <c r="BH689" s="319">
        <f>BG689/$BG$714</f>
        <v>0.47058823529411764</v>
      </c>
      <c r="BI689" s="320">
        <f t="shared" ref="BI689:BI713" si="47">IF(BH689=0," ",BH689*AH714)</f>
        <v>0.14117647058823529</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3" t="s">
        <v>678</v>
      </c>
      <c r="AF690" s="1373"/>
      <c r="AZ690" s="34"/>
      <c r="BA690" s="34"/>
      <c r="BB690" s="34"/>
      <c r="BC690" s="34"/>
      <c r="BD690" s="34"/>
      <c r="BE690" s="34"/>
      <c r="BF690" s="34"/>
      <c r="BG690" s="316">
        <f t="shared" si="46"/>
        <v>9</v>
      </c>
      <c r="BH690" s="319">
        <f t="shared" ref="BH690:BH713" si="48">BG690/$BG$714</f>
        <v>0.52941176470588236</v>
      </c>
      <c r="BI690" s="320">
        <f t="shared" si="47"/>
        <v>0.1588235294117647</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5">
        <v>44964</v>
      </c>
      <c r="AF691" s="1545"/>
      <c r="AG691" s="1545"/>
      <c r="AH691" s="1545"/>
      <c r="AI691" s="1545"/>
      <c r="AZ691" s="34"/>
      <c r="BA691" s="34"/>
      <c r="BB691" s="34"/>
      <c r="BC691" s="34"/>
      <c r="BD691" s="34"/>
      <c r="BE691" s="3"/>
      <c r="BF691" s="3"/>
      <c r="BG691" s="316">
        <f t="shared" si="46"/>
        <v>0</v>
      </c>
      <c r="BH691" s="319">
        <f t="shared" si="48"/>
        <v>0</v>
      </c>
      <c r="BI691" s="320" t="str">
        <f t="shared" si="47"/>
        <v xml:space="preserve"> </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31">
        <f>AE691</f>
        <v>44964</v>
      </c>
      <c r="AF692" s="1731"/>
      <c r="AG692" s="1731"/>
      <c r="AH692" s="1731"/>
      <c r="AI692" s="1731"/>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5">
        <f>AE692+90+180</f>
        <v>45234</v>
      </c>
      <c r="AF694" s="1545"/>
      <c r="AG694" s="1545"/>
      <c r="AH694" s="1545"/>
      <c r="AI694" s="1545"/>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710">
        <v>0.55000000000000004</v>
      </c>
      <c r="AF695" s="1710"/>
      <c r="AG695" s="1710"/>
      <c r="AH695" s="1710"/>
      <c r="AI695" s="1710"/>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8" t="str">
        <f>H334</f>
        <v>California Municipal Finance Authority</v>
      </c>
      <c r="X696" s="1518"/>
      <c r="Y696" s="1518"/>
      <c r="Z696" s="1518"/>
      <c r="AA696" s="1518"/>
      <c r="AB696" s="1518"/>
      <c r="AC696" s="1518"/>
      <c r="AD696" s="1518"/>
      <c r="AE696" s="1518"/>
      <c r="AF696" s="1518"/>
      <c r="AG696" s="1518"/>
      <c r="AH696" s="1518"/>
      <c r="AI696" s="1518"/>
      <c r="AJ696" s="1518"/>
      <c r="AK696" s="1518"/>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3" t="s">
        <v>678</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554" t="s">
        <v>600</v>
      </c>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554" t="s">
        <v>600</v>
      </c>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575" t="s">
        <v>600</v>
      </c>
      <c r="K701" s="1438"/>
      <c r="L701" s="1438"/>
      <c r="M701" s="1438"/>
      <c r="N701" s="1438"/>
      <c r="O701" s="1438"/>
      <c r="P701" s="4" t="s">
        <v>207</v>
      </c>
      <c r="Q701" s="4"/>
      <c r="R701" s="1469" t="s">
        <v>600</v>
      </c>
      <c r="S701" s="1469"/>
      <c r="T701" s="1469"/>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4" t="s">
        <v>308</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554" t="s">
        <v>600</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9" t="s">
        <v>390</v>
      </c>
      <c r="C710" s="1490"/>
      <c r="D710" s="1490"/>
      <c r="E710" s="1490"/>
      <c r="F710" s="1491"/>
      <c r="G710" s="1489" t="s">
        <v>286</v>
      </c>
      <c r="H710" s="1490"/>
      <c r="I710" s="1490"/>
      <c r="J710" s="1491"/>
      <c r="K710" s="1504" t="s">
        <v>1939</v>
      </c>
      <c r="L710" s="1505"/>
      <c r="M710" s="1505"/>
      <c r="N710" s="1506"/>
      <c r="O710" s="1489" t="s">
        <v>456</v>
      </c>
      <c r="P710" s="1490"/>
      <c r="Q710" s="1490"/>
      <c r="R710" s="1490"/>
      <c r="S710" s="1491"/>
      <c r="T710" s="1581" t="s">
        <v>2336</v>
      </c>
      <c r="U710" s="1490"/>
      <c r="V710" s="1490"/>
      <c r="W710" s="1491"/>
      <c r="X710" s="1581" t="s">
        <v>2338</v>
      </c>
      <c r="Y710" s="1490"/>
      <c r="Z710" s="1490"/>
      <c r="AA710" s="1490"/>
      <c r="AB710" s="1491"/>
      <c r="AC710" s="1581" t="s">
        <v>2337</v>
      </c>
      <c r="AD710" s="1490"/>
      <c r="AE710" s="1490"/>
      <c r="AF710" s="1490"/>
      <c r="AG710" s="1491"/>
      <c r="AH710" s="1581" t="s">
        <v>2339</v>
      </c>
      <c r="AI710" s="1490"/>
      <c r="AJ710" s="1491"/>
      <c r="AK710" s="1581" t="s">
        <v>2373</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2"/>
      <c r="C711" s="1493"/>
      <c r="D711" s="1493"/>
      <c r="E711" s="1493"/>
      <c r="F711" s="1494"/>
      <c r="G711" s="1492"/>
      <c r="H711" s="1493"/>
      <c r="I711" s="1493"/>
      <c r="J711" s="1494"/>
      <c r="K711" s="1507"/>
      <c r="L711" s="1508"/>
      <c r="M711" s="1508"/>
      <c r="N711" s="1509"/>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2"/>
      <c r="C712" s="1493"/>
      <c r="D712" s="1493"/>
      <c r="E712" s="1493"/>
      <c r="F712" s="1494"/>
      <c r="G712" s="1492"/>
      <c r="H712" s="1493"/>
      <c r="I712" s="1493"/>
      <c r="J712" s="1494"/>
      <c r="K712" s="1507"/>
      <c r="L712" s="1508"/>
      <c r="M712" s="1508"/>
      <c r="N712" s="1509"/>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5"/>
      <c r="C713" s="1496"/>
      <c r="D713" s="1496"/>
      <c r="E713" s="1496"/>
      <c r="F713" s="1497"/>
      <c r="G713" s="1495"/>
      <c r="H713" s="1496"/>
      <c r="I713" s="1496"/>
      <c r="J713" s="1497"/>
      <c r="K713" s="1507"/>
      <c r="L713" s="1508"/>
      <c r="M713" s="1508"/>
      <c r="N713" s="1509"/>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164</v>
      </c>
      <c r="C714" s="1380"/>
      <c r="D714" s="1380"/>
      <c r="E714" s="1380"/>
      <c r="F714" s="1381"/>
      <c r="G714" s="1486">
        <v>8</v>
      </c>
      <c r="H714" s="1487"/>
      <c r="I714" s="1487"/>
      <c r="J714" s="1488"/>
      <c r="K714" s="1483">
        <v>872</v>
      </c>
      <c r="L714" s="1484"/>
      <c r="M714" s="1484"/>
      <c r="N714" s="1485"/>
      <c r="O714" s="1480">
        <f>669-T714</f>
        <v>653</v>
      </c>
      <c r="P714" s="1481"/>
      <c r="Q714" s="1481"/>
      <c r="R714" s="1481"/>
      <c r="S714" s="1482"/>
      <c r="T714" s="1480">
        <v>16</v>
      </c>
      <c r="U714" s="1481"/>
      <c r="V714" s="1481"/>
      <c r="W714" s="1482"/>
      <c r="X714" s="1498">
        <f t="shared" ref="X714:X738" si="49">O714+T714</f>
        <v>669</v>
      </c>
      <c r="Y714" s="1499"/>
      <c r="Z714" s="1499"/>
      <c r="AA714" s="1499"/>
      <c r="AB714" s="1500"/>
      <c r="AC714" s="1582">
        <v>0.3</v>
      </c>
      <c r="AD714" s="1583"/>
      <c r="AE714" s="1583"/>
      <c r="AF714" s="1583"/>
      <c r="AG714" s="1584"/>
      <c r="AH714" s="1578">
        <f t="shared" ref="AH714:AH738" si="50">IF($AC714&gt;0,($X714/$BA656), " ")</f>
        <v>0.3</v>
      </c>
      <c r="AI714" s="1579"/>
      <c r="AJ714" s="1580"/>
      <c r="AK714" s="1379" t="s">
        <v>1104</v>
      </c>
      <c r="AL714" s="1380"/>
      <c r="AM714" s="1380"/>
      <c r="AN714" s="1380"/>
      <c r="AO714" s="1381"/>
      <c r="AP714" s="3"/>
      <c r="AQ714" s="3"/>
      <c r="AR714" s="3"/>
      <c r="AS714" s="3"/>
      <c r="AY714" s="1134"/>
      <c r="AZ714" s="1134"/>
      <c r="BA714" s="1134"/>
      <c r="BB714" s="1134"/>
      <c r="BC714" s="1134"/>
      <c r="BD714" s="3"/>
      <c r="BE714" s="3"/>
      <c r="BF714" s="3"/>
      <c r="BG714" s="895">
        <f>SUM(BG689:BG713)</f>
        <v>17</v>
      </c>
      <c r="BH714" s="322">
        <f>SUM(BH689:BH713)</f>
        <v>1</v>
      </c>
      <c r="BI714" s="322">
        <f>SUM(BI689:BI713)</f>
        <v>0.3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164</v>
      </c>
      <c r="C715" s="1380"/>
      <c r="D715" s="1380"/>
      <c r="E715" s="1380"/>
      <c r="F715" s="1381"/>
      <c r="G715" s="1486">
        <v>9</v>
      </c>
      <c r="H715" s="1487"/>
      <c r="I715" s="1487"/>
      <c r="J715" s="1488"/>
      <c r="K715" s="1483">
        <v>872</v>
      </c>
      <c r="L715" s="1484"/>
      <c r="M715" s="1484"/>
      <c r="N715" s="1485"/>
      <c r="O715" s="1480">
        <f>669-T715</f>
        <v>653</v>
      </c>
      <c r="P715" s="1481"/>
      <c r="Q715" s="1481"/>
      <c r="R715" s="1481"/>
      <c r="S715" s="1482"/>
      <c r="T715" s="1480">
        <v>16</v>
      </c>
      <c r="U715" s="1481"/>
      <c r="V715" s="1481"/>
      <c r="W715" s="1482"/>
      <c r="X715" s="1498">
        <f t="shared" si="49"/>
        <v>669</v>
      </c>
      <c r="Y715" s="1499"/>
      <c r="Z715" s="1499"/>
      <c r="AA715" s="1499"/>
      <c r="AB715" s="1500"/>
      <c r="AC715" s="1582">
        <v>0.3</v>
      </c>
      <c r="AD715" s="1583"/>
      <c r="AE715" s="1583"/>
      <c r="AF715" s="1583"/>
      <c r="AG715" s="1584"/>
      <c r="AH715" s="1578">
        <f t="shared" si="50"/>
        <v>0.3</v>
      </c>
      <c r="AI715" s="1579"/>
      <c r="AJ715" s="1580"/>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c r="C716" s="1380"/>
      <c r="D716" s="1380"/>
      <c r="E716" s="1380"/>
      <c r="F716" s="1381"/>
      <c r="G716" s="1486"/>
      <c r="H716" s="1487"/>
      <c r="I716" s="1487"/>
      <c r="J716" s="1488"/>
      <c r="K716" s="1483"/>
      <c r="L716" s="1484"/>
      <c r="M716" s="1484"/>
      <c r="N716" s="1485"/>
      <c r="O716" s="1480"/>
      <c r="P716" s="1481"/>
      <c r="Q716" s="1481"/>
      <c r="R716" s="1481"/>
      <c r="S716" s="1482"/>
      <c r="T716" s="1480"/>
      <c r="U716" s="1481"/>
      <c r="V716" s="1481"/>
      <c r="W716" s="1482"/>
      <c r="X716" s="1498">
        <f t="shared" si="49"/>
        <v>0</v>
      </c>
      <c r="Y716" s="1499"/>
      <c r="Z716" s="1499"/>
      <c r="AA716" s="1499"/>
      <c r="AB716" s="1500"/>
      <c r="AC716" s="1582"/>
      <c r="AD716" s="1583"/>
      <c r="AE716" s="1583"/>
      <c r="AF716" s="1583"/>
      <c r="AG716" s="1584"/>
      <c r="AH716" s="1578" t="str">
        <f t="shared" si="50"/>
        <v xml:space="preserve"> </v>
      </c>
      <c r="AI716" s="1579"/>
      <c r="AJ716" s="1580"/>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c r="C717" s="1380"/>
      <c r="D717" s="1380"/>
      <c r="E717" s="1380"/>
      <c r="F717" s="1381"/>
      <c r="G717" s="1486"/>
      <c r="H717" s="1487"/>
      <c r="I717" s="1487"/>
      <c r="J717" s="1488"/>
      <c r="K717" s="1483"/>
      <c r="L717" s="1484"/>
      <c r="M717" s="1484"/>
      <c r="N717" s="1485"/>
      <c r="O717" s="1480"/>
      <c r="P717" s="1481"/>
      <c r="Q717" s="1481"/>
      <c r="R717" s="1481"/>
      <c r="S717" s="1482"/>
      <c r="T717" s="1480"/>
      <c r="U717" s="1481"/>
      <c r="V717" s="1481"/>
      <c r="W717" s="1482"/>
      <c r="X717" s="1498">
        <f t="shared" si="49"/>
        <v>0</v>
      </c>
      <c r="Y717" s="1499"/>
      <c r="Z717" s="1499"/>
      <c r="AA717" s="1499"/>
      <c r="AB717" s="1500"/>
      <c r="AC717" s="1582"/>
      <c r="AD717" s="1583"/>
      <c r="AE717" s="1583"/>
      <c r="AF717" s="1583"/>
      <c r="AG717" s="1584"/>
      <c r="AH717" s="1578" t="str">
        <f t="shared" si="50"/>
        <v xml:space="preserve"> </v>
      </c>
      <c r="AI717" s="1579"/>
      <c r="AJ717" s="1580"/>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c r="C718" s="1380"/>
      <c r="D718" s="1380"/>
      <c r="E718" s="1380"/>
      <c r="F718" s="1381"/>
      <c r="G718" s="1486"/>
      <c r="H718" s="1487"/>
      <c r="I718" s="1487"/>
      <c r="J718" s="1488"/>
      <c r="K718" s="1483"/>
      <c r="L718" s="1484"/>
      <c r="M718" s="1484"/>
      <c r="N718" s="1485"/>
      <c r="O718" s="1480"/>
      <c r="P718" s="1481"/>
      <c r="Q718" s="1481"/>
      <c r="R718" s="1481"/>
      <c r="S718" s="1482"/>
      <c r="T718" s="1480"/>
      <c r="U718" s="1481"/>
      <c r="V718" s="1481"/>
      <c r="W718" s="1482"/>
      <c r="X718" s="1498">
        <f t="shared" si="49"/>
        <v>0</v>
      </c>
      <c r="Y718" s="1499"/>
      <c r="Z718" s="1499"/>
      <c r="AA718" s="1499"/>
      <c r="AB718" s="1500"/>
      <c r="AC718" s="1582"/>
      <c r="AD718" s="1583"/>
      <c r="AE718" s="1583"/>
      <c r="AF718" s="1583"/>
      <c r="AG718" s="1584"/>
      <c r="AH718" s="1578" t="str">
        <f t="shared" si="50"/>
        <v xml:space="preserve"> </v>
      </c>
      <c r="AI718" s="1579"/>
      <c r="AJ718" s="1580"/>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c r="C719" s="1380"/>
      <c r="D719" s="1380"/>
      <c r="E719" s="1380"/>
      <c r="F719" s="1381"/>
      <c r="G719" s="1486"/>
      <c r="H719" s="1487"/>
      <c r="I719" s="1487"/>
      <c r="J719" s="1488"/>
      <c r="K719" s="1483"/>
      <c r="L719" s="1484"/>
      <c r="M719" s="1484"/>
      <c r="N719" s="1485"/>
      <c r="O719" s="1480"/>
      <c r="P719" s="1481"/>
      <c r="Q719" s="1481"/>
      <c r="R719" s="1481"/>
      <c r="S719" s="1482"/>
      <c r="T719" s="1480"/>
      <c r="U719" s="1481"/>
      <c r="V719" s="1481"/>
      <c r="W719" s="1482"/>
      <c r="X719" s="1498">
        <f t="shared" si="49"/>
        <v>0</v>
      </c>
      <c r="Y719" s="1499"/>
      <c r="Z719" s="1499"/>
      <c r="AA719" s="1499"/>
      <c r="AB719" s="1500"/>
      <c r="AC719" s="1582"/>
      <c r="AD719" s="1583"/>
      <c r="AE719" s="1583"/>
      <c r="AF719" s="1583"/>
      <c r="AG719" s="1584"/>
      <c r="AH719" s="1578" t="str">
        <f t="shared" si="50"/>
        <v xml:space="preserve"> </v>
      </c>
      <c r="AI719" s="1579"/>
      <c r="AJ719" s="1580"/>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c r="C720" s="1380"/>
      <c r="D720" s="1380"/>
      <c r="E720" s="1380"/>
      <c r="F720" s="1381"/>
      <c r="G720" s="1486"/>
      <c r="H720" s="1487"/>
      <c r="I720" s="1487"/>
      <c r="J720" s="1488"/>
      <c r="K720" s="1483"/>
      <c r="L720" s="1484"/>
      <c r="M720" s="1484"/>
      <c r="N720" s="1485"/>
      <c r="O720" s="1480"/>
      <c r="P720" s="1481"/>
      <c r="Q720" s="1481"/>
      <c r="R720" s="1481"/>
      <c r="S720" s="1482"/>
      <c r="T720" s="1480"/>
      <c r="U720" s="1481"/>
      <c r="V720" s="1481"/>
      <c r="W720" s="1482"/>
      <c r="X720" s="1498">
        <f t="shared" si="49"/>
        <v>0</v>
      </c>
      <c r="Y720" s="1499"/>
      <c r="Z720" s="1499"/>
      <c r="AA720" s="1499"/>
      <c r="AB720" s="1500"/>
      <c r="AC720" s="1582"/>
      <c r="AD720" s="1583"/>
      <c r="AE720" s="1583"/>
      <c r="AF720" s="1583"/>
      <c r="AG720" s="1584"/>
      <c r="AH720" s="1578" t="str">
        <f t="shared" si="50"/>
        <v xml:space="preserve"> </v>
      </c>
      <c r="AI720" s="1579"/>
      <c r="AJ720" s="1580"/>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c r="C721" s="1380"/>
      <c r="D721" s="1380"/>
      <c r="E721" s="1380"/>
      <c r="F721" s="1381"/>
      <c r="G721" s="1486"/>
      <c r="H721" s="1487"/>
      <c r="I721" s="1487"/>
      <c r="J721" s="1488"/>
      <c r="K721" s="1483"/>
      <c r="L721" s="1484"/>
      <c r="M721" s="1484"/>
      <c r="N721" s="1485"/>
      <c r="O721" s="1480"/>
      <c r="P721" s="1481"/>
      <c r="Q721" s="1481"/>
      <c r="R721" s="1481"/>
      <c r="S721" s="1482"/>
      <c r="T721" s="1480"/>
      <c r="U721" s="1481"/>
      <c r="V721" s="1481"/>
      <c r="W721" s="1482"/>
      <c r="X721" s="1498">
        <f t="shared" si="49"/>
        <v>0</v>
      </c>
      <c r="Y721" s="1499"/>
      <c r="Z721" s="1499"/>
      <c r="AA721" s="1499"/>
      <c r="AB721" s="1500"/>
      <c r="AC721" s="1582"/>
      <c r="AD721" s="1583"/>
      <c r="AE721" s="1583"/>
      <c r="AF721" s="1583"/>
      <c r="AG721" s="1584"/>
      <c r="AH721" s="1578" t="str">
        <f t="shared" si="50"/>
        <v xml:space="preserve"> </v>
      </c>
      <c r="AI721" s="1579"/>
      <c r="AJ721" s="1580"/>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86"/>
      <c r="H722" s="1487"/>
      <c r="I722" s="1487"/>
      <c r="J722" s="1488"/>
      <c r="K722" s="1483"/>
      <c r="L722" s="1484"/>
      <c r="M722" s="1484"/>
      <c r="N722" s="1485"/>
      <c r="O722" s="1480"/>
      <c r="P722" s="1481"/>
      <c r="Q722" s="1481"/>
      <c r="R722" s="1481"/>
      <c r="S722" s="1482"/>
      <c r="T722" s="1480"/>
      <c r="U722" s="1481"/>
      <c r="V722" s="1481"/>
      <c r="W722" s="1482"/>
      <c r="X722" s="1498">
        <f t="shared" si="49"/>
        <v>0</v>
      </c>
      <c r="Y722" s="1499"/>
      <c r="Z722" s="1499"/>
      <c r="AA722" s="1499"/>
      <c r="AB722" s="1500"/>
      <c r="AC722" s="1582"/>
      <c r="AD722" s="1583"/>
      <c r="AE722" s="1583"/>
      <c r="AF722" s="1583"/>
      <c r="AG722" s="1584"/>
      <c r="AH722" s="1578" t="str">
        <f t="shared" si="50"/>
        <v xml:space="preserve"> </v>
      </c>
      <c r="AI722" s="1579"/>
      <c r="AJ722" s="1580"/>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86"/>
      <c r="H723" s="1487"/>
      <c r="I723" s="1487"/>
      <c r="J723" s="1488"/>
      <c r="K723" s="1483"/>
      <c r="L723" s="1484"/>
      <c r="M723" s="1484"/>
      <c r="N723" s="1485"/>
      <c r="O723" s="1480"/>
      <c r="P723" s="1481"/>
      <c r="Q723" s="1481"/>
      <c r="R723" s="1481"/>
      <c r="S723" s="1482"/>
      <c r="T723" s="1480"/>
      <c r="U723" s="1481"/>
      <c r="V723" s="1481"/>
      <c r="W723" s="1482"/>
      <c r="X723" s="1498">
        <f t="shared" si="49"/>
        <v>0</v>
      </c>
      <c r="Y723" s="1499"/>
      <c r="Z723" s="1499"/>
      <c r="AA723" s="1499"/>
      <c r="AB723" s="1500"/>
      <c r="AC723" s="1582"/>
      <c r="AD723" s="1583"/>
      <c r="AE723" s="1583"/>
      <c r="AF723" s="1583"/>
      <c r="AG723" s="1584"/>
      <c r="AH723" s="1578" t="str">
        <f t="shared" si="50"/>
        <v xml:space="preserve"> </v>
      </c>
      <c r="AI723" s="1579"/>
      <c r="AJ723" s="1580"/>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86"/>
      <c r="H724" s="1487"/>
      <c r="I724" s="1487"/>
      <c r="J724" s="1488"/>
      <c r="K724" s="1483"/>
      <c r="L724" s="1484"/>
      <c r="M724" s="1484"/>
      <c r="N724" s="1485"/>
      <c r="O724" s="1480"/>
      <c r="P724" s="1481"/>
      <c r="Q724" s="1481"/>
      <c r="R724" s="1481"/>
      <c r="S724" s="1482"/>
      <c r="T724" s="1480"/>
      <c r="U724" s="1481"/>
      <c r="V724" s="1481"/>
      <c r="W724" s="1482"/>
      <c r="X724" s="1498">
        <f t="shared" si="49"/>
        <v>0</v>
      </c>
      <c r="Y724" s="1499"/>
      <c r="Z724" s="1499"/>
      <c r="AA724" s="1499"/>
      <c r="AB724" s="1500"/>
      <c r="AC724" s="1582"/>
      <c r="AD724" s="1583"/>
      <c r="AE724" s="1583"/>
      <c r="AF724" s="1583"/>
      <c r="AG724" s="1584"/>
      <c r="AH724" s="1578" t="str">
        <f t="shared" si="50"/>
        <v xml:space="preserve"> </v>
      </c>
      <c r="AI724" s="1579"/>
      <c r="AJ724" s="1580"/>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86"/>
      <c r="H725" s="1487"/>
      <c r="I725" s="1487"/>
      <c r="J725" s="1488"/>
      <c r="K725" s="1483"/>
      <c r="L725" s="1484"/>
      <c r="M725" s="1484"/>
      <c r="N725" s="1485"/>
      <c r="O725" s="1480"/>
      <c r="P725" s="1481"/>
      <c r="Q725" s="1481"/>
      <c r="R725" s="1481"/>
      <c r="S725" s="1482"/>
      <c r="T725" s="1480"/>
      <c r="U725" s="1481"/>
      <c r="V725" s="1481"/>
      <c r="W725" s="1482"/>
      <c r="X725" s="1498">
        <f t="shared" si="49"/>
        <v>0</v>
      </c>
      <c r="Y725" s="1499"/>
      <c r="Z725" s="1499"/>
      <c r="AA725" s="1499"/>
      <c r="AB725" s="1500"/>
      <c r="AC725" s="1582"/>
      <c r="AD725" s="1583"/>
      <c r="AE725" s="1583"/>
      <c r="AF725" s="1583"/>
      <c r="AG725" s="1584"/>
      <c r="AH725" s="1578" t="str">
        <f t="shared" si="50"/>
        <v xml:space="preserve"> </v>
      </c>
      <c r="AI725" s="1579"/>
      <c r="AJ725" s="1580"/>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6"/>
      <c r="H726" s="1487"/>
      <c r="I726" s="1487"/>
      <c r="J726" s="1488"/>
      <c r="K726" s="1483"/>
      <c r="L726" s="1484"/>
      <c r="M726" s="1484"/>
      <c r="N726" s="1485"/>
      <c r="O726" s="1480"/>
      <c r="P726" s="1481"/>
      <c r="Q726" s="1481"/>
      <c r="R726" s="1481"/>
      <c r="S726" s="1482"/>
      <c r="T726" s="1480"/>
      <c r="U726" s="1481"/>
      <c r="V726" s="1481"/>
      <c r="W726" s="1482"/>
      <c r="X726" s="1498">
        <f t="shared" si="49"/>
        <v>0</v>
      </c>
      <c r="Y726" s="1499"/>
      <c r="Z726" s="1499"/>
      <c r="AA726" s="1499"/>
      <c r="AB726" s="1500"/>
      <c r="AC726" s="1582"/>
      <c r="AD726" s="1583"/>
      <c r="AE726" s="1583"/>
      <c r="AF726" s="1583"/>
      <c r="AG726" s="1584"/>
      <c r="AH726" s="1578" t="str">
        <f t="shared" si="50"/>
        <v xml:space="preserve"> </v>
      </c>
      <c r="AI726" s="1579"/>
      <c r="AJ726" s="1580"/>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6"/>
      <c r="H727" s="1487"/>
      <c r="I727" s="1487"/>
      <c r="J727" s="1488"/>
      <c r="K727" s="1483"/>
      <c r="L727" s="1484"/>
      <c r="M727" s="1484"/>
      <c r="N727" s="1485"/>
      <c r="O727" s="1480"/>
      <c r="P727" s="1481"/>
      <c r="Q727" s="1481"/>
      <c r="R727" s="1481"/>
      <c r="S727" s="1482"/>
      <c r="T727" s="1480"/>
      <c r="U727" s="1481"/>
      <c r="V727" s="1481"/>
      <c r="W727" s="1482"/>
      <c r="X727" s="1498">
        <f t="shared" si="49"/>
        <v>0</v>
      </c>
      <c r="Y727" s="1499"/>
      <c r="Z727" s="1499"/>
      <c r="AA727" s="1499"/>
      <c r="AB727" s="1500"/>
      <c r="AC727" s="1582">
        <v>0</v>
      </c>
      <c r="AD727" s="1583"/>
      <c r="AE727" s="1583"/>
      <c r="AF727" s="1583"/>
      <c r="AG727" s="1584"/>
      <c r="AH727" s="1578" t="str">
        <f t="shared" si="50"/>
        <v xml:space="preserve"> </v>
      </c>
      <c r="AI727" s="1579"/>
      <c r="AJ727" s="1580"/>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6"/>
      <c r="H728" s="1487"/>
      <c r="I728" s="1487"/>
      <c r="J728" s="1488"/>
      <c r="K728" s="1483"/>
      <c r="L728" s="1484"/>
      <c r="M728" s="1484"/>
      <c r="N728" s="1485"/>
      <c r="O728" s="1480"/>
      <c r="P728" s="1481"/>
      <c r="Q728" s="1481"/>
      <c r="R728" s="1481"/>
      <c r="S728" s="1482"/>
      <c r="T728" s="1480"/>
      <c r="U728" s="1481"/>
      <c r="V728" s="1481"/>
      <c r="W728" s="1482"/>
      <c r="X728" s="1498">
        <f t="shared" si="49"/>
        <v>0</v>
      </c>
      <c r="Y728" s="1499"/>
      <c r="Z728" s="1499"/>
      <c r="AA728" s="1499"/>
      <c r="AB728" s="1500"/>
      <c r="AC728" s="1582">
        <v>0</v>
      </c>
      <c r="AD728" s="1583"/>
      <c r="AE728" s="1583"/>
      <c r="AF728" s="1583"/>
      <c r="AG728" s="1584"/>
      <c r="AH728" s="1578" t="str">
        <f t="shared" si="50"/>
        <v xml:space="preserve"> </v>
      </c>
      <c r="AI728" s="1579"/>
      <c r="AJ728" s="1580"/>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6"/>
      <c r="H729" s="1487"/>
      <c r="I729" s="1487"/>
      <c r="J729" s="1488"/>
      <c r="K729" s="1483"/>
      <c r="L729" s="1484"/>
      <c r="M729" s="1484"/>
      <c r="N729" s="1485"/>
      <c r="O729" s="1480"/>
      <c r="P729" s="1481"/>
      <c r="Q729" s="1481"/>
      <c r="R729" s="1481"/>
      <c r="S729" s="1482"/>
      <c r="T729" s="1480"/>
      <c r="U729" s="1481"/>
      <c r="V729" s="1481"/>
      <c r="W729" s="1482"/>
      <c r="X729" s="1498">
        <f t="shared" si="49"/>
        <v>0</v>
      </c>
      <c r="Y729" s="1499"/>
      <c r="Z729" s="1499"/>
      <c r="AA729" s="1499"/>
      <c r="AB729" s="1500"/>
      <c r="AC729" s="1582">
        <v>0</v>
      </c>
      <c r="AD729" s="1583"/>
      <c r="AE729" s="1583"/>
      <c r="AF729" s="1583"/>
      <c r="AG729" s="1584"/>
      <c r="AH729" s="1578" t="str">
        <f t="shared" si="50"/>
        <v xml:space="preserve"> </v>
      </c>
      <c r="AI729" s="1579"/>
      <c r="AJ729" s="1580"/>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6"/>
      <c r="H730" s="1487"/>
      <c r="I730" s="1487"/>
      <c r="J730" s="1488"/>
      <c r="K730" s="1483"/>
      <c r="L730" s="1484"/>
      <c r="M730" s="1484"/>
      <c r="N730" s="1485"/>
      <c r="O730" s="1480"/>
      <c r="P730" s="1481"/>
      <c r="Q730" s="1481"/>
      <c r="R730" s="1481"/>
      <c r="S730" s="1482"/>
      <c r="T730" s="1480"/>
      <c r="U730" s="1481"/>
      <c r="V730" s="1481"/>
      <c r="W730" s="1482"/>
      <c r="X730" s="1498">
        <f t="shared" si="49"/>
        <v>0</v>
      </c>
      <c r="Y730" s="1499"/>
      <c r="Z730" s="1499"/>
      <c r="AA730" s="1499"/>
      <c r="AB730" s="1500"/>
      <c r="AC730" s="1582">
        <v>0</v>
      </c>
      <c r="AD730" s="1583"/>
      <c r="AE730" s="1583"/>
      <c r="AF730" s="1583"/>
      <c r="AG730" s="1584"/>
      <c r="AH730" s="1578" t="str">
        <f t="shared" si="50"/>
        <v xml:space="preserve"> </v>
      </c>
      <c r="AI730" s="1579"/>
      <c r="AJ730" s="1580"/>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6"/>
      <c r="H731" s="1487"/>
      <c r="I731" s="1487"/>
      <c r="J731" s="1488"/>
      <c r="K731" s="1483"/>
      <c r="L731" s="1484"/>
      <c r="M731" s="1484"/>
      <c r="N731" s="1485"/>
      <c r="O731" s="1480"/>
      <c r="P731" s="1481"/>
      <c r="Q731" s="1481"/>
      <c r="R731" s="1481"/>
      <c r="S731" s="1482"/>
      <c r="T731" s="1480"/>
      <c r="U731" s="1481"/>
      <c r="V731" s="1481"/>
      <c r="W731" s="1482"/>
      <c r="X731" s="1498">
        <f t="shared" si="49"/>
        <v>0</v>
      </c>
      <c r="Y731" s="1499"/>
      <c r="Z731" s="1499"/>
      <c r="AA731" s="1499"/>
      <c r="AB731" s="1500"/>
      <c r="AC731" s="1582">
        <v>0</v>
      </c>
      <c r="AD731" s="1583"/>
      <c r="AE731" s="1583"/>
      <c r="AF731" s="1583"/>
      <c r="AG731" s="1584"/>
      <c r="AH731" s="1578" t="str">
        <f t="shared" si="50"/>
        <v xml:space="preserve"> </v>
      </c>
      <c r="AI731" s="1579"/>
      <c r="AJ731" s="1580"/>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6"/>
      <c r="H732" s="1487"/>
      <c r="I732" s="1487"/>
      <c r="J732" s="1488"/>
      <c r="K732" s="1483"/>
      <c r="L732" s="1484"/>
      <c r="M732" s="1484"/>
      <c r="N732" s="1485"/>
      <c r="O732" s="1480"/>
      <c r="P732" s="1481"/>
      <c r="Q732" s="1481"/>
      <c r="R732" s="1481"/>
      <c r="S732" s="1482"/>
      <c r="T732" s="1480"/>
      <c r="U732" s="1481"/>
      <c r="V732" s="1481"/>
      <c r="W732" s="1482"/>
      <c r="X732" s="1498">
        <f t="shared" si="49"/>
        <v>0</v>
      </c>
      <c r="Y732" s="1499"/>
      <c r="Z732" s="1499"/>
      <c r="AA732" s="1499"/>
      <c r="AB732" s="1500"/>
      <c r="AC732" s="1582">
        <v>0</v>
      </c>
      <c r="AD732" s="1583"/>
      <c r="AE732" s="1583"/>
      <c r="AF732" s="1583"/>
      <c r="AG732" s="1584"/>
      <c r="AH732" s="1578" t="str">
        <f t="shared" si="50"/>
        <v xml:space="preserve"> </v>
      </c>
      <c r="AI732" s="1579"/>
      <c r="AJ732" s="1580"/>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6"/>
      <c r="H733" s="1487"/>
      <c r="I733" s="1487"/>
      <c r="J733" s="1488"/>
      <c r="K733" s="1483"/>
      <c r="L733" s="1484"/>
      <c r="M733" s="1484"/>
      <c r="N733" s="1485"/>
      <c r="O733" s="1480"/>
      <c r="P733" s="1481"/>
      <c r="Q733" s="1481"/>
      <c r="R733" s="1481"/>
      <c r="S733" s="1482"/>
      <c r="T733" s="1480"/>
      <c r="U733" s="1481"/>
      <c r="V733" s="1481"/>
      <c r="W733" s="1482"/>
      <c r="X733" s="1498">
        <f t="shared" si="49"/>
        <v>0</v>
      </c>
      <c r="Y733" s="1499"/>
      <c r="Z733" s="1499"/>
      <c r="AA733" s="1499"/>
      <c r="AB733" s="1500"/>
      <c r="AC733" s="1582">
        <v>0</v>
      </c>
      <c r="AD733" s="1583"/>
      <c r="AE733" s="1583"/>
      <c r="AF733" s="1583"/>
      <c r="AG733" s="1584"/>
      <c r="AH733" s="1578" t="str">
        <f t="shared" si="50"/>
        <v xml:space="preserve"> </v>
      </c>
      <c r="AI733" s="1579"/>
      <c r="AJ733" s="1580"/>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6"/>
      <c r="H734" s="1487"/>
      <c r="I734" s="1487"/>
      <c r="J734" s="1488"/>
      <c r="K734" s="1483"/>
      <c r="L734" s="1484"/>
      <c r="M734" s="1484"/>
      <c r="N734" s="1485"/>
      <c r="O734" s="1480"/>
      <c r="P734" s="1481"/>
      <c r="Q734" s="1481"/>
      <c r="R734" s="1481"/>
      <c r="S734" s="1482"/>
      <c r="T734" s="1480"/>
      <c r="U734" s="1481"/>
      <c r="V734" s="1481"/>
      <c r="W734" s="1482"/>
      <c r="X734" s="1498">
        <f t="shared" si="49"/>
        <v>0</v>
      </c>
      <c r="Y734" s="1499"/>
      <c r="Z734" s="1499"/>
      <c r="AA734" s="1499"/>
      <c r="AB734" s="1500"/>
      <c r="AC734" s="1582">
        <v>0</v>
      </c>
      <c r="AD734" s="1583"/>
      <c r="AE734" s="1583"/>
      <c r="AF734" s="1583"/>
      <c r="AG734" s="1584"/>
      <c r="AH734" s="1578" t="str">
        <f t="shared" si="50"/>
        <v xml:space="preserve"> </v>
      </c>
      <c r="AI734" s="1579"/>
      <c r="AJ734" s="1580"/>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6"/>
      <c r="H735" s="1487"/>
      <c r="I735" s="1487"/>
      <c r="J735" s="1488"/>
      <c r="K735" s="1483"/>
      <c r="L735" s="1484"/>
      <c r="M735" s="1484"/>
      <c r="N735" s="1485"/>
      <c r="O735" s="1480"/>
      <c r="P735" s="1481"/>
      <c r="Q735" s="1481"/>
      <c r="R735" s="1481"/>
      <c r="S735" s="1482"/>
      <c r="T735" s="1480"/>
      <c r="U735" s="1481"/>
      <c r="V735" s="1481"/>
      <c r="W735" s="1482"/>
      <c r="X735" s="1498">
        <f t="shared" si="49"/>
        <v>0</v>
      </c>
      <c r="Y735" s="1499"/>
      <c r="Z735" s="1499"/>
      <c r="AA735" s="1499"/>
      <c r="AB735" s="1500"/>
      <c r="AC735" s="1582">
        <v>0</v>
      </c>
      <c r="AD735" s="1583"/>
      <c r="AE735" s="1583"/>
      <c r="AF735" s="1583"/>
      <c r="AG735" s="1584"/>
      <c r="AH735" s="1578" t="str">
        <f t="shared" si="50"/>
        <v xml:space="preserve"> </v>
      </c>
      <c r="AI735" s="1579"/>
      <c r="AJ735" s="1580"/>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6"/>
      <c r="H736" s="1487"/>
      <c r="I736" s="1487"/>
      <c r="J736" s="1488"/>
      <c r="K736" s="1483"/>
      <c r="L736" s="1484"/>
      <c r="M736" s="1484"/>
      <c r="N736" s="1485"/>
      <c r="O736" s="1480"/>
      <c r="P736" s="1481"/>
      <c r="Q736" s="1481"/>
      <c r="R736" s="1481"/>
      <c r="S736" s="1482"/>
      <c r="T736" s="1480"/>
      <c r="U736" s="1481"/>
      <c r="V736" s="1481"/>
      <c r="W736" s="1482"/>
      <c r="X736" s="1498">
        <f t="shared" si="49"/>
        <v>0</v>
      </c>
      <c r="Y736" s="1499"/>
      <c r="Z736" s="1499"/>
      <c r="AA736" s="1499"/>
      <c r="AB736" s="1500"/>
      <c r="AC736" s="1582">
        <v>0</v>
      </c>
      <c r="AD736" s="1583"/>
      <c r="AE736" s="1583"/>
      <c r="AF736" s="1583"/>
      <c r="AG736" s="1584"/>
      <c r="AH736" s="1578" t="str">
        <f t="shared" si="50"/>
        <v xml:space="preserve"> </v>
      </c>
      <c r="AI736" s="1579"/>
      <c r="AJ736" s="1580"/>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6"/>
      <c r="H737" s="1487"/>
      <c r="I737" s="1487"/>
      <c r="J737" s="1488"/>
      <c r="K737" s="1483"/>
      <c r="L737" s="1484"/>
      <c r="M737" s="1484"/>
      <c r="N737" s="1485"/>
      <c r="O737" s="1480"/>
      <c r="P737" s="1481"/>
      <c r="Q737" s="1481"/>
      <c r="R737" s="1481"/>
      <c r="S737" s="1482"/>
      <c r="T737" s="1480"/>
      <c r="U737" s="1481"/>
      <c r="V737" s="1481"/>
      <c r="W737" s="1482"/>
      <c r="X737" s="1498">
        <f t="shared" si="49"/>
        <v>0</v>
      </c>
      <c r="Y737" s="1499"/>
      <c r="Z737" s="1499"/>
      <c r="AA737" s="1499"/>
      <c r="AB737" s="1500"/>
      <c r="AC737" s="1582">
        <v>0</v>
      </c>
      <c r="AD737" s="1583"/>
      <c r="AE737" s="1583"/>
      <c r="AF737" s="1583"/>
      <c r="AG737" s="1584"/>
      <c r="AH737" s="1578" t="str">
        <f t="shared" si="50"/>
        <v xml:space="preserve"> </v>
      </c>
      <c r="AI737" s="1579"/>
      <c r="AJ737" s="1580"/>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6"/>
      <c r="H738" s="1487"/>
      <c r="I738" s="1487"/>
      <c r="J738" s="1488"/>
      <c r="K738" s="1483"/>
      <c r="L738" s="1484"/>
      <c r="M738" s="1484"/>
      <c r="N738" s="1485"/>
      <c r="O738" s="1480"/>
      <c r="P738" s="1481"/>
      <c r="Q738" s="1481"/>
      <c r="R738" s="1481"/>
      <c r="S738" s="1482"/>
      <c r="T738" s="1480"/>
      <c r="U738" s="1481"/>
      <c r="V738" s="1481"/>
      <c r="W738" s="1482"/>
      <c r="X738" s="1498">
        <f t="shared" si="49"/>
        <v>0</v>
      </c>
      <c r="Y738" s="1499"/>
      <c r="Z738" s="1499"/>
      <c r="AA738" s="1499"/>
      <c r="AB738" s="1500"/>
      <c r="AC738" s="1582">
        <v>0</v>
      </c>
      <c r="AD738" s="1583"/>
      <c r="AE738" s="1583"/>
      <c r="AF738" s="1583"/>
      <c r="AG738" s="1584"/>
      <c r="AH738" s="1578" t="str">
        <f t="shared" si="50"/>
        <v xml:space="preserve"> </v>
      </c>
      <c r="AI738" s="1579"/>
      <c r="AJ738" s="1580"/>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5" t="s">
        <v>126</v>
      </c>
      <c r="C739" s="1526"/>
      <c r="D739" s="1526"/>
      <c r="E739" s="1526"/>
      <c r="F739" s="1528"/>
      <c r="G739" s="1762">
        <f>SUM(G714:J738)</f>
        <v>17</v>
      </c>
      <c r="H739" s="1763"/>
      <c r="I739" s="1763"/>
      <c r="J739" s="1764"/>
      <c r="K739" s="939" t="s">
        <v>125</v>
      </c>
      <c r="L739" s="5"/>
      <c r="M739" s="5"/>
      <c r="N739" s="46"/>
      <c r="O739" s="1498">
        <f>SUMPRODUCT(G714:G738,O714:O738)</f>
        <v>11101</v>
      </c>
      <c r="P739" s="1499"/>
      <c r="Q739" s="1499"/>
      <c r="R739" s="1499"/>
      <c r="S739" s="1500"/>
      <c r="X739" s="941" t="s">
        <v>933</v>
      </c>
      <c r="Y739" s="940"/>
      <c r="Z739" s="940"/>
      <c r="AA739" s="940"/>
      <c r="AB739" s="942"/>
      <c r="AC739" s="1706">
        <f>BI682</f>
        <v>0.3</v>
      </c>
      <c r="AD739" s="1707"/>
      <c r="AE739" s="1707"/>
      <c r="AF739" s="1707"/>
      <c r="AG739" s="1708"/>
      <c r="AH739" s="1706">
        <f>BI714</f>
        <v>0.3</v>
      </c>
      <c r="AI739" s="1707"/>
      <c r="AJ739" s="170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1" t="s">
        <v>2258</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698">
        <f>CS623</f>
        <v>34</v>
      </c>
      <c r="P742" s="1698"/>
      <c r="Q742" s="1698"/>
      <c r="R742" s="1698"/>
      <c r="S742" s="1006"/>
      <c r="T742" s="1006"/>
      <c r="U742" s="118" t="s">
        <v>2257</v>
      </c>
      <c r="V742" s="1076"/>
      <c r="W742" s="1076"/>
      <c r="X742" s="1076"/>
      <c r="Y742" s="1077"/>
      <c r="Z742" s="1077"/>
      <c r="AA742" s="1077"/>
      <c r="AB742" s="1077"/>
      <c r="AC742" s="1076"/>
      <c r="AD742" s="1076"/>
      <c r="AE742" s="1076"/>
      <c r="AF742" s="1076"/>
      <c r="AG742" s="1699"/>
      <c r="AH742" s="1699"/>
      <c r="AI742" s="1699"/>
      <c r="AJ742" s="1699"/>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7" t="s">
        <v>600</v>
      </c>
      <c r="AE744" s="1577"/>
      <c r="AF744" s="157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9" t="s">
        <v>390</v>
      </c>
      <c r="K754" s="1490"/>
      <c r="L754" s="1490"/>
      <c r="M754" s="1490"/>
      <c r="N754" s="1491"/>
      <c r="O754" s="1697" t="s">
        <v>286</v>
      </c>
      <c r="P754" s="1697"/>
      <c r="Q754" s="1697"/>
      <c r="R754" s="1697"/>
      <c r="S754" s="1697"/>
      <c r="T754" s="1504" t="s">
        <v>1939</v>
      </c>
      <c r="U754" s="1505"/>
      <c r="V754" s="1505"/>
      <c r="W754" s="1506"/>
      <c r="X754" s="1489" t="s">
        <v>456</v>
      </c>
      <c r="Y754" s="1490"/>
      <c r="Z754" s="1490"/>
      <c r="AA754" s="1490"/>
      <c r="AB754" s="1491"/>
      <c r="AC754" s="1489" t="s">
        <v>287</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2"/>
      <c r="K755" s="1493"/>
      <c r="L755" s="1493"/>
      <c r="M755" s="1493"/>
      <c r="N755" s="1494"/>
      <c r="O755" s="1697"/>
      <c r="P755" s="1697"/>
      <c r="Q755" s="1697"/>
      <c r="R755" s="1697"/>
      <c r="S755" s="1697"/>
      <c r="T755" s="1507"/>
      <c r="U755" s="1508"/>
      <c r="V755" s="1508"/>
      <c r="W755" s="1509"/>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2"/>
      <c r="K756" s="1493"/>
      <c r="L756" s="1493"/>
      <c r="M756" s="1493"/>
      <c r="N756" s="1494"/>
      <c r="O756" s="1697"/>
      <c r="P756" s="1697"/>
      <c r="Q756" s="1697"/>
      <c r="R756" s="1697"/>
      <c r="S756" s="1697"/>
      <c r="T756" s="1507"/>
      <c r="U756" s="1508"/>
      <c r="V756" s="1508"/>
      <c r="W756" s="1509"/>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5"/>
      <c r="K757" s="1496"/>
      <c r="L757" s="1496"/>
      <c r="M757" s="1496"/>
      <c r="N757" s="1497"/>
      <c r="O757" s="1697"/>
      <c r="P757" s="1697"/>
      <c r="Q757" s="1697"/>
      <c r="R757" s="1697"/>
      <c r="S757" s="1697"/>
      <c r="T757" s="1510"/>
      <c r="U757" s="1511"/>
      <c r="V757" s="1511"/>
      <c r="W757" s="1512"/>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326</v>
      </c>
      <c r="K758" s="1380"/>
      <c r="L758" s="1380"/>
      <c r="M758" s="1380"/>
      <c r="N758" s="1381"/>
      <c r="O758" s="1372">
        <v>1</v>
      </c>
      <c r="P758" s="1372"/>
      <c r="Q758" s="1372"/>
      <c r="R758" s="1372"/>
      <c r="S758" s="1372"/>
      <c r="T758" s="1483">
        <v>626</v>
      </c>
      <c r="U758" s="1484"/>
      <c r="V758" s="1484"/>
      <c r="W758" s="1485"/>
      <c r="X758" s="1480"/>
      <c r="Y758" s="1481"/>
      <c r="Z758" s="1481"/>
      <c r="AA758" s="1481"/>
      <c r="AB758" s="1482"/>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3"/>
      <c r="U759" s="1484"/>
      <c r="V759" s="1484"/>
      <c r="W759" s="1485"/>
      <c r="X759" s="1480"/>
      <c r="Y759" s="1481"/>
      <c r="Z759" s="1481"/>
      <c r="AA759" s="1481"/>
      <c r="AB759" s="1482"/>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3"/>
      <c r="U760" s="1484"/>
      <c r="V760" s="1484"/>
      <c r="W760" s="1485"/>
      <c r="X760" s="1480"/>
      <c r="Y760" s="1481"/>
      <c r="Z760" s="1481"/>
      <c r="AA760" s="1481"/>
      <c r="AB760" s="1482"/>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3"/>
      <c r="U761" s="1484"/>
      <c r="V761" s="1484"/>
      <c r="W761" s="1485"/>
      <c r="X761" s="1480"/>
      <c r="Y761" s="1481"/>
      <c r="Z761" s="1481"/>
      <c r="AA761" s="1481"/>
      <c r="AB761" s="1482"/>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5" t="s">
        <v>126</v>
      </c>
      <c r="K762" s="1526"/>
      <c r="L762" s="1526"/>
      <c r="M762" s="1526"/>
      <c r="N762" s="1528"/>
      <c r="O762" s="1502">
        <f>SUM(O758:S761)</f>
        <v>1</v>
      </c>
      <c r="P762" s="1516"/>
      <c r="Q762" s="1516"/>
      <c r="R762" s="1516"/>
      <c r="S762" s="1503"/>
      <c r="X762" s="1525" t="s">
        <v>125</v>
      </c>
      <c r="Y762" s="1526"/>
      <c r="Z762" s="1526"/>
      <c r="AA762" s="1526"/>
      <c r="AB762" s="1528"/>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9" t="s">
        <v>390</v>
      </c>
      <c r="K768" s="1490"/>
      <c r="L768" s="1490"/>
      <c r="M768" s="1490"/>
      <c r="N768" s="1491"/>
      <c r="O768" s="1697" t="s">
        <v>286</v>
      </c>
      <c r="P768" s="1697"/>
      <c r="Q768" s="1697"/>
      <c r="R768" s="1697"/>
      <c r="S768" s="1697"/>
      <c r="T768" s="1504" t="s">
        <v>1939</v>
      </c>
      <c r="U768" s="1505"/>
      <c r="V768" s="1505"/>
      <c r="W768" s="1506"/>
      <c r="X768" s="1489" t="s">
        <v>456</v>
      </c>
      <c r="Y768" s="1490"/>
      <c r="Z768" s="1490"/>
      <c r="AA768" s="1490"/>
      <c r="AB768" s="1491"/>
      <c r="AC768" s="1489" t="s">
        <v>287</v>
      </c>
      <c r="AD768" s="1490"/>
      <c r="AE768" s="1490"/>
      <c r="AF768" s="1490"/>
      <c r="AG768" s="1491"/>
      <c r="AH768" s="1614" t="s">
        <v>2132</v>
      </c>
      <c r="AI768" s="1615"/>
      <c r="AJ768" s="1615"/>
      <c r="AK768" s="1615"/>
      <c r="AL768" s="161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2"/>
      <c r="K769" s="1493"/>
      <c r="L769" s="1493"/>
      <c r="M769" s="1493"/>
      <c r="N769" s="1494"/>
      <c r="O769" s="1697"/>
      <c r="P769" s="1697"/>
      <c r="Q769" s="1697"/>
      <c r="R769" s="1697"/>
      <c r="S769" s="1697"/>
      <c r="T769" s="1507"/>
      <c r="U769" s="1508"/>
      <c r="V769" s="1508"/>
      <c r="W769" s="1509"/>
      <c r="X769" s="1492"/>
      <c r="Y769" s="1493"/>
      <c r="Z769" s="1493"/>
      <c r="AA769" s="1493"/>
      <c r="AB769" s="1494"/>
      <c r="AC769" s="1492"/>
      <c r="AD769" s="1493"/>
      <c r="AE769" s="1493"/>
      <c r="AF769" s="1493"/>
      <c r="AG769" s="1494"/>
      <c r="AH769" s="1614"/>
      <c r="AI769" s="1615"/>
      <c r="AJ769" s="1615"/>
      <c r="AK769" s="1615"/>
      <c r="AL769" s="161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2"/>
      <c r="K770" s="1493"/>
      <c r="L770" s="1493"/>
      <c r="M770" s="1493"/>
      <c r="N770" s="1494"/>
      <c r="O770" s="1697"/>
      <c r="P770" s="1697"/>
      <c r="Q770" s="1697"/>
      <c r="R770" s="1697"/>
      <c r="S770" s="1697"/>
      <c r="T770" s="1507"/>
      <c r="U770" s="1508"/>
      <c r="V770" s="1508"/>
      <c r="W770" s="1509"/>
      <c r="X770" s="1492"/>
      <c r="Y770" s="1493"/>
      <c r="Z770" s="1493"/>
      <c r="AA770" s="1493"/>
      <c r="AB770" s="1494"/>
      <c r="AC770" s="1492"/>
      <c r="AD770" s="1493"/>
      <c r="AE770" s="1493"/>
      <c r="AF770" s="1493"/>
      <c r="AG770" s="1494"/>
      <c r="AH770" s="1614"/>
      <c r="AI770" s="1615"/>
      <c r="AJ770" s="1615"/>
      <c r="AK770" s="1615"/>
      <c r="AL770" s="161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5"/>
      <c r="K771" s="1496"/>
      <c r="L771" s="1496"/>
      <c r="M771" s="1496"/>
      <c r="N771" s="1497"/>
      <c r="O771" s="1697"/>
      <c r="P771" s="1697"/>
      <c r="Q771" s="1697"/>
      <c r="R771" s="1697"/>
      <c r="S771" s="1697"/>
      <c r="T771" s="1510"/>
      <c r="U771" s="1511"/>
      <c r="V771" s="1511"/>
      <c r="W771" s="1512"/>
      <c r="X771" s="1495"/>
      <c r="Y771" s="1496"/>
      <c r="Z771" s="1496"/>
      <c r="AA771" s="1496"/>
      <c r="AB771" s="1497"/>
      <c r="AC771" s="1495"/>
      <c r="AD771" s="1496"/>
      <c r="AE771" s="1496"/>
      <c r="AF771" s="1496"/>
      <c r="AG771" s="1497"/>
      <c r="AH771" s="1614"/>
      <c r="AI771" s="1615"/>
      <c r="AJ771" s="1615"/>
      <c r="AK771" s="1615"/>
      <c r="AL771" s="161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3"/>
      <c r="U772" s="1484"/>
      <c r="V772" s="1484"/>
      <c r="W772" s="1485"/>
      <c r="X772" s="1480"/>
      <c r="Y772" s="1481"/>
      <c r="Z772" s="1481"/>
      <c r="AA772" s="1481"/>
      <c r="AB772" s="1482"/>
      <c r="AC772" s="1498">
        <f t="shared" ref="AC772:AC781" si="51">X772*O772</f>
        <v>0</v>
      </c>
      <c r="AD772" s="1499"/>
      <c r="AE772" s="1499"/>
      <c r="AF772" s="1499"/>
      <c r="AG772" s="1500"/>
      <c r="AH772" s="1616"/>
      <c r="AI772" s="1617"/>
      <c r="AJ772" s="1617"/>
      <c r="AK772" s="1617"/>
      <c r="AL772" s="161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3"/>
      <c r="U773" s="1484"/>
      <c r="V773" s="1484"/>
      <c r="W773" s="1485"/>
      <c r="X773" s="1480"/>
      <c r="Y773" s="1481"/>
      <c r="Z773" s="1481"/>
      <c r="AA773" s="1481"/>
      <c r="AB773" s="1482"/>
      <c r="AC773" s="1498">
        <f t="shared" si="51"/>
        <v>0</v>
      </c>
      <c r="AD773" s="1499"/>
      <c r="AE773" s="1499"/>
      <c r="AF773" s="1499"/>
      <c r="AG773" s="1500"/>
      <c r="AH773" s="1616"/>
      <c r="AI773" s="1617"/>
      <c r="AJ773" s="1617"/>
      <c r="AK773" s="1617"/>
      <c r="AL773" s="161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3"/>
      <c r="U774" s="1484"/>
      <c r="V774" s="1484"/>
      <c r="W774" s="1485"/>
      <c r="X774" s="1480"/>
      <c r="Y774" s="1481"/>
      <c r="Z774" s="1481"/>
      <c r="AA774" s="1481"/>
      <c r="AB774" s="1482"/>
      <c r="AC774" s="1498">
        <f t="shared" si="51"/>
        <v>0</v>
      </c>
      <c r="AD774" s="1499"/>
      <c r="AE774" s="1499"/>
      <c r="AF774" s="1499"/>
      <c r="AG774" s="1500"/>
      <c r="AH774" s="1616"/>
      <c r="AI774" s="1617"/>
      <c r="AJ774" s="1617"/>
      <c r="AK774" s="1617"/>
      <c r="AL774" s="161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3"/>
      <c r="U775" s="1484"/>
      <c r="V775" s="1484"/>
      <c r="W775" s="1485"/>
      <c r="X775" s="1480"/>
      <c r="Y775" s="1481"/>
      <c r="Z775" s="1481"/>
      <c r="AA775" s="1481"/>
      <c r="AB775" s="1482"/>
      <c r="AC775" s="1498">
        <f t="shared" si="51"/>
        <v>0</v>
      </c>
      <c r="AD775" s="1499"/>
      <c r="AE775" s="1499"/>
      <c r="AF775" s="1499"/>
      <c r="AG775" s="1500"/>
      <c r="AH775" s="1616"/>
      <c r="AI775" s="1617"/>
      <c r="AJ775" s="1617"/>
      <c r="AK775" s="1617"/>
      <c r="AL775" s="161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3"/>
      <c r="U776" s="1484"/>
      <c r="V776" s="1484"/>
      <c r="W776" s="1485"/>
      <c r="X776" s="1480"/>
      <c r="Y776" s="1481"/>
      <c r="Z776" s="1481"/>
      <c r="AA776" s="1481"/>
      <c r="AB776" s="1482"/>
      <c r="AC776" s="1498">
        <f t="shared" si="51"/>
        <v>0</v>
      </c>
      <c r="AD776" s="1499"/>
      <c r="AE776" s="1499"/>
      <c r="AF776" s="1499"/>
      <c r="AG776" s="1500"/>
      <c r="AH776" s="1616"/>
      <c r="AI776" s="1617"/>
      <c r="AJ776" s="1617"/>
      <c r="AK776" s="1617"/>
      <c r="AL776" s="161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3"/>
      <c r="U777" s="1484"/>
      <c r="V777" s="1484"/>
      <c r="W777" s="1485"/>
      <c r="X777" s="1480"/>
      <c r="Y777" s="1481"/>
      <c r="Z777" s="1481"/>
      <c r="AA777" s="1481"/>
      <c r="AB777" s="1482"/>
      <c r="AC777" s="1498">
        <f t="shared" si="51"/>
        <v>0</v>
      </c>
      <c r="AD777" s="1499"/>
      <c r="AE777" s="1499"/>
      <c r="AF777" s="1499"/>
      <c r="AG777" s="1500"/>
      <c r="AH777" s="1616"/>
      <c r="AI777" s="1617"/>
      <c r="AJ777" s="1617"/>
      <c r="AK777" s="1617"/>
      <c r="AL777" s="161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3"/>
      <c r="U778" s="1484"/>
      <c r="V778" s="1484"/>
      <c r="W778" s="1485"/>
      <c r="X778" s="1480"/>
      <c r="Y778" s="1481"/>
      <c r="Z778" s="1481"/>
      <c r="AA778" s="1481"/>
      <c r="AB778" s="1482"/>
      <c r="AC778" s="1498">
        <f t="shared" si="51"/>
        <v>0</v>
      </c>
      <c r="AD778" s="1499"/>
      <c r="AE778" s="1499"/>
      <c r="AF778" s="1499"/>
      <c r="AG778" s="1500"/>
      <c r="AH778" s="1616"/>
      <c r="AI778" s="1617"/>
      <c r="AJ778" s="1617"/>
      <c r="AK778" s="1617"/>
      <c r="AL778" s="161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3"/>
      <c r="U779" s="1484"/>
      <c r="V779" s="1484"/>
      <c r="W779" s="1485"/>
      <c r="X779" s="1480"/>
      <c r="Y779" s="1481"/>
      <c r="Z779" s="1481"/>
      <c r="AA779" s="1481"/>
      <c r="AB779" s="1482"/>
      <c r="AC779" s="1498">
        <f t="shared" si="51"/>
        <v>0</v>
      </c>
      <c r="AD779" s="1499"/>
      <c r="AE779" s="1499"/>
      <c r="AF779" s="1499"/>
      <c r="AG779" s="1500"/>
      <c r="AH779" s="1616"/>
      <c r="AI779" s="1617"/>
      <c r="AJ779" s="1617"/>
      <c r="AK779" s="1617"/>
      <c r="AL779" s="161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3"/>
      <c r="U780" s="1484"/>
      <c r="V780" s="1484"/>
      <c r="W780" s="1485"/>
      <c r="X780" s="1480"/>
      <c r="Y780" s="1481"/>
      <c r="Z780" s="1481"/>
      <c r="AA780" s="1481"/>
      <c r="AB780" s="1482"/>
      <c r="AC780" s="1498">
        <f t="shared" si="51"/>
        <v>0</v>
      </c>
      <c r="AD780" s="1499"/>
      <c r="AE780" s="1499"/>
      <c r="AF780" s="1499"/>
      <c r="AG780" s="1500"/>
      <c r="AH780" s="1616"/>
      <c r="AI780" s="1617"/>
      <c r="AJ780" s="1617"/>
      <c r="AK780" s="1617"/>
      <c r="AL780" s="161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3"/>
      <c r="U781" s="1484"/>
      <c r="V781" s="1484"/>
      <c r="W781" s="1485"/>
      <c r="X781" s="1480"/>
      <c r="Y781" s="1481"/>
      <c r="Z781" s="1481"/>
      <c r="AA781" s="1481"/>
      <c r="AB781" s="1482"/>
      <c r="AC781" s="1498">
        <f t="shared" si="51"/>
        <v>0</v>
      </c>
      <c r="AD781" s="1499"/>
      <c r="AE781" s="1499"/>
      <c r="AF781" s="1499"/>
      <c r="AG781" s="1500"/>
      <c r="AH781" s="1616"/>
      <c r="AI781" s="1617"/>
      <c r="AJ781" s="1617"/>
      <c r="AK781" s="1617"/>
      <c r="AL781" s="161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5" t="s">
        <v>126</v>
      </c>
      <c r="K782" s="1526"/>
      <c r="L782" s="1526"/>
      <c r="M782" s="1526"/>
      <c r="N782" s="1528"/>
      <c r="O782" s="1709">
        <f>SUM(O772:S781)</f>
        <v>0</v>
      </c>
      <c r="P782" s="1709"/>
      <c r="Q782" s="1709"/>
      <c r="R782" s="1709"/>
      <c r="S782" s="1709"/>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4">
        <f>O739+AC762+AC782</f>
        <v>11101</v>
      </c>
      <c r="Z784" s="1644"/>
      <c r="AA784" s="1644"/>
      <c r="AB784" s="1644"/>
      <c r="AC784" s="16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4">
        <f>(O739+AC762+AC782)*12</f>
        <v>133212</v>
      </c>
      <c r="Z785" s="1644"/>
      <c r="AA785" s="1644"/>
      <c r="AB785" s="1644"/>
      <c r="AC785" s="1644"/>
      <c r="AZ785" s="3"/>
      <c r="BA785" s="14" t="s">
        <v>641</v>
      </c>
      <c r="BB785" s="14"/>
      <c r="BC785" s="14"/>
      <c r="BD785" s="14"/>
      <c r="BE785" s="14"/>
      <c r="BF785" s="14"/>
      <c r="BG785" s="14"/>
      <c r="BH785" s="14"/>
      <c r="BI785" s="14"/>
      <c r="BJ785" s="14"/>
      <c r="BK785" s="14"/>
      <c r="BL785" s="14"/>
      <c r="BM785" s="14"/>
      <c r="BN785" s="1704" t="s">
        <v>478</v>
      </c>
      <c r="BO785" s="1705"/>
      <c r="BP785" s="3"/>
      <c r="BQ785" s="3"/>
      <c r="BR785" s="3"/>
      <c r="BS785" s="14" t="s">
        <v>643</v>
      </c>
      <c r="BT785" s="14"/>
      <c r="BU785" s="14"/>
      <c r="BV785" s="14"/>
      <c r="BW785" s="14"/>
      <c r="BX785" s="14"/>
      <c r="BY785" s="14"/>
      <c r="BZ785" s="14"/>
      <c r="CA785" s="14"/>
      <c r="CB785" s="1701" t="str">
        <f>T189</f>
        <v>Yolo</v>
      </c>
      <c r="CC785" s="1702"/>
      <c r="CD785" s="1702"/>
      <c r="CE785" s="1702"/>
      <c r="CF785" s="1702"/>
      <c r="CG785" s="1702"/>
      <c r="CH785" s="170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74">
        <v>17</v>
      </c>
      <c r="AA790" s="1638"/>
      <c r="AB790" s="1638"/>
      <c r="AC790" s="1638"/>
      <c r="AD790" s="1638"/>
      <c r="AE790" s="163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7">
        <v>20</v>
      </c>
      <c r="AA791" s="1638"/>
      <c r="AB791" s="1638"/>
      <c r="AC791" s="1638"/>
      <c r="AD791" s="1638"/>
      <c r="AE791" s="163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9" t="s">
        <v>600</v>
      </c>
      <c r="AA792" s="1597"/>
      <c r="AB792" s="1597"/>
      <c r="AC792" s="1597"/>
      <c r="AD792" s="1597"/>
      <c r="AE792" s="162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2">
        <f>'Subsidy Contract Calculation'!J30</f>
        <v>241332</v>
      </c>
      <c r="AA793" s="1523"/>
      <c r="AB793" s="1523"/>
      <c r="AC793" s="1523"/>
      <c r="AD793" s="1523"/>
      <c r="AE793" s="152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8">
        <v>0</v>
      </c>
      <c r="AA797" s="1609"/>
      <c r="AB797" s="1609"/>
      <c r="AC797" s="1609"/>
      <c r="AD797" s="1609"/>
      <c r="AE797" s="161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8"/>
      <c r="AA798" s="1609"/>
      <c r="AB798" s="1609"/>
      <c r="AC798" s="1609"/>
      <c r="AD798" s="1609"/>
      <c r="AE798" s="161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8"/>
      <c r="AA799" s="1609"/>
      <c r="AB799" s="1609"/>
      <c r="AC799" s="1609"/>
      <c r="AD799" s="1609"/>
      <c r="AE799" s="161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1" t="s">
        <v>335</v>
      </c>
      <c r="Q800" s="1612"/>
      <c r="R800" s="1612"/>
      <c r="S800" s="1612"/>
      <c r="T800" s="1612"/>
      <c r="U800" s="1612"/>
      <c r="V800" s="1612"/>
      <c r="W800" s="1612"/>
      <c r="X800" s="1612"/>
      <c r="Y800" s="1613"/>
      <c r="Z800" s="1608"/>
      <c r="AA800" s="1609"/>
      <c r="AB800" s="1609"/>
      <c r="AC800" s="1609"/>
      <c r="AD800" s="1609"/>
      <c r="AE800" s="161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2">
        <f>SUM(Z797:AE800)</f>
        <v>0</v>
      </c>
      <c r="AA801" s="1523"/>
      <c r="AB801" s="1523"/>
      <c r="AC801" s="1523"/>
      <c r="AD801" s="1523"/>
      <c r="AE801" s="152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2">
        <f>Z801+Y785+Z793</f>
        <v>374544</v>
      </c>
      <c r="AA802" s="1523"/>
      <c r="AB802" s="1523"/>
      <c r="AC802" s="1523"/>
      <c r="AD802" s="1523"/>
      <c r="AE802" s="152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1" t="s">
        <v>127</v>
      </c>
      <c r="N807" s="1591"/>
      <c r="O807" s="1591"/>
      <c r="P807" s="1592"/>
      <c r="Q807" s="1618" t="s">
        <v>291</v>
      </c>
      <c r="R807" s="1618"/>
      <c r="S807" s="1618"/>
      <c r="T807" s="1618"/>
      <c r="U807" s="1618" t="s">
        <v>292</v>
      </c>
      <c r="V807" s="1618"/>
      <c r="W807" s="1618"/>
      <c r="X807" s="1618"/>
      <c r="Y807" s="1618" t="s">
        <v>293</v>
      </c>
      <c r="Z807" s="1618"/>
      <c r="AA807" s="1618"/>
      <c r="AB807" s="1618"/>
      <c r="AC807" s="1618" t="s">
        <v>362</v>
      </c>
      <c r="AD807" s="1618"/>
      <c r="AE807" s="1618"/>
      <c r="AF807" s="1618"/>
      <c r="AG807" s="1632" t="s">
        <v>336</v>
      </c>
      <c r="AH807" s="1632"/>
      <c r="AI807" s="1632"/>
      <c r="AJ807" s="16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3"/>
      <c r="N808" s="1593"/>
      <c r="O808" s="1593"/>
      <c r="P808" s="1594"/>
      <c r="Q808" s="1618"/>
      <c r="R808" s="1618"/>
      <c r="S808" s="1618"/>
      <c r="T808" s="1618"/>
      <c r="U808" s="1618"/>
      <c r="V808" s="1618"/>
      <c r="W808" s="1618"/>
      <c r="X808" s="1618"/>
      <c r="Y808" s="1618"/>
      <c r="Z808" s="1618"/>
      <c r="AA808" s="1618"/>
      <c r="AB808" s="1618"/>
      <c r="AC808" s="1618"/>
      <c r="AD808" s="1618"/>
      <c r="AE808" s="1618"/>
      <c r="AF808" s="1618"/>
      <c r="AG808" s="1632"/>
      <c r="AH808" s="1632"/>
      <c r="AI808" s="1632"/>
      <c r="AJ808" s="16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5" t="s">
        <v>40</v>
      </c>
      <c r="D809" s="1518"/>
      <c r="E809" s="1518"/>
      <c r="F809" s="1518"/>
      <c r="G809" s="1518"/>
      <c r="H809" s="1518"/>
      <c r="I809" s="48"/>
      <c r="J809" s="48"/>
      <c r="K809" s="48"/>
      <c r="L809" s="49"/>
      <c r="M809" s="1590"/>
      <c r="N809" s="1590"/>
      <c r="O809" s="1590"/>
      <c r="P809" s="1590"/>
      <c r="Q809" s="1590"/>
      <c r="R809" s="1590"/>
      <c r="S809" s="1590"/>
      <c r="T809" s="1590"/>
      <c r="U809" s="1590"/>
      <c r="V809" s="1590"/>
      <c r="W809" s="1590"/>
      <c r="X809" s="1590"/>
      <c r="Y809" s="1590"/>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2" t="s">
        <v>41</v>
      </c>
      <c r="D810" s="1423"/>
      <c r="E810" s="1423"/>
      <c r="F810" s="1423"/>
      <c r="G810" s="1423"/>
      <c r="H810" s="1423"/>
      <c r="I810" s="5"/>
      <c r="J810" s="5"/>
      <c r="K810" s="5"/>
      <c r="L810" s="46"/>
      <c r="M810" s="1590"/>
      <c r="N810" s="1590"/>
      <c r="O810" s="1590"/>
      <c r="P810" s="1590"/>
      <c r="Q810" s="1590">
        <v>11</v>
      </c>
      <c r="R810" s="1590"/>
      <c r="S810" s="1590"/>
      <c r="T810" s="1590"/>
      <c r="U810" s="1590">
        <v>16</v>
      </c>
      <c r="V810" s="1590"/>
      <c r="W810" s="1590"/>
      <c r="X810" s="1590"/>
      <c r="Y810" s="1590"/>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2" t="s">
        <v>42</v>
      </c>
      <c r="D811" s="1423"/>
      <c r="E811" s="1423"/>
      <c r="F811" s="1423"/>
      <c r="G811" s="1423"/>
      <c r="H811" s="1423"/>
      <c r="I811" s="60"/>
      <c r="J811" s="60"/>
      <c r="K811" s="60"/>
      <c r="L811" s="61"/>
      <c r="M811" s="1590"/>
      <c r="N811" s="1590"/>
      <c r="O811" s="1590"/>
      <c r="P811" s="1590"/>
      <c r="Q811" s="1590"/>
      <c r="R811" s="1590"/>
      <c r="S811" s="1590"/>
      <c r="T811" s="1590"/>
      <c r="U811" s="1590"/>
      <c r="V811" s="1590"/>
      <c r="W811" s="1590"/>
      <c r="X811" s="1590"/>
      <c r="Y811" s="1590"/>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2" t="s">
        <v>786</v>
      </c>
      <c r="D812" s="1423"/>
      <c r="E812" s="1423"/>
      <c r="F812" s="1423"/>
      <c r="G812" s="1423"/>
      <c r="H812" s="1423"/>
      <c r="I812" s="60"/>
      <c r="J812" s="60"/>
      <c r="K812" s="60"/>
      <c r="L812" s="61"/>
      <c r="M812" s="1590"/>
      <c r="N812" s="1590"/>
      <c r="O812" s="1590"/>
      <c r="P812" s="1590"/>
      <c r="Q812" s="1590"/>
      <c r="R812" s="1590"/>
      <c r="S812" s="1590"/>
      <c r="T812" s="1590"/>
      <c r="U812" s="1590"/>
      <c r="V812" s="1590"/>
      <c r="W812" s="1590"/>
      <c r="X812" s="1590"/>
      <c r="Y812" s="1590"/>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2" t="s">
        <v>468</v>
      </c>
      <c r="D813" s="1423"/>
      <c r="E813" s="1423"/>
      <c r="F813" s="1423"/>
      <c r="G813" s="1423"/>
      <c r="H813" s="1423"/>
      <c r="I813" s="60"/>
      <c r="J813" s="60"/>
      <c r="K813" s="60"/>
      <c r="L813" s="61"/>
      <c r="M813" s="1590"/>
      <c r="N813" s="1590"/>
      <c r="O813" s="1590"/>
      <c r="P813" s="1590"/>
      <c r="Q813" s="1590"/>
      <c r="R813" s="1590"/>
      <c r="S813" s="1590"/>
      <c r="T813" s="1590"/>
      <c r="U813" s="1590"/>
      <c r="V813" s="1590"/>
      <c r="W813" s="1590"/>
      <c r="X813" s="1590"/>
      <c r="Y813" s="1590"/>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6" t="s">
        <v>807</v>
      </c>
      <c r="D814" s="1423"/>
      <c r="E814" s="1423"/>
      <c r="F814" s="1423"/>
      <c r="G814" s="1423"/>
      <c r="H814" s="1423"/>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611" t="s">
        <v>335</v>
      </c>
      <c r="G815" s="1612"/>
      <c r="H815" s="1612"/>
      <c r="I815" s="1612"/>
      <c r="J815" s="1612"/>
      <c r="K815" s="1612"/>
      <c r="L815" s="1612"/>
      <c r="M815" s="1590"/>
      <c r="N815" s="1590"/>
      <c r="O815" s="1590"/>
      <c r="P815" s="1590"/>
      <c r="Q815" s="1590"/>
      <c r="R815" s="1590"/>
      <c r="S815" s="1590"/>
      <c r="T815" s="1590"/>
      <c r="U815" s="1590"/>
      <c r="V815" s="1590"/>
      <c r="W815" s="1590"/>
      <c r="X815" s="1590"/>
      <c r="Y815" s="1590"/>
      <c r="Z815" s="1590"/>
      <c r="AA815" s="1590"/>
      <c r="AB815" s="1590"/>
      <c r="AC815" s="1587"/>
      <c r="AD815" s="1588"/>
      <c r="AE815" s="1588"/>
      <c r="AF815" s="1589"/>
      <c r="AG815" s="1587"/>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5" t="s">
        <v>125</v>
      </c>
      <c r="D816" s="1526"/>
      <c r="E816" s="1526"/>
      <c r="F816" s="1526"/>
      <c r="G816" s="1526"/>
      <c r="H816" s="1526"/>
      <c r="I816" s="1526"/>
      <c r="J816" s="1526"/>
      <c r="K816" s="1526"/>
      <c r="L816" s="1528"/>
      <c r="M816" s="1624">
        <f>SUM(M809:P815)</f>
        <v>0</v>
      </c>
      <c r="N816" s="1624"/>
      <c r="O816" s="1624"/>
      <c r="P816" s="1624"/>
      <c r="Q816" s="1624">
        <f>SUM(Q809:T815)</f>
        <v>11</v>
      </c>
      <c r="R816" s="1624"/>
      <c r="S816" s="1624"/>
      <c r="T816" s="1624"/>
      <c r="U816" s="1624">
        <f>SUM(U809:X815)</f>
        <v>16</v>
      </c>
      <c r="V816" s="1624"/>
      <c r="W816" s="1624"/>
      <c r="X816" s="1624"/>
      <c r="Y816" s="1624">
        <f>SUM(Y809:AB815)</f>
        <v>0</v>
      </c>
      <c r="Z816" s="1624"/>
      <c r="AA816" s="1624"/>
      <c r="AB816" s="1624"/>
      <c r="AC816" s="1624">
        <f>SUM(AC809:AF815)</f>
        <v>0</v>
      </c>
      <c r="AD816" s="1624"/>
      <c r="AE816" s="1624"/>
      <c r="AF816" s="1624"/>
      <c r="AG816" s="1624">
        <f>SUM(AG809:AJ815)</f>
        <v>0</v>
      </c>
      <c r="AH816" s="1624"/>
      <c r="AI816" s="1624"/>
      <c r="AJ816" s="162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84" t="s">
        <v>2752</v>
      </c>
      <c r="D821" s="1685"/>
      <c r="E821" s="1685"/>
      <c r="F821" s="1685"/>
      <c r="G821" s="1685"/>
      <c r="H821" s="1685"/>
      <c r="I821" s="1685"/>
      <c r="J821" s="1685"/>
      <c r="K821" s="1685"/>
      <c r="L821" s="1685"/>
      <c r="M821" s="1685"/>
      <c r="N821" s="1685"/>
      <c r="O821" s="1685"/>
      <c r="P821" s="1685"/>
      <c r="Q821" s="1685"/>
      <c r="R821" s="1685"/>
      <c r="S821" s="1685"/>
      <c r="T821" s="1685"/>
      <c r="U821" s="1685"/>
      <c r="V821" s="1685"/>
      <c r="W821" s="1685"/>
      <c r="X821" s="1685"/>
      <c r="Y821" s="1685"/>
      <c r="Z821" s="1685"/>
      <c r="AA821" s="1685"/>
      <c r="AB821" s="1685"/>
      <c r="AC821" s="1685"/>
      <c r="AD821" s="1685"/>
      <c r="AE821" s="1685"/>
      <c r="AF821" s="1685"/>
      <c r="AG821" s="1685"/>
      <c r="AH821" s="1685"/>
      <c r="AI821" s="1685"/>
      <c r="AJ821" s="168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28">
        <v>5000</v>
      </c>
      <c r="X826" s="1628"/>
      <c r="Y826" s="1628"/>
      <c r="Z826" s="1628"/>
      <c r="AA826" s="1628"/>
      <c r="AB826" s="1628"/>
      <c r="AC826" s="1628"/>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28">
        <v>5000</v>
      </c>
      <c r="X827" s="1628"/>
      <c r="Y827" s="1628"/>
      <c r="Z827" s="1628"/>
      <c r="AA827" s="1628"/>
      <c r="AB827" s="1628"/>
      <c r="AC827" s="1628"/>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28">
        <v>5000</v>
      </c>
      <c r="X828" s="1628"/>
      <c r="Y828" s="1628"/>
      <c r="Z828" s="1628"/>
      <c r="AA828" s="1628"/>
      <c r="AB828" s="1628"/>
      <c r="AC828" s="1628"/>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28">
        <v>5000</v>
      </c>
      <c r="X829" s="1628"/>
      <c r="Y829" s="1628"/>
      <c r="Z829" s="1628"/>
      <c r="AA829" s="1628"/>
      <c r="AB829" s="1628"/>
      <c r="AC829" s="1628"/>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611" t="s">
        <v>335</v>
      </c>
      <c r="N830" s="1612"/>
      <c r="O830" s="1612"/>
      <c r="P830" s="1612"/>
      <c r="Q830" s="1612"/>
      <c r="R830" s="1612"/>
      <c r="S830" s="1612"/>
      <c r="T830" s="1612"/>
      <c r="U830" s="1612"/>
      <c r="V830" s="1613"/>
      <c r="W830" s="1628"/>
      <c r="X830" s="1628"/>
      <c r="Y830" s="1628"/>
      <c r="Z830" s="1628"/>
      <c r="AA830" s="1628"/>
      <c r="AB830" s="1628"/>
      <c r="AC830" s="1628"/>
      <c r="AD830"/>
      <c r="AE830"/>
      <c r="AF830"/>
      <c r="AG830"/>
      <c r="AH830"/>
      <c r="AI830"/>
      <c r="AJ830"/>
      <c r="AK830"/>
      <c r="AL830"/>
      <c r="AM830"/>
      <c r="AN830"/>
      <c r="AO830"/>
      <c r="AP830"/>
      <c r="AQ830"/>
      <c r="AR830"/>
      <c r="AS830"/>
      <c r="AT830"/>
      <c r="AU830"/>
      <c r="AV830"/>
      <c r="AW830"/>
      <c r="AX830"/>
      <c r="AY830"/>
      <c r="BI830" s="1643">
        <f>ROUNDDOWN(BC918*2,2)</f>
        <v>0</v>
      </c>
      <c r="BJ830" s="1643"/>
      <c r="BK830" s="1643"/>
      <c r="BL830" s="1643"/>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22">
        <f>SUM(W826:AC830)</f>
        <v>20000</v>
      </c>
      <c r="X831" s="1523"/>
      <c r="Y831" s="1523"/>
      <c r="Z831" s="1523"/>
      <c r="AA831" s="1523"/>
      <c r="AB831" s="1523"/>
      <c r="AC831" s="1524"/>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25" t="s">
        <v>346</v>
      </c>
      <c r="K833" s="1526"/>
      <c r="L833" s="1526"/>
      <c r="M833" s="1526"/>
      <c r="N833" s="1526"/>
      <c r="O833" s="1526"/>
      <c r="P833" s="1526"/>
      <c r="Q833" s="1526"/>
      <c r="R833" s="1526"/>
      <c r="S833" s="1526"/>
      <c r="T833" s="1526"/>
      <c r="U833" s="1526"/>
      <c r="V833" s="1528"/>
      <c r="W833" s="1608">
        <v>6000</v>
      </c>
      <c r="X833" s="1609"/>
      <c r="Y833" s="1609"/>
      <c r="Z833" s="1609"/>
      <c r="AA833" s="1609"/>
      <c r="AB833" s="1609"/>
      <c r="AC833" s="1610"/>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625">
        <v>3200</v>
      </c>
      <c r="X835" s="1625"/>
      <c r="Y835" s="1625"/>
      <c r="Z835" s="1625"/>
      <c r="AA835" s="1625"/>
      <c r="AB835" s="1625"/>
      <c r="AC835" s="1625"/>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25">
        <f>W835</f>
        <v>3200</v>
      </c>
      <c r="X836" s="1625"/>
      <c r="Y836" s="1625"/>
      <c r="Z836" s="1625"/>
      <c r="AA836" s="1625"/>
      <c r="AB836" s="1625"/>
      <c r="AC836" s="162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25">
        <f>W836</f>
        <v>3200</v>
      </c>
      <c r="X837" s="1625"/>
      <c r="Y837" s="1625"/>
      <c r="Z837" s="1625"/>
      <c r="AA837" s="1625"/>
      <c r="AB837" s="1625"/>
      <c r="AC837" s="1625"/>
      <c r="AD837"/>
      <c r="AE837"/>
      <c r="AF837"/>
      <c r="AG837"/>
      <c r="AH837"/>
      <c r="AI837"/>
      <c r="AJ837"/>
      <c r="AK837"/>
      <c r="AL837"/>
      <c r="AM837"/>
      <c r="AN837"/>
      <c r="AO837"/>
      <c r="AP837"/>
      <c r="AQ837"/>
      <c r="AR837"/>
      <c r="AS837"/>
      <c r="AT837"/>
      <c r="AU837"/>
      <c r="AV837"/>
      <c r="AW837"/>
      <c r="AX837"/>
      <c r="AY837"/>
      <c r="AZ837" s="30"/>
      <c r="BA837" s="30"/>
      <c r="BG837" s="1623"/>
      <c r="BH837" s="1623"/>
      <c r="BI837" s="1623"/>
      <c r="BJ837" s="1623"/>
      <c r="BK837" s="1623"/>
      <c r="BL837" s="1623"/>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25">
        <f>W837</f>
        <v>3200</v>
      </c>
      <c r="X838" s="1625"/>
      <c r="Y838" s="1625"/>
      <c r="Z838" s="1625"/>
      <c r="AA838" s="1625"/>
      <c r="AB838" s="1625"/>
      <c r="AC838" s="162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649">
        <f>SUM(W835:AC838)</f>
        <v>12800</v>
      </c>
      <c r="X839" s="1649"/>
      <c r="Y839" s="1649"/>
      <c r="Z839" s="1649"/>
      <c r="AA839" s="1649"/>
      <c r="AB839" s="1649"/>
      <c r="AC839" s="164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5">
        <f>SUM(AZ807:AZ835)</f>
        <v>0</v>
      </c>
      <c r="BA840" s="1645"/>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33">
        <f>35000-7200</f>
        <v>27800</v>
      </c>
      <c r="X841" s="1634"/>
      <c r="Y841" s="1634"/>
      <c r="Z841" s="1634"/>
      <c r="AA841" s="1634"/>
      <c r="AB841" s="1634"/>
      <c r="AC841" s="163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1836</v>
      </c>
      <c r="K842" s="5"/>
      <c r="L842" s="5"/>
      <c r="M842" s="5"/>
      <c r="N842" s="5"/>
      <c r="O842" s="5"/>
      <c r="P842" s="5"/>
      <c r="Q842" s="5"/>
      <c r="R842" s="5"/>
      <c r="S842" s="5"/>
      <c r="T842" s="1691">
        <v>1</v>
      </c>
      <c r="U842" s="1537"/>
      <c r="V842" s="169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33">
        <v>12000</v>
      </c>
      <c r="X843" s="1634"/>
      <c r="Y843" s="1634"/>
      <c r="Z843" s="1634"/>
      <c r="AA843" s="1634"/>
      <c r="AB843" s="1634"/>
      <c r="AC843" s="163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91">
        <v>1</v>
      </c>
      <c r="U844" s="1537"/>
      <c r="V844" s="169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611" t="s">
        <v>335</v>
      </c>
      <c r="N845" s="1612"/>
      <c r="O845" s="1612"/>
      <c r="P845" s="1612"/>
      <c r="Q845" s="1612"/>
      <c r="R845" s="1612"/>
      <c r="S845" s="1612"/>
      <c r="T845" s="1612"/>
      <c r="U845" s="1612"/>
      <c r="V845" s="1613"/>
      <c r="W845" s="1633"/>
      <c r="X845" s="1634"/>
      <c r="Y845" s="1634"/>
      <c r="Z845" s="1634"/>
      <c r="AA845" s="1634"/>
      <c r="AB845" s="1634"/>
      <c r="AC845" s="163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646">
        <f>SUM(W841:AC845)</f>
        <v>39800</v>
      </c>
      <c r="X846" s="1647"/>
      <c r="Y846" s="1647"/>
      <c r="Z846" s="1647"/>
      <c r="AA846" s="1647"/>
      <c r="AB846" s="1647"/>
      <c r="AC846" s="164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33"/>
      <c r="X847" s="1634"/>
      <c r="Y847" s="1634"/>
      <c r="Z847" s="1634"/>
      <c r="AA847" s="1634"/>
      <c r="AB847" s="1634"/>
      <c r="AC847" s="163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628"/>
      <c r="X849" s="1628"/>
      <c r="Y849" s="1628"/>
      <c r="Z849" s="1628"/>
      <c r="AA849" s="1628"/>
      <c r="AB849" s="1628"/>
      <c r="AC849" s="16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28">
        <v>5000</v>
      </c>
      <c r="X850" s="1628"/>
      <c r="Y850" s="1628"/>
      <c r="Z850" s="1628"/>
      <c r="AA850" s="1628"/>
      <c r="AB850" s="1628"/>
      <c r="AC850" s="16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28">
        <v>5000</v>
      </c>
      <c r="X851" s="1628"/>
      <c r="Y851" s="1628"/>
      <c r="Z851" s="1628"/>
      <c r="AA851" s="1628"/>
      <c r="AB851" s="1628"/>
      <c r="AC851" s="16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28"/>
      <c r="X852" s="1628"/>
      <c r="Y852" s="1628"/>
      <c r="Z852" s="1628"/>
      <c r="AA852" s="1628"/>
      <c r="AB852" s="1628"/>
      <c r="AC852" s="1628"/>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28">
        <v>5000</v>
      </c>
      <c r="X853" s="1628"/>
      <c r="Y853" s="1628"/>
      <c r="Z853" s="1628"/>
      <c r="AA853" s="1628"/>
      <c r="AB853" s="1628"/>
      <c r="AC853" s="16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28"/>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611" t="s">
        <v>335</v>
      </c>
      <c r="N855" s="1612"/>
      <c r="O855" s="1612"/>
      <c r="P855" s="1612"/>
      <c r="Q855" s="1612"/>
      <c r="R855" s="1612"/>
      <c r="S855" s="1612"/>
      <c r="T855" s="1612"/>
      <c r="U855" s="1612"/>
      <c r="V855" s="1613"/>
      <c r="W855" s="1628"/>
      <c r="X855" s="1628"/>
      <c r="Y855" s="1628"/>
      <c r="Z855" s="1628"/>
      <c r="AA855" s="1628"/>
      <c r="AB855" s="1628"/>
      <c r="AC855" s="162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44">
        <f>SUM(W849:AC855)</f>
        <v>15000</v>
      </c>
      <c r="X856" s="1644"/>
      <c r="Y856" s="1644"/>
      <c r="Z856" s="1644"/>
      <c r="AA856" s="1644"/>
      <c r="AB856" s="1644"/>
      <c r="AC856" s="164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170</v>
      </c>
      <c r="K858" s="5"/>
      <c r="L858" s="5"/>
      <c r="M858" s="1611" t="s">
        <v>335</v>
      </c>
      <c r="N858" s="1612"/>
      <c r="O858" s="1612"/>
      <c r="P858" s="1612"/>
      <c r="Q858" s="1612"/>
      <c r="R858" s="1612"/>
      <c r="S858" s="1612"/>
      <c r="T858" s="1612"/>
      <c r="U858" s="1612"/>
      <c r="V858" s="1613"/>
      <c r="W858" s="1608"/>
      <c r="X858" s="1609"/>
      <c r="Y858" s="1609"/>
      <c r="Z858" s="1609"/>
      <c r="AA858" s="1609"/>
      <c r="AB858" s="1609"/>
      <c r="AC858" s="161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170</v>
      </c>
      <c r="K859" s="5"/>
      <c r="L859" s="5"/>
      <c r="M859" s="1611" t="s">
        <v>335</v>
      </c>
      <c r="N859" s="1612"/>
      <c r="O859" s="1612"/>
      <c r="P859" s="1612"/>
      <c r="Q859" s="1612"/>
      <c r="R859" s="1612"/>
      <c r="S859" s="1612"/>
      <c r="T859" s="1612"/>
      <c r="U859" s="1612"/>
      <c r="V859" s="1613"/>
      <c r="W859" s="1608"/>
      <c r="X859" s="1609"/>
      <c r="Y859" s="1609"/>
      <c r="Z859" s="1609"/>
      <c r="AA859" s="1609"/>
      <c r="AB859" s="1609"/>
      <c r="AC859" s="161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611" t="s">
        <v>335</v>
      </c>
      <c r="N860" s="1612"/>
      <c r="O860" s="1612"/>
      <c r="P860" s="1612"/>
      <c r="Q860" s="1612"/>
      <c r="R860" s="1612"/>
      <c r="S860" s="1612"/>
      <c r="T860" s="1612"/>
      <c r="U860" s="1612"/>
      <c r="V860" s="1613"/>
      <c r="W860" s="1608"/>
      <c r="X860" s="1609"/>
      <c r="Y860" s="1609"/>
      <c r="Z860" s="1609"/>
      <c r="AA860" s="1609"/>
      <c r="AB860" s="1609"/>
      <c r="AC860" s="161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611" t="s">
        <v>335</v>
      </c>
      <c r="N861" s="1612"/>
      <c r="O861" s="1612"/>
      <c r="P861" s="1612"/>
      <c r="Q861" s="1612"/>
      <c r="R861" s="1612"/>
      <c r="S861" s="1612"/>
      <c r="T861" s="1612"/>
      <c r="U861" s="1612"/>
      <c r="V861" s="1613"/>
      <c r="W861" s="1608"/>
      <c r="X861" s="1609"/>
      <c r="Y861" s="1609"/>
      <c r="Z861" s="1609"/>
      <c r="AA861" s="1609"/>
      <c r="AB861" s="1609"/>
      <c r="AC861" s="161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611" t="s">
        <v>335</v>
      </c>
      <c r="N862" s="1612"/>
      <c r="O862" s="1612"/>
      <c r="P862" s="1612"/>
      <c r="Q862" s="1612"/>
      <c r="R862" s="1612"/>
      <c r="S862" s="1612"/>
      <c r="T862" s="1612"/>
      <c r="U862" s="1612"/>
      <c r="V862" s="1613"/>
      <c r="W862" s="1608"/>
      <c r="X862" s="1609"/>
      <c r="Y862" s="1609"/>
      <c r="Z862" s="1609"/>
      <c r="AA862" s="1609"/>
      <c r="AB862" s="1609"/>
      <c r="AC862" s="161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22">
        <f>SUM(W858:AC862)</f>
        <v>0</v>
      </c>
      <c r="X863" s="1523"/>
      <c r="Y863" s="1523"/>
      <c r="Z863" s="1523"/>
      <c r="AA863" s="1523"/>
      <c r="AB863" s="1523"/>
      <c r="AC863" s="152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23">
        <f>W831+W839+W846+W847+W856+W863+W833</f>
        <v>93600</v>
      </c>
      <c r="AD867" s="1523"/>
      <c r="AE867" s="1523"/>
      <c r="AF867" s="1523"/>
      <c r="AG867" s="1523"/>
      <c r="AH867" s="152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9">
        <f>O782+O762+G739</f>
        <v>18</v>
      </c>
      <c r="AD868" s="1689"/>
      <c r="AE868" s="1689"/>
      <c r="AF868" s="1689"/>
      <c r="AG868" s="1689"/>
      <c r="AH868" s="169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7" t="s">
        <v>32</v>
      </c>
      <c r="F869" s="1687"/>
      <c r="G869" s="1687"/>
      <c r="H869" s="1687"/>
      <c r="I869" s="1687"/>
      <c r="J869" s="1687"/>
      <c r="K869" s="1687"/>
      <c r="L869" s="1687"/>
      <c r="M869" s="1687"/>
      <c r="N869" s="1687"/>
      <c r="O869" s="1687"/>
      <c r="P869" s="1687"/>
      <c r="Q869" s="1687"/>
      <c r="R869" s="1687"/>
      <c r="S869" s="1687"/>
      <c r="T869" s="1687"/>
      <c r="U869" s="1687"/>
      <c r="V869" s="1687"/>
      <c r="W869" s="1687"/>
      <c r="X869" s="1687"/>
      <c r="Y869" s="1687"/>
      <c r="Z869" s="1687"/>
      <c r="AA869" s="1687"/>
      <c r="AB869" s="1688"/>
      <c r="AC869" s="1644">
        <f>IF(ISERROR((ROUNDDOWN(AC867/AC868,0))),0,(ROUNDDOWN(AC867/AC868,0)))</f>
        <v>5200</v>
      </c>
      <c r="AD869" s="1644"/>
      <c r="AE869" s="1644"/>
      <c r="AF869" s="1644"/>
      <c r="AG869" s="1644"/>
      <c r="AH869" s="164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6">
        <v>0</v>
      </c>
      <c r="AD870" s="1627"/>
      <c r="AE870" s="1627"/>
      <c r="AF870" s="1627"/>
      <c r="AG870" s="1627"/>
      <c r="AH870" s="16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0"/>
      <c r="AD871" s="1628"/>
      <c r="AE871" s="1628"/>
      <c r="AF871" s="1628"/>
      <c r="AG871" s="1628"/>
      <c r="AH871" s="16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9">
        <f>100800-AC867</f>
        <v>7200</v>
      </c>
      <c r="AD872" s="1609"/>
      <c r="AE872" s="1609"/>
      <c r="AF872" s="1609"/>
      <c r="AG872" s="1609"/>
      <c r="AH872" s="161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9">
        <f>300*18</f>
        <v>5400</v>
      </c>
      <c r="AD873" s="1609"/>
      <c r="AE873" s="1609"/>
      <c r="AF873" s="1609"/>
      <c r="AG873" s="1609"/>
      <c r="AH873" s="161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7"/>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9"/>
      <c r="AD875" s="1609"/>
      <c r="AE875" s="1609"/>
      <c r="AF875" s="1609"/>
      <c r="AG875" s="1609"/>
      <c r="AH875" s="161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9"/>
      <c r="AD876" s="1609"/>
      <c r="AE876" s="1609"/>
      <c r="AF876" s="1609"/>
      <c r="AG876" s="1609"/>
      <c r="AH876" s="161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9" t="s">
        <v>996</v>
      </c>
      <c r="D877" s="1630"/>
      <c r="E877" s="1630"/>
      <c r="F877" s="1630"/>
      <c r="G877" s="1630"/>
      <c r="H877" s="1630"/>
      <c r="I877" s="1630"/>
      <c r="J877" s="1630"/>
      <c r="K877" s="1630"/>
      <c r="L877" s="1630"/>
      <c r="M877" s="1630"/>
      <c r="N877" s="1630"/>
      <c r="O877" s="1630"/>
      <c r="P877" s="1630"/>
      <c r="Q877" s="1630"/>
      <c r="R877" s="1630"/>
      <c r="S877" s="1630"/>
      <c r="T877" s="1630"/>
      <c r="U877" s="1630"/>
      <c r="V877" s="1630"/>
      <c r="W877" s="1630"/>
      <c r="X877" s="1630"/>
      <c r="Y877" s="1630"/>
      <c r="Z877" s="1630"/>
      <c r="AA877" s="1630"/>
      <c r="AB877" s="1631"/>
      <c r="AC877" s="1628"/>
      <c r="AD877" s="1628"/>
      <c r="AE877" s="1628"/>
      <c r="AF877" s="1628"/>
      <c r="AG877" s="1628"/>
      <c r="AH877" s="16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9" t="s">
        <v>996</v>
      </c>
      <c r="D878" s="1630"/>
      <c r="E878" s="1630"/>
      <c r="F878" s="1630"/>
      <c r="G878" s="1630"/>
      <c r="H878" s="1630"/>
      <c r="I878" s="1630"/>
      <c r="J878" s="1630"/>
      <c r="K878" s="1630"/>
      <c r="L878" s="1630"/>
      <c r="M878" s="1630"/>
      <c r="N878" s="1630"/>
      <c r="O878" s="1630"/>
      <c r="P878" s="1630"/>
      <c r="Q878" s="1630"/>
      <c r="R878" s="1630"/>
      <c r="S878" s="1630"/>
      <c r="T878" s="1630"/>
      <c r="U878" s="1630"/>
      <c r="V878" s="1630"/>
      <c r="W878" s="1630"/>
      <c r="X878" s="1630"/>
      <c r="Y878" s="1630"/>
      <c r="Z878" s="1630"/>
      <c r="AA878" s="1630"/>
      <c r="AB878" s="1631"/>
      <c r="AC878" s="1628"/>
      <c r="AD878" s="1628"/>
      <c r="AE878" s="1628"/>
      <c r="AF878" s="1628"/>
      <c r="AG878" s="1628"/>
      <c r="AH878" s="16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608"/>
      <c r="AA882" s="1609"/>
      <c r="AB882" s="1609"/>
      <c r="AC882" s="1609"/>
      <c r="AD882" s="1609"/>
      <c r="AE882" s="161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608"/>
      <c r="AA883" s="1609"/>
      <c r="AB883" s="1609"/>
      <c r="AC883" s="1609"/>
      <c r="AD883" s="1609"/>
      <c r="AE883" s="161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608"/>
      <c r="AA884" s="1609"/>
      <c r="AB884" s="1609"/>
      <c r="AC884" s="1609"/>
      <c r="AD884" s="1609"/>
      <c r="AE884" s="161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22">
        <f>Z882-(Z883+Z884)</f>
        <v>0</v>
      </c>
      <c r="AA885" s="1523"/>
      <c r="AB885" s="1523"/>
      <c r="AC885" s="1523"/>
      <c r="AD885" s="1523"/>
      <c r="AE885" s="152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2"/>
      <c r="BE887" s="162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2"/>
      <c r="BE888" s="162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3"/>
      <c r="BE889" s="162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3"/>
      <c r="BE890" s="162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3"/>
      <c r="BE891" s="162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2"/>
      <c r="BE892" s="162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21"/>
      <c r="BE893" s="1621"/>
      <c r="BF893" s="16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43"/>
      <c r="BE894" s="1643"/>
      <c r="BF894" s="164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3"/>
      <c r="BE895" s="162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2"/>
      <c r="BE896" s="162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9" t="s">
        <v>816</v>
      </c>
      <c r="G898" s="1820"/>
      <c r="H898" s="1820"/>
      <c r="I898" s="1820"/>
      <c r="J898" s="1820"/>
      <c r="K898" s="1820"/>
      <c r="L898" s="1820"/>
      <c r="M898" s="1820"/>
      <c r="N898" s="1820"/>
      <c r="O898" s="1820"/>
      <c r="P898" s="1820"/>
      <c r="Q898" s="1820"/>
      <c r="R898" s="1820"/>
      <c r="S898" s="1820"/>
      <c r="T898" s="1821"/>
      <c r="U898" s="1815" t="s">
        <v>31</v>
      </c>
      <c r="V898" s="1591"/>
      <c r="W898" s="1591"/>
      <c r="X898" s="1591"/>
      <c r="Y898" s="1591"/>
      <c r="Z898" s="1591"/>
      <c r="AA898" s="43"/>
      <c r="AB898" s="105"/>
      <c r="AC898" s="105"/>
      <c r="AD898" s="105"/>
      <c r="AE898" s="105"/>
      <c r="AF898" s="106"/>
      <c r="AZ898" s="34"/>
      <c r="BA898" s="34"/>
      <c r="BB898" s="30"/>
      <c r="BC898" s="30"/>
      <c r="BD898" s="1622"/>
      <c r="BE898" s="162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5" t="s">
        <v>844</v>
      </c>
      <c r="G899" s="1666"/>
      <c r="H899" s="1666"/>
      <c r="I899" s="1666"/>
      <c r="J899" s="1666"/>
      <c r="K899" s="1666"/>
      <c r="L899" s="1666"/>
      <c r="M899" s="1666"/>
      <c r="N899" s="1666"/>
      <c r="O899" s="1666"/>
      <c r="P899" s="1666"/>
      <c r="Q899" s="1666"/>
      <c r="R899" s="1666"/>
      <c r="S899" s="1666"/>
      <c r="T899" s="1667"/>
      <c r="U899" s="1665"/>
      <c r="V899" s="1666"/>
      <c r="W899" s="1666"/>
      <c r="X899" s="1666"/>
      <c r="Y899" s="1666"/>
      <c r="Z899" s="166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8"/>
      <c r="G900" s="1593"/>
      <c r="H900" s="1593"/>
      <c r="I900" s="1593"/>
      <c r="J900" s="1593"/>
      <c r="K900" s="1593"/>
      <c r="L900" s="1593"/>
      <c r="M900" s="1593"/>
      <c r="N900" s="1593"/>
      <c r="O900" s="1593"/>
      <c r="P900" s="1593"/>
      <c r="Q900" s="1593"/>
      <c r="R900" s="1593"/>
      <c r="S900" s="1593"/>
      <c r="T900" s="1594"/>
      <c r="U900" s="1668"/>
      <c r="V900" s="1593"/>
      <c r="W900" s="1593"/>
      <c r="X900" s="1593"/>
      <c r="Y900" s="1593"/>
      <c r="Z900" s="1593"/>
      <c r="AA900" s="108"/>
      <c r="AB900" s="1455" t="s">
        <v>392</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54" t="s">
        <v>554</v>
      </c>
      <c r="V901" s="1355"/>
      <c r="W901" s="1355"/>
      <c r="X901" s="1355"/>
      <c r="Y901" s="1355"/>
      <c r="Z901" s="1356"/>
      <c r="AA901" s="1650">
        <f>AM550</f>
        <v>6079348</v>
      </c>
      <c r="AB901" s="1441"/>
      <c r="AC901" s="1441"/>
      <c r="AD901" s="1441"/>
      <c r="AE901" s="1441"/>
      <c r="AF901" s="165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54" t="s">
        <v>600</v>
      </c>
      <c r="V902" s="1355"/>
      <c r="W902" s="1355"/>
      <c r="X902" s="1355"/>
      <c r="Y902" s="1355"/>
      <c r="Z902" s="1356"/>
      <c r="AA902" s="1650">
        <f>+AM554</f>
        <v>871090</v>
      </c>
      <c r="AB902" s="1441"/>
      <c r="AC902" s="1441"/>
      <c r="AD902" s="1441"/>
      <c r="AE902" s="1441"/>
      <c r="AF902" s="165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54" t="s">
        <v>600</v>
      </c>
      <c r="V903" s="1355"/>
      <c r="W903" s="1355"/>
      <c r="X903" s="1355"/>
      <c r="Y903" s="1355"/>
      <c r="Z903" s="1356"/>
      <c r="AA903" s="1650"/>
      <c r="AB903" s="1441"/>
      <c r="AC903" s="1441"/>
      <c r="AD903" s="1441"/>
      <c r="AE903" s="1441"/>
      <c r="AF903" s="165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54" t="s">
        <v>600</v>
      </c>
      <c r="V904" s="1355"/>
      <c r="W904" s="1355"/>
      <c r="X904" s="1355"/>
      <c r="Y904" s="1355"/>
      <c r="Z904" s="1356"/>
      <c r="AA904" s="1650"/>
      <c r="AB904" s="1441"/>
      <c r="AC904" s="1441"/>
      <c r="AD904" s="1441"/>
      <c r="AE904" s="1441"/>
      <c r="AF904" s="165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54" t="s">
        <v>600</v>
      </c>
      <c r="V905" s="1355"/>
      <c r="W905" s="1355"/>
      <c r="X905" s="1355"/>
      <c r="Y905" s="1355"/>
      <c r="Z905" s="1356"/>
      <c r="AA905" s="1650"/>
      <c r="AB905" s="1441"/>
      <c r="AC905" s="1441"/>
      <c r="AD905" s="1441"/>
      <c r="AE905" s="1441"/>
      <c r="AF905" s="165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54" t="s">
        <v>600</v>
      </c>
      <c r="V906" s="1355"/>
      <c r="W906" s="1355"/>
      <c r="X906" s="1355"/>
      <c r="Y906" s="1355"/>
      <c r="Z906" s="1356"/>
      <c r="AA906" s="1650"/>
      <c r="AB906" s="1441"/>
      <c r="AC906" s="1441"/>
      <c r="AD906" s="1441"/>
      <c r="AE906" s="1441"/>
      <c r="AF906" s="165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54" t="s">
        <v>600</v>
      </c>
      <c r="V907" s="1355"/>
      <c r="W907" s="1355"/>
      <c r="X907" s="1355"/>
      <c r="Y907" s="1355"/>
      <c r="Z907" s="1356"/>
      <c r="AA907" s="1650"/>
      <c r="AB907" s="1441"/>
      <c r="AC907" s="1441"/>
      <c r="AD907" s="1441"/>
      <c r="AE907" s="1441"/>
      <c r="AF907" s="165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54" t="s">
        <v>600</v>
      </c>
      <c r="V908" s="1355"/>
      <c r="W908" s="1355"/>
      <c r="X908" s="1355"/>
      <c r="Y908" s="1355"/>
      <c r="Z908" s="1356"/>
      <c r="AA908" s="1650"/>
      <c r="AB908" s="1441"/>
      <c r="AC908" s="1441"/>
      <c r="AD908" s="1441"/>
      <c r="AE908" s="1441"/>
      <c r="AF908" s="165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54" t="s">
        <v>600</v>
      </c>
      <c r="V909" s="1355"/>
      <c r="W909" s="1355"/>
      <c r="X909" s="1355"/>
      <c r="Y909" s="1355"/>
      <c r="Z909" s="1356"/>
      <c r="AA909" s="1650"/>
      <c r="AB909" s="1441"/>
      <c r="AC909" s="1441"/>
      <c r="AD909" s="1441"/>
      <c r="AE909" s="1441"/>
      <c r="AF909" s="165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54" t="s">
        <v>600</v>
      </c>
      <c r="V910" s="1355"/>
      <c r="W910" s="1355"/>
      <c r="X910" s="1355"/>
      <c r="Y910" s="1355"/>
      <c r="Z910" s="1356"/>
      <c r="AA910" s="1650"/>
      <c r="AB910" s="1441"/>
      <c r="AC910" s="1441"/>
      <c r="AD910" s="1441"/>
      <c r="AE910" s="1441"/>
      <c r="AF910" s="16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654" t="s">
        <v>600</v>
      </c>
      <c r="V911" s="1355"/>
      <c r="W911" s="1355"/>
      <c r="X911" s="1355"/>
      <c r="Y911" s="1355"/>
      <c r="Z911" s="1356"/>
      <c r="AA911" s="1650"/>
      <c r="AB911" s="1441"/>
      <c r="AC911" s="1441"/>
      <c r="AD911" s="1441"/>
      <c r="AE911" s="1441"/>
      <c r="AF911" s="165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54" t="s">
        <v>600</v>
      </c>
      <c r="V912" s="1355"/>
      <c r="W912" s="1355"/>
      <c r="X912" s="1355"/>
      <c r="Y912" s="1355"/>
      <c r="Z912" s="1356"/>
      <c r="AA912" s="1650"/>
      <c r="AB912" s="1441"/>
      <c r="AC912" s="1441"/>
      <c r="AD912" s="1441"/>
      <c r="AE912" s="1441"/>
      <c r="AF912" s="165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54" t="s">
        <v>600</v>
      </c>
      <c r="V913" s="1355"/>
      <c r="W913" s="1355"/>
      <c r="X913" s="1355"/>
      <c r="Y913" s="1355"/>
      <c r="Z913" s="1356"/>
      <c r="AA913" s="1650"/>
      <c r="AB913" s="1441"/>
      <c r="AC913" s="1441"/>
      <c r="AD913" s="1441"/>
      <c r="AE913" s="1441"/>
      <c r="AF913" s="165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54" t="s">
        <v>600</v>
      </c>
      <c r="V914" s="1355"/>
      <c r="W914" s="1355"/>
      <c r="X914" s="1355"/>
      <c r="Y914" s="1355"/>
      <c r="Z914" s="1356"/>
      <c r="AA914" s="1650"/>
      <c r="AB914" s="1441"/>
      <c r="AC914" s="1441"/>
      <c r="AD914" s="1441"/>
      <c r="AE914" s="1441"/>
      <c r="AF914" s="165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54" t="s">
        <v>600</v>
      </c>
      <c r="V915" s="1355"/>
      <c r="W915" s="1355"/>
      <c r="X915" s="1355"/>
      <c r="Y915" s="1355"/>
      <c r="Z915" s="1356"/>
      <c r="AA915" s="1650"/>
      <c r="AB915" s="1441"/>
      <c r="AC915" s="1441"/>
      <c r="AD915" s="1441"/>
      <c r="AE915" s="1441"/>
      <c r="AF915" s="165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54" t="s">
        <v>678</v>
      </c>
      <c r="Q916" s="1355"/>
      <c r="R916" s="1355"/>
      <c r="S916" s="1355"/>
      <c r="T916" s="1356"/>
      <c r="U916" s="1654" t="s">
        <v>600</v>
      </c>
      <c r="V916" s="1355"/>
      <c r="W916" s="1355"/>
      <c r="X916" s="1355"/>
      <c r="Y916" s="1355"/>
      <c r="Z916" s="1356"/>
      <c r="AA916" s="1650"/>
      <c r="AB916" s="1441"/>
      <c r="AC916" s="1441"/>
      <c r="AD916" s="1441"/>
      <c r="AE916" s="1441"/>
      <c r="AF916" s="165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1" t="s">
        <v>2730</v>
      </c>
      <c r="J917" s="1612"/>
      <c r="K917" s="1612"/>
      <c r="L917" s="1612"/>
      <c r="M917" s="1612"/>
      <c r="N917" s="1612"/>
      <c r="O917" s="1612"/>
      <c r="P917" s="1612"/>
      <c r="Q917" s="1612"/>
      <c r="R917" s="1612"/>
      <c r="S917" s="1612"/>
      <c r="T917" s="1613"/>
      <c r="U917" s="1654" t="s">
        <v>554</v>
      </c>
      <c r="V917" s="1355"/>
      <c r="W917" s="1355"/>
      <c r="X917" s="1355"/>
      <c r="Y917" s="1355"/>
      <c r="Z917" s="1356"/>
      <c r="AA917" s="1650">
        <f>AO624</f>
        <v>1287924</v>
      </c>
      <c r="AB917" s="1441"/>
      <c r="AC917" s="1441"/>
      <c r="AD917" s="1441"/>
      <c r="AE917" s="1441"/>
      <c r="AF917" s="165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62" t="s">
        <v>335</v>
      </c>
      <c r="J918" s="1663"/>
      <c r="K918" s="1663"/>
      <c r="L918" s="1663"/>
      <c r="M918" s="1663"/>
      <c r="N918" s="1663"/>
      <c r="O918" s="1663"/>
      <c r="P918" s="1663"/>
      <c r="Q918" s="1663"/>
      <c r="R918" s="1663"/>
      <c r="S918" s="1663"/>
      <c r="T918" s="1664"/>
      <c r="U918" s="1654" t="s">
        <v>600</v>
      </c>
      <c r="V918" s="1355"/>
      <c r="W918" s="1355"/>
      <c r="X918" s="1355"/>
      <c r="Y918" s="1355"/>
      <c r="Z918" s="1356"/>
      <c r="AA918" s="1650"/>
      <c r="AB918" s="1441"/>
      <c r="AC918" s="1441"/>
      <c r="AD918" s="1441"/>
      <c r="AE918" s="1441"/>
      <c r="AF918" s="165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62" t="s">
        <v>335</v>
      </c>
      <c r="J919" s="1663"/>
      <c r="K919" s="1663"/>
      <c r="L919" s="1663"/>
      <c r="M919" s="1663"/>
      <c r="N919" s="1663"/>
      <c r="O919" s="1663"/>
      <c r="P919" s="1663"/>
      <c r="Q919" s="1663"/>
      <c r="R919" s="1663"/>
      <c r="S919" s="1663"/>
      <c r="T919" s="1664"/>
      <c r="U919" s="1654" t="s">
        <v>600</v>
      </c>
      <c r="V919" s="1355"/>
      <c r="W919" s="1355"/>
      <c r="X919" s="1355"/>
      <c r="Y919" s="1355"/>
      <c r="Z919" s="1356"/>
      <c r="AA919" s="1650"/>
      <c r="AB919" s="1441"/>
      <c r="AC919" s="1441"/>
      <c r="AD919" s="1441"/>
      <c r="AE919" s="1441"/>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662" t="s">
        <v>335</v>
      </c>
      <c r="J920" s="1663"/>
      <c r="K920" s="1663"/>
      <c r="L920" s="1663"/>
      <c r="M920" s="1663"/>
      <c r="N920" s="1663"/>
      <c r="O920" s="1663"/>
      <c r="P920" s="1663"/>
      <c r="Q920" s="1663"/>
      <c r="R920" s="1663"/>
      <c r="S920" s="1663"/>
      <c r="T920" s="1664"/>
      <c r="U920" s="1654" t="s">
        <v>600</v>
      </c>
      <c r="V920" s="1355"/>
      <c r="W920" s="1355"/>
      <c r="X920" s="1355"/>
      <c r="Y920" s="1355"/>
      <c r="Z920" s="1356"/>
      <c r="AA920" s="1650"/>
      <c r="AB920" s="1441"/>
      <c r="AC920" s="1441"/>
      <c r="AD920" s="1441"/>
      <c r="AE920" s="1441"/>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1">
        <v>44713</v>
      </c>
      <c r="N925" s="1597"/>
      <c r="O925" s="1597"/>
      <c r="P925" s="1597"/>
      <c r="Q925" s="1597"/>
      <c r="R925" s="1597"/>
      <c r="S925" s="1620"/>
      <c r="U925" s="66" t="s">
        <v>11</v>
      </c>
      <c r="V925" s="5"/>
      <c r="W925" s="5"/>
      <c r="X925" s="5"/>
      <c r="Y925" s="5"/>
      <c r="Z925" s="5"/>
      <c r="AA925" s="5"/>
      <c r="AB925" s="5"/>
      <c r="AC925" s="5"/>
      <c r="AD925" s="46"/>
      <c r="AE925" s="1661" t="s">
        <v>600</v>
      </c>
      <c r="AF925" s="1597"/>
      <c r="AG925" s="1597"/>
      <c r="AH925" s="1597"/>
      <c r="AI925" s="1597"/>
      <c r="AJ925" s="1597"/>
      <c r="AK925" s="162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52" t="s">
        <v>2752</v>
      </c>
      <c r="N926" s="1468"/>
      <c r="O926" s="1468"/>
      <c r="P926" s="1468"/>
      <c r="Q926" s="1468"/>
      <c r="R926" s="1468"/>
      <c r="S926" s="1653"/>
      <c r="U926" s="66" t="s">
        <v>12</v>
      </c>
      <c r="V926" s="5"/>
      <c r="W926" s="5"/>
      <c r="X926" s="5"/>
      <c r="Y926" s="5"/>
      <c r="Z926" s="5"/>
      <c r="AA926" s="5"/>
      <c r="AB926" s="5"/>
      <c r="AC926" s="5"/>
      <c r="AD926" s="46"/>
      <c r="AE926" s="1652" t="s">
        <v>600</v>
      </c>
      <c r="AF926" s="1468"/>
      <c r="AG926" s="1468"/>
      <c r="AH926" s="1468"/>
      <c r="AI926" s="1468"/>
      <c r="AJ926" s="1468"/>
      <c r="AK926" s="165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55" t="s">
        <v>2753</v>
      </c>
      <c r="K927" s="1656"/>
      <c r="L927" s="1656"/>
      <c r="M927" s="1656"/>
      <c r="N927" s="1656"/>
      <c r="O927" s="1656"/>
      <c r="P927" s="1656"/>
      <c r="Q927" s="1656"/>
      <c r="R927" s="1656"/>
      <c r="S927" s="1657"/>
      <c r="U927" s="66" t="s">
        <v>909</v>
      </c>
      <c r="V927" s="5"/>
      <c r="W927" s="5"/>
      <c r="AB927" s="1655" t="s">
        <v>308</v>
      </c>
      <c r="AC927" s="1656"/>
      <c r="AD927" s="1656"/>
      <c r="AE927" s="1656"/>
      <c r="AF927" s="1656"/>
      <c r="AG927" s="1656"/>
      <c r="AH927" s="1656"/>
      <c r="AI927" s="1656"/>
      <c r="AJ927" s="1656"/>
      <c r="AK927" s="165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23">
        <f>17/18</f>
        <v>0.94444444444444442</v>
      </c>
      <c r="N928" s="1672"/>
      <c r="O928" s="1672"/>
      <c r="P928" s="1672"/>
      <c r="Q928" s="1672"/>
      <c r="R928" s="1672"/>
      <c r="S928" s="1673"/>
      <c r="U928" s="66" t="s">
        <v>13</v>
      </c>
      <c r="V928" s="5"/>
      <c r="W928" s="5"/>
      <c r="X928" s="5"/>
      <c r="Y928" s="5"/>
      <c r="Z928" s="5"/>
      <c r="AA928" s="5"/>
      <c r="AB928" s="5"/>
      <c r="AC928" s="5"/>
      <c r="AD928" s="46"/>
      <c r="AE928" s="1671" t="s">
        <v>600</v>
      </c>
      <c r="AF928" s="1672"/>
      <c r="AG928" s="1672"/>
      <c r="AH928" s="1672"/>
      <c r="AI928" s="1672"/>
      <c r="AJ928" s="1672"/>
      <c r="AK928" s="167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4">
        <v>17</v>
      </c>
      <c r="N929" s="1638"/>
      <c r="O929" s="1638"/>
      <c r="P929" s="1638"/>
      <c r="Q929" s="1638"/>
      <c r="R929" s="1638"/>
      <c r="S929" s="1639"/>
      <c r="U929" s="66" t="s">
        <v>14</v>
      </c>
      <c r="V929" s="5"/>
      <c r="W929" s="5"/>
      <c r="X929" s="5"/>
      <c r="Y929" s="5"/>
      <c r="Z929" s="5"/>
      <c r="AA929" s="5"/>
      <c r="AB929" s="5"/>
      <c r="AC929" s="5"/>
      <c r="AD929" s="46"/>
      <c r="AE929" s="1674" t="s">
        <v>600</v>
      </c>
      <c r="AF929" s="1638"/>
      <c r="AG929" s="1638"/>
      <c r="AH929" s="1638"/>
      <c r="AI929" s="1638"/>
      <c r="AJ929" s="1638"/>
      <c r="AK929" s="163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50">
        <f>'Subsidy Contract Calculation'!J30</f>
        <v>241332</v>
      </c>
      <c r="N930" s="1441"/>
      <c r="O930" s="1441"/>
      <c r="P930" s="1441"/>
      <c r="Q930" s="1441"/>
      <c r="R930" s="1441"/>
      <c r="S930" s="1651"/>
      <c r="U930" s="66" t="s">
        <v>15</v>
      </c>
      <c r="V930" s="5"/>
      <c r="W930" s="5"/>
      <c r="X930" s="5"/>
      <c r="Y930" s="5"/>
      <c r="Z930" s="5"/>
      <c r="AA930" s="5"/>
      <c r="AB930" s="5"/>
      <c r="AC930" s="5"/>
      <c r="AD930" s="46"/>
      <c r="AE930" s="1650" t="s">
        <v>600</v>
      </c>
      <c r="AF930" s="1441"/>
      <c r="AG930" s="1441"/>
      <c r="AH930" s="1441"/>
      <c r="AI930" s="1441"/>
      <c r="AJ930" s="1441"/>
      <c r="AK930" s="165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50">
        <f>M930*M932</f>
        <v>4826640</v>
      </c>
      <c r="N931" s="1441"/>
      <c r="O931" s="1441"/>
      <c r="P931" s="1441"/>
      <c r="Q931" s="1441"/>
      <c r="R931" s="1441"/>
      <c r="S931" s="1651"/>
      <c r="U931" s="66" t="s">
        <v>16</v>
      </c>
      <c r="V931" s="5"/>
      <c r="W931" s="5"/>
      <c r="X931" s="5"/>
      <c r="Y931" s="5"/>
      <c r="Z931" s="5"/>
      <c r="AA931" s="5"/>
      <c r="AB931" s="5"/>
      <c r="AC931" s="5"/>
      <c r="AD931" s="46"/>
      <c r="AE931" s="1650" t="s">
        <v>600</v>
      </c>
      <c r="AF931" s="1441"/>
      <c r="AG931" s="1441"/>
      <c r="AH931" s="1441"/>
      <c r="AI931" s="1441"/>
      <c r="AJ931" s="1441"/>
      <c r="AK931" s="165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669">
        <v>20</v>
      </c>
      <c r="N932" s="1598"/>
      <c r="O932" s="1598"/>
      <c r="P932" s="1598"/>
      <c r="Q932" s="1598"/>
      <c r="R932" s="1598"/>
      <c r="S932" s="1670"/>
      <c r="U932" s="121" t="s">
        <v>1843</v>
      </c>
      <c r="V932" s="5"/>
      <c r="W932" s="5"/>
      <c r="X932" s="5"/>
      <c r="Y932" s="5"/>
      <c r="Z932" s="5"/>
      <c r="AA932" s="5"/>
      <c r="AB932" s="5"/>
      <c r="AC932" s="5"/>
      <c r="AD932" s="46"/>
      <c r="AE932" s="1669" t="s">
        <v>600</v>
      </c>
      <c r="AF932" s="1598"/>
      <c r="AG932" s="1598"/>
      <c r="AH932" s="1598"/>
      <c r="AI932" s="1598"/>
      <c r="AJ932" s="1598"/>
      <c r="AK932" s="167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40" t="s">
        <v>600</v>
      </c>
      <c r="N937" s="1641"/>
      <c r="O937" s="1641"/>
      <c r="P937" s="1641"/>
      <c r="Q937" s="1641"/>
      <c r="R937" s="1641"/>
      <c r="S937" s="1642"/>
      <c r="T937" s="66" t="s">
        <v>814</v>
      </c>
      <c r="U937" s="5"/>
      <c r="V937" s="5"/>
      <c r="W937" s="5"/>
      <c r="X937" s="5"/>
      <c r="Y937" s="5"/>
      <c r="Z937" s="46"/>
      <c r="AA937" s="1640" t="s">
        <v>600</v>
      </c>
      <c r="AB937" s="1641"/>
      <c r="AC937" s="1641"/>
      <c r="AD937" s="1641"/>
      <c r="AE937" s="1641"/>
      <c r="AF937" s="1641"/>
      <c r="AG937" s="16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40" t="s">
        <v>600</v>
      </c>
      <c r="N938" s="1641"/>
      <c r="O938" s="1641"/>
      <c r="P938" s="1641"/>
      <c r="Q938" s="1641"/>
      <c r="R938" s="1641"/>
      <c r="S938" s="1642"/>
      <c r="T938" s="66" t="s">
        <v>813</v>
      </c>
      <c r="U938" s="5"/>
      <c r="V938" s="5"/>
      <c r="W938" s="5"/>
      <c r="X938" s="5"/>
      <c r="Y938" s="5"/>
      <c r="Z938" s="46"/>
      <c r="AA938" s="1640" t="s">
        <v>600</v>
      </c>
      <c r="AB938" s="1641"/>
      <c r="AC938" s="1641"/>
      <c r="AD938" s="1641"/>
      <c r="AE938" s="1641"/>
      <c r="AF938" s="1641"/>
      <c r="AG938" s="16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94" t="s">
        <v>600</v>
      </c>
      <c r="N939" s="1695"/>
      <c r="O939" s="1695"/>
      <c r="P939" s="1695"/>
      <c r="Q939" s="1695"/>
      <c r="R939" s="1695"/>
      <c r="S939" s="1696"/>
      <c r="T939" s="45" t="s">
        <v>338</v>
      </c>
      <c r="U939" s="5"/>
      <c r="V939" s="5"/>
      <c r="W939" s="5"/>
      <c r="X939" s="5"/>
      <c r="Y939" s="5"/>
      <c r="Z939" s="46"/>
      <c r="AA939" s="1640" t="s">
        <v>600</v>
      </c>
      <c r="AB939" s="1641"/>
      <c r="AC939" s="1641"/>
      <c r="AD939" s="1641"/>
      <c r="AE939" s="1641"/>
      <c r="AF939" s="1641"/>
      <c r="AG939" s="16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40" t="s">
        <v>600</v>
      </c>
      <c r="N940" s="1641"/>
      <c r="O940" s="1641"/>
      <c r="P940" s="1641"/>
      <c r="Q940" s="1641"/>
      <c r="R940" s="1641"/>
      <c r="S940" s="1642"/>
      <c r="T940" s="45" t="s">
        <v>339</v>
      </c>
      <c r="U940" s="5"/>
      <c r="V940" s="5"/>
      <c r="W940" s="5"/>
      <c r="X940" s="5"/>
      <c r="Y940" s="5"/>
      <c r="Z940" s="46"/>
      <c r="AA940" s="1640" t="s">
        <v>600</v>
      </c>
      <c r="AB940" s="1641"/>
      <c r="AC940" s="1641"/>
      <c r="AD940" s="1641"/>
      <c r="AE940" s="1641"/>
      <c r="AF940" s="1641"/>
      <c r="AG940" s="16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40" t="s">
        <v>600</v>
      </c>
      <c r="N941" s="1641"/>
      <c r="O941" s="1641"/>
      <c r="P941" s="1641"/>
      <c r="Q941" s="1641"/>
      <c r="R941" s="1641"/>
      <c r="S941" s="1642"/>
      <c r="T941" s="45" t="s">
        <v>377</v>
      </c>
      <c r="U941" s="5"/>
      <c r="V941" s="5"/>
      <c r="W941" s="5"/>
      <c r="X941" s="5"/>
      <c r="Y941" s="5"/>
      <c r="Z941" s="46"/>
      <c r="AA941" s="1640" t="s">
        <v>600</v>
      </c>
      <c r="AB941" s="1641"/>
      <c r="AC941" s="1641"/>
      <c r="AD941" s="1641"/>
      <c r="AE941" s="1641"/>
      <c r="AF941" s="1641"/>
      <c r="AG941" s="16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81" t="s">
        <v>308</v>
      </c>
      <c r="N942" s="1682"/>
      <c r="O942" s="1682"/>
      <c r="P942" s="1682"/>
      <c r="Q942" s="1682"/>
      <c r="R942" s="1682"/>
      <c r="S942" s="1683"/>
      <c r="T942" s="1658"/>
      <c r="U942" s="1659"/>
      <c r="V942" s="1659"/>
      <c r="W942" s="1659"/>
      <c r="X942" s="1659"/>
      <c r="Y942" s="1659"/>
      <c r="Z942" s="1660"/>
      <c r="AA942" s="1640" t="s">
        <v>600</v>
      </c>
      <c r="AB942" s="1641"/>
      <c r="AC942" s="1641"/>
      <c r="AD942" s="1641"/>
      <c r="AE942" s="1641"/>
      <c r="AF942" s="1641"/>
      <c r="AG942" s="16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78" t="s">
        <v>600</v>
      </c>
      <c r="N943" s="1679"/>
      <c r="O943" s="1679"/>
      <c r="P943" s="1679"/>
      <c r="Q943" s="1679"/>
      <c r="R943" s="1679"/>
      <c r="S943" s="1680"/>
      <c r="T943" s="1658"/>
      <c r="U943" s="1659"/>
      <c r="V943" s="1659"/>
      <c r="W943" s="1659"/>
      <c r="X943" s="1659"/>
      <c r="Y943" s="1659"/>
      <c r="Z943" s="1660"/>
      <c r="AA943" s="1640" t="s">
        <v>600</v>
      </c>
      <c r="AB943" s="1641"/>
      <c r="AC943" s="1641"/>
      <c r="AD943" s="1641"/>
      <c r="AE943" s="1641"/>
      <c r="AF943" s="1641"/>
      <c r="AG943" s="16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5" t="s">
        <v>678</v>
      </c>
      <c r="P944" s="1367"/>
      <c r="Q944" s="92"/>
      <c r="R944" s="92"/>
      <c r="S944" s="93"/>
      <c r="T944" s="41" t="s">
        <v>170</v>
      </c>
      <c r="U944" s="42"/>
      <c r="V944" s="42"/>
      <c r="W944" s="1675" t="s">
        <v>335</v>
      </c>
      <c r="X944" s="1676"/>
      <c r="Y944" s="1676"/>
      <c r="Z944" s="1676"/>
      <c r="AA944" s="1676"/>
      <c r="AB944" s="1676"/>
      <c r="AC944" s="1676"/>
      <c r="AD944" s="1676"/>
      <c r="AE944" s="1676"/>
      <c r="AF944" s="1676"/>
      <c r="AG944" s="167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5" t="s">
        <v>33</v>
      </c>
      <c r="G945" s="1518"/>
      <c r="H945" s="1518"/>
      <c r="I945" s="1518"/>
      <c r="J945" s="1518"/>
      <c r="K945" s="1518"/>
      <c r="L945" s="1518"/>
      <c r="M945" s="1678" t="s">
        <v>600</v>
      </c>
      <c r="N945" s="1679"/>
      <c r="O945" s="1679"/>
      <c r="P945" s="1679"/>
      <c r="Q945" s="1679"/>
      <c r="R945" s="1679"/>
      <c r="S945" s="1680"/>
      <c r="T945" s="47"/>
      <c r="U945" s="48"/>
      <c r="V945" s="48"/>
      <c r="W945" s="48"/>
      <c r="X945" s="48"/>
      <c r="Y945" s="48"/>
      <c r="Z945" s="124" t="s">
        <v>135</v>
      </c>
      <c r="AA945" s="1816" t="s">
        <v>600</v>
      </c>
      <c r="AB945" s="1817"/>
      <c r="AC945" s="1817"/>
      <c r="AD945" s="1817"/>
      <c r="AE945" s="1817"/>
      <c r="AF945" s="1817"/>
      <c r="AG945" s="181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22" t="s">
        <v>557</v>
      </c>
      <c r="B949" s="1822"/>
      <c r="C949" s="1822"/>
      <c r="D949" s="1822"/>
      <c r="E949" s="1822"/>
      <c r="F949" s="1822"/>
      <c r="G949" s="1822"/>
      <c r="H949" s="1822"/>
      <c r="I949" s="1822"/>
      <c r="J949" s="1822"/>
      <c r="K949" s="1822"/>
      <c r="L949" s="1822"/>
      <c r="M949" s="1822"/>
      <c r="N949" s="1822"/>
      <c r="O949" s="1822"/>
      <c r="P949" s="1822"/>
      <c r="Q949" s="1822"/>
      <c r="R949" s="1822"/>
      <c r="S949" s="1822"/>
      <c r="T949" s="1822"/>
      <c r="U949" s="1822"/>
      <c r="V949" s="1822"/>
      <c r="W949" s="1822"/>
      <c r="X949" s="1822"/>
      <c r="Y949" s="1822"/>
      <c r="Z949" s="1822"/>
      <c r="AA949" s="1822"/>
      <c r="AB949" s="1822"/>
      <c r="AC949" s="1822"/>
      <c r="AD949" s="1822"/>
      <c r="AE949" s="1822"/>
      <c r="AF949" s="1822"/>
      <c r="AG949" s="1822"/>
      <c r="AH949" s="1822"/>
      <c r="AI949" s="1822"/>
      <c r="AJ949" s="1822"/>
      <c r="AK949" s="1822"/>
      <c r="AL949" s="1822"/>
      <c r="AM949" s="1822"/>
      <c r="AN949" s="1822"/>
      <c r="AO949" s="1822"/>
      <c r="AP949" s="1822"/>
      <c r="AQ949" s="1822"/>
      <c r="AR949" s="1822"/>
      <c r="AS949" s="182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22"/>
      <c r="B950" s="1822"/>
      <c r="C950" s="1822"/>
      <c r="D950" s="1822"/>
      <c r="E950" s="1822"/>
      <c r="F950" s="1822"/>
      <c r="G950" s="1822"/>
      <c r="H950" s="1822"/>
      <c r="I950" s="1822"/>
      <c r="J950" s="1822"/>
      <c r="K950" s="1822"/>
      <c r="L950" s="1822"/>
      <c r="M950" s="1822"/>
      <c r="N950" s="1822"/>
      <c r="O950" s="1822"/>
      <c r="P950" s="1822"/>
      <c r="Q950" s="1822"/>
      <c r="R950" s="1822"/>
      <c r="S950" s="1822"/>
      <c r="T950" s="1822"/>
      <c r="U950" s="1822"/>
      <c r="V950" s="1822"/>
      <c r="W950" s="1822"/>
      <c r="X950" s="1822"/>
      <c r="Y950" s="1822"/>
      <c r="Z950" s="1822"/>
      <c r="AA950" s="1822"/>
      <c r="AB950" s="1822"/>
      <c r="AC950" s="1822"/>
      <c r="AD950" s="1822"/>
      <c r="AE950" s="1822"/>
      <c r="AF950" s="1822"/>
      <c r="AG950" s="1822"/>
      <c r="AH950" s="1822"/>
      <c r="AI950" s="1822"/>
      <c r="AJ950" s="1822"/>
      <c r="AK950" s="1822"/>
      <c r="AL950" s="1822"/>
      <c r="AM950" s="1822"/>
      <c r="AN950" s="1822"/>
      <c r="AO950" s="1822"/>
      <c r="AP950" s="1822"/>
      <c r="AQ950" s="1822"/>
      <c r="AR950" s="1822"/>
      <c r="AS950" s="182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3"/>
      <c r="BH951" s="1623"/>
      <c r="BI951" s="1623"/>
      <c r="BJ951" s="1623"/>
      <c r="BK951" s="1623"/>
      <c r="BL951" s="162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9" t="s">
        <v>647</v>
      </c>
      <c r="E954" s="1810"/>
      <c r="F954" s="1810"/>
      <c r="G954" s="1810"/>
      <c r="H954" s="1810"/>
      <c r="I954" s="1810"/>
      <c r="J954" s="1810"/>
      <c r="K954" s="1810"/>
      <c r="L954" s="1810"/>
      <c r="M954" s="1810"/>
      <c r="N954" s="1810"/>
      <c r="O954" s="1810"/>
      <c r="P954" s="1810"/>
      <c r="Q954" s="1811"/>
      <c r="R954" s="1809" t="s">
        <v>648</v>
      </c>
      <c r="S954" s="1810"/>
      <c r="T954" s="1810"/>
      <c r="U954" s="1810"/>
      <c r="V954" s="1810"/>
      <c r="W954" s="1810"/>
      <c r="X954" s="1810"/>
      <c r="Y954" s="1810"/>
      <c r="Z954" s="1810"/>
      <c r="AA954" s="1811"/>
      <c r="AB954" s="1809" t="s">
        <v>649</v>
      </c>
      <c r="AC954" s="1810"/>
      <c r="AD954" s="1810"/>
      <c r="AE954" s="1810"/>
      <c r="AF954" s="1810"/>
      <c r="AG954" s="1810"/>
      <c r="AH954" s="1810"/>
      <c r="AI954" s="1811"/>
      <c r="AJ954" s="1809" t="s">
        <v>650</v>
      </c>
      <c r="AK954" s="1810"/>
      <c r="AL954" s="1810"/>
      <c r="AM954" s="1810"/>
      <c r="AN954" s="1810"/>
      <c r="AO954" s="1810"/>
      <c r="AP954" s="1810"/>
      <c r="AQ954" s="181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22" t="s">
        <v>642</v>
      </c>
      <c r="E955" s="1723"/>
      <c r="F955" s="1723"/>
      <c r="G955" s="1723"/>
      <c r="H955" s="1723"/>
      <c r="I955" s="1723"/>
      <c r="J955" s="1723"/>
      <c r="K955" s="1723"/>
      <c r="L955" s="1723"/>
      <c r="M955" s="1723"/>
      <c r="N955" s="1723"/>
      <c r="O955" s="1723"/>
      <c r="P955" s="1723"/>
      <c r="Q955" s="1724"/>
      <c r="R955" s="1700">
        <f>IF(ISNA(IF($BN$785="4%",(INDEX($BP$795:$BT$852,MATCH($CB$785,$BO$795:$BO$852,0),MATCH(D955,$BP$794:$BT$794,0))),(INDEX($BW$795:$CA$852,MATCH($CB$785,$BV$795:$BV$852,0),MATCH(D955,$BW$794:$CA$794,0))))),0,IF($BN$785="4%",(INDEX($BP$795:$BT$852,MATCH($CB$785,$BO$795:$BO$852,0),MATCH(D955,$BP$794:$BT$794,0))),(INDEX($BW$795:$CA$852,MATCH($CB$785,$BV$795:$BV$852,0),MATCH(D955,$BW$794:$CA$794,0)))))</f>
        <v>331890</v>
      </c>
      <c r="S955" s="1700"/>
      <c r="T955" s="1700"/>
      <c r="U955" s="1700"/>
      <c r="V955" s="1700"/>
      <c r="W955" s="1700"/>
      <c r="X955" s="1700"/>
      <c r="Y955" s="1700"/>
      <c r="Z955" s="1700"/>
      <c r="AA955" s="1700"/>
      <c r="AB955" s="1812">
        <f>BN649</f>
        <v>0</v>
      </c>
      <c r="AC955" s="1813"/>
      <c r="AD955" s="1813"/>
      <c r="AE955" s="1813"/>
      <c r="AF955" s="1813"/>
      <c r="AG955" s="1813"/>
      <c r="AH955" s="1813"/>
      <c r="AI955" s="1814"/>
      <c r="AJ955" s="1727">
        <f>IF(ISERROR((R955*AB955)),0,(R955*AB955))</f>
        <v>0</v>
      </c>
      <c r="AK955" s="1728"/>
      <c r="AL955" s="1728"/>
      <c r="AM955" s="1728"/>
      <c r="AN955" s="1728"/>
      <c r="AO955" s="1728"/>
      <c r="AP955" s="1728"/>
      <c r="AQ955" s="172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22" t="s">
        <v>326</v>
      </c>
      <c r="E956" s="1723"/>
      <c r="F956" s="1723"/>
      <c r="G956" s="1723"/>
      <c r="H956" s="1723"/>
      <c r="I956" s="1723"/>
      <c r="J956" s="1723"/>
      <c r="K956" s="1723"/>
      <c r="L956" s="1723"/>
      <c r="M956" s="1723"/>
      <c r="N956" s="1723"/>
      <c r="O956" s="1723"/>
      <c r="P956" s="1723"/>
      <c r="Q956" s="1724"/>
      <c r="R956" s="1700">
        <f>IF(ISNA(IF($BN$785="4%",(INDEX($BP$795:$BT$852,MATCH($CB$785,$BO$795:$BO$852,0),MATCH(D956,$BP$794:$BT$794,0))),(INDEX($BW$795:$CA$852,MATCH($CB$785,$BV$795:$BV$852,0),MATCH(D956,$BW$794:$CA$794,0))))),0,IF($BN$785="4%",(INDEX($BP$795:$BT$852,MATCH($CB$785,$BO$795:$BO$852,0),MATCH(D956,$BP$794:$BT$794,0))),(INDEX($BW$795:$CA$852,MATCH($CB$785,$BV$795:$BV$852,0),MATCH(D956,$BW$794:$CA$794,0)))))</f>
        <v>382666</v>
      </c>
      <c r="S956" s="1700"/>
      <c r="T956" s="1700"/>
      <c r="U956" s="1700"/>
      <c r="V956" s="1700"/>
      <c r="W956" s="1700"/>
      <c r="X956" s="1700"/>
      <c r="Y956" s="1700"/>
      <c r="Z956" s="1700"/>
      <c r="AA956" s="1700"/>
      <c r="AB956" s="1812">
        <f>BS649</f>
        <v>1</v>
      </c>
      <c r="AC956" s="1813"/>
      <c r="AD956" s="1813"/>
      <c r="AE956" s="1813"/>
      <c r="AF956" s="1813"/>
      <c r="AG956" s="1813"/>
      <c r="AH956" s="1813"/>
      <c r="AI956" s="1814"/>
      <c r="AJ956" s="1727">
        <f>IF(ISERROR((R956*AB956)),0,(R956*AB956))</f>
        <v>382666</v>
      </c>
      <c r="AK956" s="1728"/>
      <c r="AL956" s="1728"/>
      <c r="AM956" s="1728"/>
      <c r="AN956" s="1728"/>
      <c r="AO956" s="1728"/>
      <c r="AP956" s="1728"/>
      <c r="AQ956" s="172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22" t="s">
        <v>164</v>
      </c>
      <c r="E957" s="1723"/>
      <c r="F957" s="1723"/>
      <c r="G957" s="1723"/>
      <c r="H957" s="1723"/>
      <c r="I957" s="1723"/>
      <c r="J957" s="1723"/>
      <c r="K957" s="1723"/>
      <c r="L957" s="1723"/>
      <c r="M957" s="1723"/>
      <c r="N957" s="1723"/>
      <c r="O957" s="1723"/>
      <c r="P957" s="1723"/>
      <c r="Q957" s="1724"/>
      <c r="R957" s="1700">
        <f>IF(ISNA(IF($BN$785="4%",(INDEX($BP$795:$BT$852,MATCH($CB$785,$BO$795:$BO$852,0),MATCH(D957,$BP$794:$BT$794,0))),(INDEX($BW$795:$CA$852,MATCH($CB$785,$BV$795:$BV$852,0),MATCH(D957,$BW$794:$CA$794,0))))),0,IF($BN$785="4%",(INDEX($BP$795:$BT$852,MATCH($CB$785,$BO$795:$BO$852,0),MATCH(D957,$BP$794:$BT$794,0))),(INDEX($BW$795:$CA$852,MATCH($CB$785,$BV$795:$BV$852,0),MATCH(D957,$BW$794:$CA$794,0)))))</f>
        <v>461600</v>
      </c>
      <c r="S957" s="1700"/>
      <c r="T957" s="1700"/>
      <c r="U957" s="1700"/>
      <c r="V957" s="1700"/>
      <c r="W957" s="1700"/>
      <c r="X957" s="1700"/>
      <c r="Y957" s="1700"/>
      <c r="Z957" s="1700"/>
      <c r="AA957" s="1700"/>
      <c r="AB957" s="1812">
        <f>BX649</f>
        <v>17</v>
      </c>
      <c r="AC957" s="1813"/>
      <c r="AD957" s="1813"/>
      <c r="AE957" s="1813"/>
      <c r="AF957" s="1813"/>
      <c r="AG957" s="1813"/>
      <c r="AH957" s="1813"/>
      <c r="AI957" s="1814"/>
      <c r="AJ957" s="1727">
        <f>IF(ISERROR((R957*AB957)),0,(R957*AB957))</f>
        <v>7847200</v>
      </c>
      <c r="AK957" s="1728"/>
      <c r="AL957" s="1728"/>
      <c r="AM957" s="1728"/>
      <c r="AN957" s="1728"/>
      <c r="AO957" s="1728"/>
      <c r="AP957" s="1728"/>
      <c r="AQ957" s="172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22" t="s">
        <v>165</v>
      </c>
      <c r="E958" s="1723"/>
      <c r="F958" s="1723"/>
      <c r="G958" s="1723"/>
      <c r="H958" s="1723"/>
      <c r="I958" s="1723"/>
      <c r="J958" s="1723"/>
      <c r="K958" s="1723"/>
      <c r="L958" s="1723"/>
      <c r="M958" s="1723"/>
      <c r="N958" s="1723"/>
      <c r="O958" s="1723"/>
      <c r="P958" s="1723"/>
      <c r="Q958" s="1724"/>
      <c r="R958" s="1700">
        <f>IF(ISNA(IF($BN$785="4%",(INDEX($BP$795:$BT$852,MATCH($CB$785,$BO$795:$BO$852,0),MATCH(D958,$BP$794:$BT$794,0))),(INDEX($BW$795:$CA$852,MATCH($CB$785,$BV$795:$BV$852,0),MATCH(D958,$BW$794:$CA$794,0))))),0,IF($BN$785="4%",(INDEX($BP$795:$BT$852,MATCH($CB$785,$BO$795:$BO$852,0),MATCH(D958,$BP$794:$BT$794,0))),(INDEX($BW$795:$CA$852,MATCH($CB$785,$BV$795:$BV$852,0),MATCH(D958,$BW$794:$CA$794,0)))))</f>
        <v>590848</v>
      </c>
      <c r="S958" s="1700"/>
      <c r="T958" s="1700"/>
      <c r="U958" s="1700"/>
      <c r="V958" s="1700"/>
      <c r="W958" s="1700"/>
      <c r="X958" s="1700"/>
      <c r="Y958" s="1700"/>
      <c r="Z958" s="1700"/>
      <c r="AA958" s="1700"/>
      <c r="AB958" s="1812">
        <f>CC649</f>
        <v>0</v>
      </c>
      <c r="AC958" s="1813"/>
      <c r="AD958" s="1813"/>
      <c r="AE958" s="1813"/>
      <c r="AF958" s="1813"/>
      <c r="AG958" s="1813"/>
      <c r="AH958" s="1813"/>
      <c r="AI958" s="1814"/>
      <c r="AJ958" s="1727">
        <f>IF(ISERROR((R958*AB958)),0,(R958*AB958))</f>
        <v>0</v>
      </c>
      <c r="AK958" s="1728"/>
      <c r="AL958" s="1728"/>
      <c r="AM958" s="1728"/>
      <c r="AN958" s="1728"/>
      <c r="AO958" s="1728"/>
      <c r="AP958" s="1728"/>
      <c r="AQ958" s="172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22" t="s">
        <v>469</v>
      </c>
      <c r="E959" s="1723"/>
      <c r="F959" s="1723"/>
      <c r="G959" s="1723"/>
      <c r="H959" s="1723"/>
      <c r="I959" s="1723"/>
      <c r="J959" s="1723"/>
      <c r="K959" s="1723"/>
      <c r="L959" s="1723"/>
      <c r="M959" s="1723"/>
      <c r="N959" s="1723"/>
      <c r="O959" s="1723"/>
      <c r="P959" s="1723"/>
      <c r="Q959" s="1724"/>
      <c r="R959" s="1700">
        <f>IF(ISNA(IF($BN$785="4%",(INDEX($BP$795:$BT$852,MATCH($CB$785,$BO$795:$BO$852,0),MATCH(D959,$BP$794:$BT$794,0))),(INDEX($BW$795:$CA$852,MATCH($CB$785,$BV$795:$BV$852,0),MATCH(D959,$BW$794:$CA$794,0))))),0,IF($BN$785="4%",(INDEX($BP$795:$BT$852,MATCH($CB$785,$BO$795:$BO$852,0),MATCH(D959,$BP$794:$BT$794,0))),(INDEX($BW$795:$CA$852,MATCH($CB$785,$BV$795:$BV$852,0),MATCH(D959,$BW$794:$CA$794,0)))))</f>
        <v>658242</v>
      </c>
      <c r="S959" s="1700"/>
      <c r="T959" s="1700"/>
      <c r="U959" s="1700"/>
      <c r="V959" s="1700"/>
      <c r="W959" s="1700"/>
      <c r="X959" s="1700"/>
      <c r="Y959" s="1700"/>
      <c r="Z959" s="1700"/>
      <c r="AA959" s="1700"/>
      <c r="AB959" s="1812">
        <f>CM649+CH649</f>
        <v>0</v>
      </c>
      <c r="AC959" s="1813"/>
      <c r="AD959" s="1813"/>
      <c r="AE959" s="1813"/>
      <c r="AF959" s="1813"/>
      <c r="AG959" s="1813"/>
      <c r="AH959" s="1813"/>
      <c r="AI959" s="1814"/>
      <c r="AJ959" s="1727">
        <f>IF(ISERROR((R959*AB959)),0,(R959*AB959))</f>
        <v>0</v>
      </c>
      <c r="AK959" s="1728"/>
      <c r="AL959" s="1728"/>
      <c r="AM959" s="1728"/>
      <c r="AN959" s="1728"/>
      <c r="AO959" s="1728"/>
      <c r="AP959" s="1728"/>
      <c r="AQ959" s="172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24" t="s">
        <v>815</v>
      </c>
      <c r="C960" s="1825"/>
      <c r="D960" s="1825"/>
      <c r="E960" s="1825"/>
      <c r="F960" s="1825"/>
      <c r="G960" s="1825"/>
      <c r="H960" s="1825"/>
      <c r="I960" s="1825"/>
      <c r="J960" s="1825"/>
      <c r="K960" s="1825"/>
      <c r="L960" s="1825"/>
      <c r="M960" s="1825"/>
      <c r="N960" s="1825"/>
      <c r="O960" s="1825"/>
      <c r="P960" s="1825"/>
      <c r="Q960" s="1825"/>
      <c r="R960" s="1825"/>
      <c r="S960" s="1825"/>
      <c r="T960" s="1825"/>
      <c r="U960" s="1825"/>
      <c r="V960" s="1825"/>
      <c r="W960" s="1825"/>
      <c r="X960" s="1825"/>
      <c r="Y960" s="1825"/>
      <c r="Z960" s="1825"/>
      <c r="AA960" s="1826"/>
      <c r="AB960" s="1812">
        <f>SUM(AB955:AI959)</f>
        <v>18</v>
      </c>
      <c r="AC960" s="1813"/>
      <c r="AD960" s="1813"/>
      <c r="AE960" s="1813"/>
      <c r="AF960" s="1813"/>
      <c r="AG960" s="1813"/>
      <c r="AH960" s="1813"/>
      <c r="AI960" s="1814"/>
      <c r="AJ960" s="1727"/>
      <c r="AK960" s="1728"/>
      <c r="AL960" s="1728"/>
      <c r="AM960" s="1728"/>
      <c r="AN960" s="1728"/>
      <c r="AO960" s="1728"/>
      <c r="AP960" s="1728"/>
      <c r="AQ960" s="172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42" t="s">
        <v>521</v>
      </c>
      <c r="C961" s="1843"/>
      <c r="D961" s="1843"/>
      <c r="E961" s="1843"/>
      <c r="F961" s="1843"/>
      <c r="G961" s="1843"/>
      <c r="H961" s="1843"/>
      <c r="I961" s="1843"/>
      <c r="J961" s="1843"/>
      <c r="K961" s="1843"/>
      <c r="L961" s="1843"/>
      <c r="M961" s="1843"/>
      <c r="N961" s="1843"/>
      <c r="O961" s="1843"/>
      <c r="P961" s="1843"/>
      <c r="Q961" s="1843"/>
      <c r="R961" s="1843"/>
      <c r="S961" s="1843"/>
      <c r="T961" s="1843"/>
      <c r="U961" s="1843"/>
      <c r="V961" s="1843"/>
      <c r="W961" s="1843"/>
      <c r="X961" s="1843"/>
      <c r="Y961" s="1843"/>
      <c r="Z961" s="1843"/>
      <c r="AA961" s="1843"/>
      <c r="AB961" s="1843"/>
      <c r="AC961" s="1843"/>
      <c r="AD961" s="1843"/>
      <c r="AE961" s="1843"/>
      <c r="AF961" s="1843"/>
      <c r="AG961" s="1843"/>
      <c r="AH961" s="1843"/>
      <c r="AI961" s="1844"/>
      <c r="AJ961" s="1727">
        <f>SUM(AJ955:AQ959)</f>
        <v>8229866</v>
      </c>
      <c r="AK961" s="1728"/>
      <c r="AL961" s="1728"/>
      <c r="AM961" s="1728"/>
      <c r="AN961" s="1728"/>
      <c r="AO961" s="1728"/>
      <c r="AP961" s="1728"/>
      <c r="AQ961" s="172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803"/>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c r="Y962" s="1804"/>
      <c r="Z962" s="1804"/>
      <c r="AA962" s="1804"/>
      <c r="AB962" s="1804"/>
      <c r="AC962" s="1804"/>
      <c r="AD962" s="1804"/>
      <c r="AE962" s="1805"/>
      <c r="AF962" s="1845" t="s">
        <v>675</v>
      </c>
      <c r="AG962" s="1846"/>
      <c r="AH962" s="1846"/>
      <c r="AI962" s="1847"/>
      <c r="AJ962" s="1803"/>
      <c r="AK962" s="1804"/>
      <c r="AL962" s="1804"/>
      <c r="AM962" s="1804"/>
      <c r="AN962" s="1804"/>
      <c r="AO962" s="1804"/>
      <c r="AP962" s="1804"/>
      <c r="AQ962" s="180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806" t="s">
        <v>1364</v>
      </c>
      <c r="E963" s="1807"/>
      <c r="F963" s="1807"/>
      <c r="G963" s="1807"/>
      <c r="H963" s="1807"/>
      <c r="I963" s="1807"/>
      <c r="J963" s="1807"/>
      <c r="K963" s="1807"/>
      <c r="L963" s="1807"/>
      <c r="M963" s="1807"/>
      <c r="N963" s="1807"/>
      <c r="O963" s="1807"/>
      <c r="P963" s="1807"/>
      <c r="Q963" s="1807"/>
      <c r="R963" s="1807"/>
      <c r="S963" s="1807"/>
      <c r="T963" s="1807"/>
      <c r="U963" s="1807"/>
      <c r="V963" s="1807"/>
      <c r="W963" s="1807"/>
      <c r="X963" s="1807"/>
      <c r="Y963" s="1807"/>
      <c r="Z963" s="1807"/>
      <c r="AA963" s="1807"/>
      <c r="AB963" s="1807"/>
      <c r="AC963" s="1807"/>
      <c r="AD963" s="1807"/>
      <c r="AE963" s="1808"/>
      <c r="AF963" s="79"/>
      <c r="AG963" s="1848" t="s">
        <v>554</v>
      </c>
      <c r="AH963" s="1849"/>
      <c r="AI963" s="87"/>
      <c r="AJ963" s="1786">
        <f>ROUND(IF(AND(AG963="yes",D965&gt;0),AJ961*0.2,0),0)</f>
        <v>1645973</v>
      </c>
      <c r="AK963" s="1787"/>
      <c r="AL963" s="1787"/>
      <c r="AM963" s="1787"/>
      <c r="AN963" s="1787"/>
      <c r="AO963" s="1787"/>
      <c r="AP963" s="1787"/>
      <c r="AQ963" s="17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7" t="s">
        <v>1365</v>
      </c>
      <c r="E964" s="1828"/>
      <c r="F964" s="1828"/>
      <c r="G964" s="1828"/>
      <c r="H964" s="1828"/>
      <c r="I964" s="1828"/>
      <c r="J964" s="1828"/>
      <c r="K964" s="1828"/>
      <c r="L964" s="1828"/>
      <c r="M964" s="1828"/>
      <c r="N964" s="1828"/>
      <c r="O964" s="1828"/>
      <c r="P964" s="1828"/>
      <c r="Q964" s="1828"/>
      <c r="R964" s="1828"/>
      <c r="S964" s="1828"/>
      <c r="T964" s="1828"/>
      <c r="U964" s="1828"/>
      <c r="V964" s="1828"/>
      <c r="W964" s="1828"/>
      <c r="X964" s="1828"/>
      <c r="Y964" s="1828"/>
      <c r="Z964" s="1828"/>
      <c r="AA964" s="1828"/>
      <c r="AB964" s="1828"/>
      <c r="AC964" s="1828"/>
      <c r="AD964" s="1828"/>
      <c r="AE964" s="1829"/>
      <c r="AF964" s="73"/>
      <c r="AG964" s="14"/>
      <c r="AH964" s="14"/>
      <c r="AI964" s="83"/>
      <c r="AJ964" s="1789"/>
      <c r="AK964" s="1790"/>
      <c r="AL964" s="1790"/>
      <c r="AM964" s="1790"/>
      <c r="AN964" s="1790"/>
      <c r="AO964" s="1790"/>
      <c r="AP964" s="1790"/>
      <c r="AQ964" s="17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30" t="s">
        <v>2760</v>
      </c>
      <c r="E965" s="1831"/>
      <c r="F965" s="1831"/>
      <c r="G965" s="1831"/>
      <c r="H965" s="1831"/>
      <c r="I965" s="1831"/>
      <c r="J965" s="1831"/>
      <c r="K965" s="1831"/>
      <c r="L965" s="1831"/>
      <c r="M965" s="1831"/>
      <c r="N965" s="1831"/>
      <c r="O965" s="1831"/>
      <c r="P965" s="1831"/>
      <c r="Q965" s="1831"/>
      <c r="R965" s="1831"/>
      <c r="S965" s="1831"/>
      <c r="T965" s="1831"/>
      <c r="U965" s="1831"/>
      <c r="V965" s="1831"/>
      <c r="W965" s="1831"/>
      <c r="X965" s="1831"/>
      <c r="Y965" s="1831"/>
      <c r="Z965" s="1831"/>
      <c r="AA965" s="1831"/>
      <c r="AB965" s="1831"/>
      <c r="AC965" s="1831"/>
      <c r="AD965" s="1831"/>
      <c r="AE965" s="1832"/>
      <c r="AF965" s="77"/>
      <c r="AG965" s="7"/>
      <c r="AH965" s="7"/>
      <c r="AI965" s="78"/>
      <c r="AJ965" s="1792"/>
      <c r="AK965" s="1793"/>
      <c r="AL965" s="1793"/>
      <c r="AM965" s="1793"/>
      <c r="AN965" s="1793"/>
      <c r="AO965" s="1793"/>
      <c r="AP965" s="1793"/>
      <c r="AQ965" s="17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7" t="s">
        <v>1451</v>
      </c>
      <c r="E966" s="1768"/>
      <c r="F966" s="1768"/>
      <c r="G966" s="1768"/>
      <c r="H966" s="1768"/>
      <c r="I966" s="1768"/>
      <c r="J966" s="1768"/>
      <c r="K966" s="1768"/>
      <c r="L966" s="1768"/>
      <c r="M966" s="1768"/>
      <c r="N966" s="1768"/>
      <c r="O966" s="1768"/>
      <c r="P966" s="1768"/>
      <c r="Q966" s="1768"/>
      <c r="R966" s="1768"/>
      <c r="S966" s="1768"/>
      <c r="T966" s="1768"/>
      <c r="U966" s="1768"/>
      <c r="V966" s="1768"/>
      <c r="W966" s="1768"/>
      <c r="X966" s="1768"/>
      <c r="Y966" s="1768"/>
      <c r="Z966" s="1768"/>
      <c r="AA966" s="1768"/>
      <c r="AB966" s="1768"/>
      <c r="AC966" s="1768"/>
      <c r="AD966" s="1768"/>
      <c r="AE966" s="1769"/>
      <c r="AF966" s="79"/>
      <c r="AG966" s="1779" t="s">
        <v>678</v>
      </c>
      <c r="AH966" s="1780"/>
      <c r="AI966" s="87"/>
      <c r="AJ966" s="1786">
        <f>ROUND(IF(AG966="yes",AJ961*0.05,0),0)</f>
        <v>0</v>
      </c>
      <c r="AK966" s="1787"/>
      <c r="AL966" s="1787"/>
      <c r="AM966" s="1787"/>
      <c r="AN966" s="1787"/>
      <c r="AO966" s="1787"/>
      <c r="AP966" s="1787"/>
      <c r="AQ966" s="17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7" t="s">
        <v>1449</v>
      </c>
      <c r="E967" s="1828"/>
      <c r="F967" s="1828"/>
      <c r="G967" s="1828"/>
      <c r="H967" s="1828"/>
      <c r="I967" s="1828"/>
      <c r="J967" s="1828"/>
      <c r="K967" s="1828"/>
      <c r="L967" s="1828"/>
      <c r="M967" s="1828"/>
      <c r="N967" s="1828"/>
      <c r="O967" s="1828"/>
      <c r="P967" s="1828"/>
      <c r="Q967" s="1828"/>
      <c r="R967" s="1828"/>
      <c r="S967" s="1828"/>
      <c r="T967" s="1828"/>
      <c r="U967" s="1828"/>
      <c r="V967" s="1828"/>
      <c r="W967" s="1828"/>
      <c r="X967" s="1828"/>
      <c r="Y967" s="1828"/>
      <c r="Z967" s="1828"/>
      <c r="AA967" s="1828"/>
      <c r="AB967" s="1828"/>
      <c r="AC967" s="1828"/>
      <c r="AD967" s="1828"/>
      <c r="AE967" s="1829"/>
      <c r="AF967" s="73"/>
      <c r="AG967" s="14"/>
      <c r="AH967" s="14"/>
      <c r="AI967" s="83"/>
      <c r="AJ967" s="1789"/>
      <c r="AK967" s="1790"/>
      <c r="AL967" s="1790"/>
      <c r="AM967" s="1790"/>
      <c r="AN967" s="1790"/>
      <c r="AO967" s="1790"/>
      <c r="AP967" s="1790"/>
      <c r="AQ967" s="17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7"/>
      <c r="E968" s="1828"/>
      <c r="F968" s="1828"/>
      <c r="G968" s="1828"/>
      <c r="H968" s="1828"/>
      <c r="I968" s="1828"/>
      <c r="J968" s="1828"/>
      <c r="K968" s="1828"/>
      <c r="L968" s="1828"/>
      <c r="M968" s="1828"/>
      <c r="N968" s="1828"/>
      <c r="O968" s="1828"/>
      <c r="P968" s="1828"/>
      <c r="Q968" s="1828"/>
      <c r="R968" s="1828"/>
      <c r="S968" s="1828"/>
      <c r="T968" s="1828"/>
      <c r="U968" s="1828"/>
      <c r="V968" s="1828"/>
      <c r="W968" s="1828"/>
      <c r="X968" s="1828"/>
      <c r="Y968" s="1828"/>
      <c r="Z968" s="1828"/>
      <c r="AA968" s="1828"/>
      <c r="AB968" s="1828"/>
      <c r="AC968" s="1828"/>
      <c r="AD968" s="1828"/>
      <c r="AE968" s="1829"/>
      <c r="AF968" s="73"/>
      <c r="AG968" s="14"/>
      <c r="AH968" s="14"/>
      <c r="AI968" s="83"/>
      <c r="AJ968" s="1789"/>
      <c r="AK968" s="1790"/>
      <c r="AL968" s="1790"/>
      <c r="AM968" s="1790"/>
      <c r="AN968" s="1790"/>
      <c r="AO968" s="1790"/>
      <c r="AP968" s="1790"/>
      <c r="AQ968" s="17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7"/>
      <c r="E969" s="1828"/>
      <c r="F969" s="1828"/>
      <c r="G969" s="1828"/>
      <c r="H969" s="1828"/>
      <c r="I969" s="1828"/>
      <c r="J969" s="1828"/>
      <c r="K969" s="1828"/>
      <c r="L969" s="1828"/>
      <c r="M969" s="1828"/>
      <c r="N969" s="1828"/>
      <c r="O969" s="1828"/>
      <c r="P969" s="1828"/>
      <c r="Q969" s="1828"/>
      <c r="R969" s="1828"/>
      <c r="S969" s="1828"/>
      <c r="T969" s="1828"/>
      <c r="U969" s="1828"/>
      <c r="V969" s="1828"/>
      <c r="W969" s="1828"/>
      <c r="X969" s="1828"/>
      <c r="Y969" s="1828"/>
      <c r="Z969" s="1828"/>
      <c r="AA969" s="1828"/>
      <c r="AB969" s="1828"/>
      <c r="AC969" s="1828"/>
      <c r="AD969" s="1828"/>
      <c r="AE969" s="1829"/>
      <c r="AF969" s="73"/>
      <c r="AG969" s="14"/>
      <c r="AH969" s="14"/>
      <c r="AI969" s="83"/>
      <c r="AJ969" s="1789"/>
      <c r="AK969" s="1790"/>
      <c r="AL969" s="1790"/>
      <c r="AM969" s="1790"/>
      <c r="AN969" s="1790"/>
      <c r="AO969" s="1790"/>
      <c r="AP969" s="1790"/>
      <c r="AQ969" s="17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7"/>
      <c r="E970" s="1828"/>
      <c r="F970" s="1828"/>
      <c r="G970" s="1828"/>
      <c r="H970" s="1828"/>
      <c r="I970" s="1828"/>
      <c r="J970" s="1828"/>
      <c r="K970" s="1828"/>
      <c r="L970" s="1828"/>
      <c r="M970" s="1828"/>
      <c r="N970" s="1828"/>
      <c r="O970" s="1828"/>
      <c r="P970" s="1828"/>
      <c r="Q970" s="1828"/>
      <c r="R970" s="1828"/>
      <c r="S970" s="1828"/>
      <c r="T970" s="1828"/>
      <c r="U970" s="1828"/>
      <c r="V970" s="1828"/>
      <c r="W970" s="1828"/>
      <c r="X970" s="1828"/>
      <c r="Y970" s="1828"/>
      <c r="Z970" s="1828"/>
      <c r="AA970" s="1828"/>
      <c r="AB970" s="1828"/>
      <c r="AC970" s="1828"/>
      <c r="AD970" s="1828"/>
      <c r="AE970" s="1829"/>
      <c r="AF970" s="73"/>
      <c r="AG970" s="14"/>
      <c r="AH970" s="14"/>
      <c r="AI970" s="83"/>
      <c r="AJ970" s="1789"/>
      <c r="AK970" s="1790"/>
      <c r="AL970" s="1790"/>
      <c r="AM970" s="1790"/>
      <c r="AN970" s="1790"/>
      <c r="AO970" s="1790"/>
      <c r="AP970" s="1790"/>
      <c r="AQ970" s="17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33"/>
      <c r="E971" s="1834"/>
      <c r="F971" s="1834"/>
      <c r="G971" s="1834"/>
      <c r="H971" s="1834"/>
      <c r="I971" s="1834"/>
      <c r="J971" s="1834"/>
      <c r="K971" s="1834"/>
      <c r="L971" s="1834"/>
      <c r="M971" s="1834"/>
      <c r="N971" s="1834"/>
      <c r="O971" s="1834"/>
      <c r="P971" s="1834"/>
      <c r="Q971" s="1834"/>
      <c r="R971" s="1834"/>
      <c r="S971" s="1834"/>
      <c r="T971" s="1834"/>
      <c r="U971" s="1834"/>
      <c r="V971" s="1834"/>
      <c r="W971" s="1834"/>
      <c r="X971" s="1834"/>
      <c r="Y971" s="1834"/>
      <c r="Z971" s="1834"/>
      <c r="AA971" s="1834"/>
      <c r="AB971" s="1834"/>
      <c r="AC971" s="1834"/>
      <c r="AD971" s="1834"/>
      <c r="AE971" s="1835"/>
      <c r="AF971" s="77"/>
      <c r="AG971" s="7"/>
      <c r="AH971" s="7"/>
      <c r="AI971" s="78"/>
      <c r="AJ971" s="1792"/>
      <c r="AK971" s="1793"/>
      <c r="AL971" s="1793"/>
      <c r="AM971" s="1793"/>
      <c r="AN971" s="1793"/>
      <c r="AO971" s="1793"/>
      <c r="AP971" s="1793"/>
      <c r="AQ971" s="17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67" t="s">
        <v>1944</v>
      </c>
      <c r="E972" s="1768"/>
      <c r="F972" s="1768"/>
      <c r="G972" s="1768"/>
      <c r="H972" s="1768"/>
      <c r="I972" s="1768"/>
      <c r="J972" s="1768"/>
      <c r="K972" s="1768"/>
      <c r="L972" s="1768"/>
      <c r="M972" s="1768"/>
      <c r="N972" s="1768"/>
      <c r="O972" s="1768"/>
      <c r="P972" s="1768"/>
      <c r="Q972" s="1768"/>
      <c r="R972" s="1768"/>
      <c r="S972" s="1768"/>
      <c r="T972" s="1768"/>
      <c r="U972" s="1768"/>
      <c r="V972" s="1768"/>
      <c r="W972" s="1768"/>
      <c r="X972" s="1768"/>
      <c r="Y972" s="1768"/>
      <c r="Z972" s="1768"/>
      <c r="AA972" s="1768"/>
      <c r="AB972" s="1768"/>
      <c r="AC972" s="1768"/>
      <c r="AD972" s="1768"/>
      <c r="AE972" s="1769"/>
      <c r="AF972" s="86"/>
      <c r="AG972" s="1779" t="s">
        <v>678</v>
      </c>
      <c r="AH972" s="1780"/>
      <c r="AI972" s="87"/>
      <c r="AJ972" s="1786">
        <f>ROUND(IF(AG972="yes",AJ961*0.1,0),0)</f>
        <v>0</v>
      </c>
      <c r="AK972" s="1787"/>
      <c r="AL972" s="1787"/>
      <c r="AM972" s="1787"/>
      <c r="AN972" s="1787"/>
      <c r="AO972" s="1787"/>
      <c r="AP972" s="1787"/>
      <c r="AQ972" s="17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70" t="s">
        <v>1450</v>
      </c>
      <c r="E973" s="1771"/>
      <c r="F973" s="1771"/>
      <c r="G973" s="1771"/>
      <c r="H973" s="1771"/>
      <c r="I973" s="1771"/>
      <c r="J973" s="1771"/>
      <c r="K973" s="1771"/>
      <c r="L973" s="1771"/>
      <c r="M973" s="1771"/>
      <c r="N973" s="1771"/>
      <c r="O973" s="1771"/>
      <c r="P973" s="1771"/>
      <c r="Q973" s="1771"/>
      <c r="R973" s="1771"/>
      <c r="S973" s="1771"/>
      <c r="T973" s="1771"/>
      <c r="U973" s="1771"/>
      <c r="V973" s="1771"/>
      <c r="W973" s="1771"/>
      <c r="X973" s="1771"/>
      <c r="Y973" s="1771"/>
      <c r="Z973" s="1771"/>
      <c r="AA973" s="1771"/>
      <c r="AB973" s="1771"/>
      <c r="AC973" s="1771"/>
      <c r="AD973" s="1771"/>
      <c r="AE973" s="1772"/>
      <c r="AF973" s="73"/>
      <c r="AI973" s="83"/>
      <c r="AJ973" s="1789"/>
      <c r="AK973" s="1790"/>
      <c r="AL973" s="1790"/>
      <c r="AM973" s="1790"/>
      <c r="AN973" s="1790"/>
      <c r="AO973" s="1790"/>
      <c r="AP973" s="1790"/>
      <c r="AQ973" s="1791"/>
      <c r="AR973" s="68"/>
      <c r="AS973" s="68"/>
      <c r="AT973" s="68"/>
      <c r="AU973" s="68"/>
      <c r="AV973" s="68"/>
      <c r="AW973" s="68"/>
      <c r="AX973" s="68"/>
      <c r="AY973" s="68"/>
      <c r="AZ973" s="34"/>
      <c r="BA973" s="951">
        <f>G739+O782</f>
        <v>17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70"/>
      <c r="E974" s="1771"/>
      <c r="F974" s="1771"/>
      <c r="G974" s="1771"/>
      <c r="H974" s="1771"/>
      <c r="I974" s="1771"/>
      <c r="J974" s="1771"/>
      <c r="K974" s="1771"/>
      <c r="L974" s="1771"/>
      <c r="M974" s="1771"/>
      <c r="N974" s="1771"/>
      <c r="O974" s="1771"/>
      <c r="P974" s="1771"/>
      <c r="Q974" s="1771"/>
      <c r="R974" s="1771"/>
      <c r="S974" s="1771"/>
      <c r="T974" s="1771"/>
      <c r="U974" s="1771"/>
      <c r="V974" s="1771"/>
      <c r="W974" s="1771"/>
      <c r="X974" s="1771"/>
      <c r="Y974" s="1771"/>
      <c r="Z974" s="1771"/>
      <c r="AA974" s="1771"/>
      <c r="AB974" s="1771"/>
      <c r="AC974" s="1771"/>
      <c r="AD974" s="1771"/>
      <c r="AE974" s="1772"/>
      <c r="AF974" s="73"/>
      <c r="AG974" s="14"/>
      <c r="AH974" s="14"/>
      <c r="AI974" s="83"/>
      <c r="AJ974" s="1789"/>
      <c r="AK974" s="1790"/>
      <c r="AL974" s="1790"/>
      <c r="AM974" s="1790"/>
      <c r="AN974" s="1790"/>
      <c r="AO974" s="1790"/>
      <c r="AP974" s="1790"/>
      <c r="AQ974" s="17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83"/>
      <c r="E975" s="1784"/>
      <c r="F975" s="1784"/>
      <c r="G975" s="1784"/>
      <c r="H975" s="1784"/>
      <c r="I975" s="1784"/>
      <c r="J975" s="1784"/>
      <c r="K975" s="1784"/>
      <c r="L975" s="1784"/>
      <c r="M975" s="1784"/>
      <c r="N975" s="1784"/>
      <c r="O975" s="1784"/>
      <c r="P975" s="1784"/>
      <c r="Q975" s="1784"/>
      <c r="R975" s="1784"/>
      <c r="S975" s="1784"/>
      <c r="T975" s="1784"/>
      <c r="U975" s="1784"/>
      <c r="V975" s="1784"/>
      <c r="W975" s="1784"/>
      <c r="X975" s="1784"/>
      <c r="Y975" s="1784"/>
      <c r="Z975" s="1784"/>
      <c r="AA975" s="1784"/>
      <c r="AB975" s="1784"/>
      <c r="AC975" s="1784"/>
      <c r="AD975" s="1784"/>
      <c r="AE975" s="1785"/>
      <c r="AF975" s="77"/>
      <c r="AG975" s="7"/>
      <c r="AH975" s="7"/>
      <c r="AI975" s="78"/>
      <c r="AJ975" s="1792"/>
      <c r="AK975" s="1793"/>
      <c r="AL975" s="1793"/>
      <c r="AM975" s="1793"/>
      <c r="AN975" s="1793"/>
      <c r="AO975" s="1793"/>
      <c r="AP975" s="1793"/>
      <c r="AQ975" s="1794"/>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767" t="s">
        <v>1452</v>
      </c>
      <c r="E976" s="1768"/>
      <c r="F976" s="1768"/>
      <c r="G976" s="1768"/>
      <c r="H976" s="1768"/>
      <c r="I976" s="1768"/>
      <c r="J976" s="1768"/>
      <c r="K976" s="1768"/>
      <c r="L976" s="1768"/>
      <c r="M976" s="1768"/>
      <c r="N976" s="1768"/>
      <c r="O976" s="1768"/>
      <c r="P976" s="1768"/>
      <c r="Q976" s="1768"/>
      <c r="R976" s="1768"/>
      <c r="S976" s="1768"/>
      <c r="T976" s="1768"/>
      <c r="U976" s="1768"/>
      <c r="V976" s="1768"/>
      <c r="W976" s="1768"/>
      <c r="X976" s="1768"/>
      <c r="Y976" s="1768"/>
      <c r="Z976" s="1768"/>
      <c r="AA976" s="1768"/>
      <c r="AB976" s="1768"/>
      <c r="AC976" s="1768"/>
      <c r="AD976" s="1768"/>
      <c r="AE976" s="1769"/>
      <c r="AF976" s="79"/>
      <c r="AG976" s="1779" t="s">
        <v>678</v>
      </c>
      <c r="AH976" s="1780"/>
      <c r="AI976" s="87"/>
      <c r="AJ976" s="1786">
        <f>ROUND(IF(AG976="yes",AJ961*0.02,0),0)</f>
        <v>0</v>
      </c>
      <c r="AK976" s="1787"/>
      <c r="AL976" s="1787"/>
      <c r="AM976" s="1787"/>
      <c r="AN976" s="1787"/>
      <c r="AO976" s="1787"/>
      <c r="AP976" s="1787"/>
      <c r="AQ976" s="1788"/>
      <c r="AR976" s="68"/>
      <c r="AS976" s="68"/>
      <c r="AT976" s="68"/>
      <c r="AU976" s="68"/>
      <c r="AV976" s="68"/>
      <c r="AW976" s="68"/>
      <c r="AX976" s="68"/>
      <c r="AY976" s="68"/>
      <c r="AZ976" s="34"/>
      <c r="BA976" s="950">
        <f>ROUNDDOWN(X1017/I1017,2)</f>
        <v>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83" t="s">
        <v>1453</v>
      </c>
      <c r="E977" s="1784"/>
      <c r="F977" s="1784"/>
      <c r="G977" s="1784"/>
      <c r="H977" s="1784"/>
      <c r="I977" s="1784"/>
      <c r="J977" s="1784"/>
      <c r="K977" s="1784"/>
      <c r="L977" s="1784"/>
      <c r="M977" s="1784"/>
      <c r="N977" s="1784"/>
      <c r="O977" s="1784"/>
      <c r="P977" s="1784"/>
      <c r="Q977" s="1784"/>
      <c r="R977" s="1784"/>
      <c r="S977" s="1784"/>
      <c r="T977" s="1784"/>
      <c r="U977" s="1784"/>
      <c r="V977" s="1784"/>
      <c r="W977" s="1784"/>
      <c r="X977" s="1784"/>
      <c r="Y977" s="1784"/>
      <c r="Z977" s="1784"/>
      <c r="AA977" s="1784"/>
      <c r="AB977" s="1784"/>
      <c r="AC977" s="1784"/>
      <c r="AD977" s="1784"/>
      <c r="AE977" s="1785"/>
      <c r="AF977" s="77"/>
      <c r="AG977" s="7"/>
      <c r="AH977" s="7"/>
      <c r="AI977" s="78"/>
      <c r="AJ977" s="1792"/>
      <c r="AK977" s="1793"/>
      <c r="AL977" s="1793"/>
      <c r="AM977" s="1793"/>
      <c r="AN977" s="1793"/>
      <c r="AO977" s="1793"/>
      <c r="AP977" s="1793"/>
      <c r="AQ977" s="1794"/>
      <c r="AR977" s="68"/>
      <c r="AS977" s="68"/>
      <c r="AT977" s="68"/>
      <c r="AU977" s="68"/>
      <c r="AV977" s="68"/>
      <c r="AW977" s="68"/>
      <c r="AX977" s="68"/>
      <c r="AY977" s="68"/>
      <c r="BB977" s="34"/>
      <c r="BC977" s="34"/>
      <c r="BD977" s="34"/>
      <c r="BE977" s="34"/>
      <c r="BF977" s="34"/>
    </row>
    <row r="978" spans="1:58" ht="13" customHeight="1">
      <c r="A978" s="14"/>
      <c r="B978" s="79"/>
      <c r="C978" s="80" t="s">
        <v>216</v>
      </c>
      <c r="D978" s="1767" t="s">
        <v>1454</v>
      </c>
      <c r="E978" s="1768"/>
      <c r="F978" s="1768"/>
      <c r="G978" s="1768"/>
      <c r="H978" s="1768"/>
      <c r="I978" s="1768"/>
      <c r="J978" s="1768"/>
      <c r="K978" s="1768"/>
      <c r="L978" s="1768"/>
      <c r="M978" s="1768"/>
      <c r="N978" s="1768"/>
      <c r="O978" s="1768"/>
      <c r="P978" s="1768"/>
      <c r="Q978" s="1768"/>
      <c r="R978" s="1768"/>
      <c r="S978" s="1768"/>
      <c r="T978" s="1768"/>
      <c r="U978" s="1768"/>
      <c r="V978" s="1768"/>
      <c r="W978" s="1768"/>
      <c r="X978" s="1768"/>
      <c r="Y978" s="1768"/>
      <c r="Z978" s="1768"/>
      <c r="AA978" s="1768"/>
      <c r="AB978" s="1768"/>
      <c r="AC978" s="1768"/>
      <c r="AD978" s="1768"/>
      <c r="AE978" s="1769"/>
      <c r="AF978" s="79"/>
      <c r="AG978" s="1779" t="s">
        <v>678</v>
      </c>
      <c r="AH978" s="1780"/>
      <c r="AI978" s="79"/>
      <c r="AJ978" s="1786">
        <f>ROUND(IF(AG978="yes",AJ961*0.02,0),0)</f>
        <v>0</v>
      </c>
      <c r="AK978" s="1787"/>
      <c r="AL978" s="1787"/>
      <c r="AM978" s="1787"/>
      <c r="AN978" s="1787"/>
      <c r="AO978" s="1787"/>
      <c r="AP978" s="1787"/>
      <c r="AQ978" s="1788"/>
      <c r="AR978" s="68"/>
      <c r="AS978" s="68"/>
      <c r="AT978" s="68"/>
      <c r="AU978" s="68"/>
      <c r="AV978" s="68"/>
      <c r="AW978" s="68"/>
      <c r="AX978" s="68"/>
      <c r="AY978" s="68"/>
    </row>
    <row r="979" spans="1:58" ht="13" customHeight="1">
      <c r="A979" s="14"/>
      <c r="B979" s="73"/>
      <c r="C979" s="74"/>
      <c r="D979" s="1770" t="s">
        <v>1455</v>
      </c>
      <c r="E979" s="1771"/>
      <c r="F979" s="1771"/>
      <c r="G979" s="1771"/>
      <c r="H979" s="1771"/>
      <c r="I979" s="1771"/>
      <c r="J979" s="1771"/>
      <c r="K979" s="1771"/>
      <c r="L979" s="1771"/>
      <c r="M979" s="1771"/>
      <c r="N979" s="1771"/>
      <c r="O979" s="1771"/>
      <c r="P979" s="1771"/>
      <c r="Q979" s="1771"/>
      <c r="R979" s="1771"/>
      <c r="S979" s="1771"/>
      <c r="T979" s="1771"/>
      <c r="U979" s="1771"/>
      <c r="V979" s="1771"/>
      <c r="W979" s="1771"/>
      <c r="X979" s="1771"/>
      <c r="Y979" s="1771"/>
      <c r="Z979" s="1771"/>
      <c r="AA979" s="1771"/>
      <c r="AB979" s="1771"/>
      <c r="AC979" s="1771"/>
      <c r="AD979" s="1771"/>
      <c r="AE979" s="1772"/>
      <c r="AF979" s="73"/>
      <c r="AI979" s="14"/>
      <c r="AJ979" s="1789"/>
      <c r="AK979" s="1790"/>
      <c r="AL979" s="1790"/>
      <c r="AM979" s="1790"/>
      <c r="AN979" s="1790"/>
      <c r="AO979" s="1790"/>
      <c r="AP979" s="1790"/>
      <c r="AQ979" s="1791"/>
      <c r="AR979" s="68"/>
      <c r="AS979" s="68"/>
      <c r="AT979" s="68"/>
      <c r="AU979" s="68"/>
      <c r="AV979" s="68"/>
      <c r="AW979" s="68"/>
      <c r="AX979" s="68"/>
      <c r="AY979" s="68"/>
    </row>
    <row r="980" spans="1:58" ht="13" customHeight="1">
      <c r="A980" s="14"/>
      <c r="B980" s="75"/>
      <c r="C980" s="76"/>
      <c r="D980" s="1783"/>
      <c r="E980" s="1784"/>
      <c r="F980" s="1784"/>
      <c r="G980" s="1784"/>
      <c r="H980" s="1784"/>
      <c r="I980" s="1784"/>
      <c r="J980" s="1784"/>
      <c r="K980" s="1784"/>
      <c r="L980" s="1784"/>
      <c r="M980" s="1784"/>
      <c r="N980" s="1784"/>
      <c r="O980" s="1784"/>
      <c r="P980" s="1784"/>
      <c r="Q980" s="1784"/>
      <c r="R980" s="1784"/>
      <c r="S980" s="1784"/>
      <c r="T980" s="1784"/>
      <c r="U980" s="1784"/>
      <c r="V980" s="1784"/>
      <c r="W980" s="1784"/>
      <c r="X980" s="1784"/>
      <c r="Y980" s="1784"/>
      <c r="Z980" s="1784"/>
      <c r="AA980" s="1784"/>
      <c r="AB980" s="1784"/>
      <c r="AC980" s="1784"/>
      <c r="AD980" s="1784"/>
      <c r="AE980" s="1785"/>
      <c r="AF980" s="77"/>
      <c r="AG980" s="7"/>
      <c r="AH980" s="7"/>
      <c r="AI980" s="78"/>
      <c r="AJ980" s="1792"/>
      <c r="AK980" s="1793"/>
      <c r="AL980" s="1793"/>
      <c r="AM980" s="1793"/>
      <c r="AN980" s="1793"/>
      <c r="AO980" s="1793"/>
      <c r="AP980" s="1793"/>
      <c r="AQ980" s="1794"/>
      <c r="AR980" s="68"/>
      <c r="AS980" s="68"/>
      <c r="AT980" s="68"/>
      <c r="AU980" s="68"/>
      <c r="AV980" s="68"/>
      <c r="AW980" s="68"/>
      <c r="AX980" s="68"/>
      <c r="AY980" s="68"/>
    </row>
    <row r="981" spans="1:58" ht="13" customHeight="1">
      <c r="A981" s="14"/>
      <c r="B981" s="79"/>
      <c r="C981" s="80" t="s">
        <v>219</v>
      </c>
      <c r="D981" s="1806" t="s">
        <v>1456</v>
      </c>
      <c r="E981" s="1807"/>
      <c r="F981" s="1807"/>
      <c r="G981" s="1807"/>
      <c r="H981" s="1807"/>
      <c r="I981" s="1807"/>
      <c r="J981" s="1807"/>
      <c r="K981" s="1807"/>
      <c r="L981" s="1807"/>
      <c r="M981" s="1807"/>
      <c r="N981" s="1807"/>
      <c r="O981" s="1807"/>
      <c r="P981" s="1807"/>
      <c r="Q981" s="1807"/>
      <c r="R981" s="1807"/>
      <c r="S981" s="1807"/>
      <c r="T981" s="1807"/>
      <c r="U981" s="1807"/>
      <c r="V981" s="1807"/>
      <c r="W981" s="1807"/>
      <c r="X981" s="1807"/>
      <c r="Y981" s="1807"/>
      <c r="Z981" s="1807"/>
      <c r="AA981" s="1807"/>
      <c r="AB981" s="1807"/>
      <c r="AC981" s="1807"/>
      <c r="AD981" s="1807"/>
      <c r="AE981" s="1808"/>
      <c r="AF981" s="79"/>
      <c r="AG981" s="1779" t="s">
        <v>678</v>
      </c>
      <c r="AH981" s="1780"/>
      <c r="AI981" s="87"/>
      <c r="AJ981" s="1786">
        <f>IF(AG981="yes",AJ961*BA981,0)</f>
        <v>0</v>
      </c>
      <c r="AK981" s="1787"/>
      <c r="AL981" s="1787"/>
      <c r="AM981" s="1787"/>
      <c r="AN981" s="1787"/>
      <c r="AO981" s="1787"/>
      <c r="AP981" s="1787"/>
      <c r="AQ981" s="1788"/>
      <c r="AR981" s="68"/>
      <c r="AS981" s="68"/>
      <c r="AT981" s="68"/>
      <c r="AU981" s="68"/>
      <c r="AV981" s="68"/>
      <c r="AW981" s="68"/>
      <c r="AX981" s="68"/>
      <c r="AY981" s="68"/>
      <c r="BA981" s="215">
        <f>IF(SUM(BA983:BA991)&lt;=0.1,SUM(BA983:BA991),0.1)</f>
        <v>0</v>
      </c>
    </row>
    <row r="982" spans="1:58" ht="13" customHeight="1">
      <c r="A982" s="14"/>
      <c r="B982" s="73"/>
      <c r="C982" s="74"/>
      <c r="D982" s="1770" t="s">
        <v>1457</v>
      </c>
      <c r="E982" s="1771"/>
      <c r="F982" s="1771"/>
      <c r="G982" s="1771"/>
      <c r="H982" s="1771"/>
      <c r="I982" s="1771"/>
      <c r="J982" s="1771"/>
      <c r="K982" s="1771"/>
      <c r="L982" s="1771"/>
      <c r="M982" s="1771"/>
      <c r="N982" s="1771"/>
      <c r="O982" s="1771"/>
      <c r="P982" s="1771"/>
      <c r="Q982" s="1771"/>
      <c r="R982" s="1771"/>
      <c r="S982" s="1771"/>
      <c r="T982" s="1771"/>
      <c r="U982" s="1771"/>
      <c r="V982" s="1771"/>
      <c r="W982" s="1771"/>
      <c r="X982" s="1771"/>
      <c r="Y982" s="1771"/>
      <c r="Z982" s="1771"/>
      <c r="AA982" s="1771"/>
      <c r="AB982" s="1771"/>
      <c r="AC982" s="1771"/>
      <c r="AD982" s="1771"/>
      <c r="AE982" s="1772"/>
      <c r="AF982" s="73"/>
      <c r="AG982" s="14"/>
      <c r="AH982" s="14"/>
      <c r="AI982" s="83"/>
      <c r="AJ982" s="1789"/>
      <c r="AK982" s="1790"/>
      <c r="AL982" s="1790"/>
      <c r="AM982" s="1790"/>
      <c r="AN982" s="1790"/>
      <c r="AO982" s="1790"/>
      <c r="AP982" s="1790"/>
      <c r="AQ982" s="1791"/>
      <c r="AR982" s="68"/>
      <c r="AS982" s="68"/>
      <c r="AT982" s="68"/>
      <c r="AU982" s="68"/>
      <c r="AV982" s="68"/>
      <c r="AW982" s="68"/>
      <c r="AX982" s="68"/>
      <c r="AY982" s="68"/>
    </row>
    <row r="983" spans="1:58" ht="13" customHeight="1">
      <c r="A983" s="14"/>
      <c r="B983" s="73"/>
      <c r="C983" s="74"/>
      <c r="D983" s="1770"/>
      <c r="E983" s="1771"/>
      <c r="F983" s="1771"/>
      <c r="G983" s="1771"/>
      <c r="H983" s="1771"/>
      <c r="I983" s="1771"/>
      <c r="J983" s="1771"/>
      <c r="K983" s="1771"/>
      <c r="L983" s="1771"/>
      <c r="M983" s="1771"/>
      <c r="N983" s="1771"/>
      <c r="O983" s="1771"/>
      <c r="P983" s="1771"/>
      <c r="Q983" s="1771"/>
      <c r="R983" s="1771"/>
      <c r="S983" s="1771"/>
      <c r="T983" s="1771"/>
      <c r="U983" s="1771"/>
      <c r="V983" s="1771"/>
      <c r="W983" s="1771"/>
      <c r="X983" s="1771"/>
      <c r="Y983" s="1771"/>
      <c r="Z983" s="1771"/>
      <c r="AA983" s="1771"/>
      <c r="AB983" s="1771"/>
      <c r="AC983" s="1771"/>
      <c r="AD983" s="1771"/>
      <c r="AE983" s="1772"/>
      <c r="AF983" s="73"/>
      <c r="AG983" s="14"/>
      <c r="AH983" s="14"/>
      <c r="AI983" s="83"/>
      <c r="AJ983" s="1789"/>
      <c r="AK983" s="1790"/>
      <c r="AL983" s="1790"/>
      <c r="AM983" s="1790"/>
      <c r="AN983" s="1790"/>
      <c r="AO983" s="1790"/>
      <c r="AP983" s="1790"/>
      <c r="AQ983" s="1791"/>
      <c r="AR983" s="68"/>
      <c r="AS983" s="68"/>
      <c r="AT983" s="68"/>
      <c r="AU983" s="68"/>
      <c r="AV983" s="68"/>
      <c r="AW983" s="68"/>
      <c r="AX983" s="68"/>
      <c r="AY983" s="68"/>
      <c r="BA983" s="213">
        <f>IF(A1030="Yes",0.05,0)</f>
        <v>0</v>
      </c>
    </row>
    <row r="984" spans="1:58" ht="13" customHeight="1">
      <c r="A984" s="14"/>
      <c r="B984" s="81"/>
      <c r="C984" s="82"/>
      <c r="D984" s="1783"/>
      <c r="E984" s="1784"/>
      <c r="F984" s="1784"/>
      <c r="G984" s="1784"/>
      <c r="H984" s="1784"/>
      <c r="I984" s="1784"/>
      <c r="J984" s="1784"/>
      <c r="K984" s="1784"/>
      <c r="L984" s="1784"/>
      <c r="M984" s="1784"/>
      <c r="N984" s="1784"/>
      <c r="O984" s="1784"/>
      <c r="P984" s="1784"/>
      <c r="Q984" s="1784"/>
      <c r="R984" s="1784"/>
      <c r="S984" s="1784"/>
      <c r="T984" s="1784"/>
      <c r="U984" s="1784"/>
      <c r="V984" s="1784"/>
      <c r="W984" s="1784"/>
      <c r="X984" s="1784"/>
      <c r="Y984" s="1784"/>
      <c r="Z984" s="1784"/>
      <c r="AA984" s="1784"/>
      <c r="AB984" s="1784"/>
      <c r="AC984" s="1784"/>
      <c r="AD984" s="1784"/>
      <c r="AE984" s="1785"/>
      <c r="AF984" s="77"/>
      <c r="AG984" s="7"/>
      <c r="AH984" s="7"/>
      <c r="AI984" s="78"/>
      <c r="AJ984" s="1792"/>
      <c r="AK984" s="1793"/>
      <c r="AL984" s="1793"/>
      <c r="AM984" s="1793"/>
      <c r="AN984" s="1793"/>
      <c r="AO984" s="1793"/>
      <c r="AP984" s="1793"/>
      <c r="AQ984" s="1794"/>
      <c r="AR984" s="68"/>
      <c r="AS984" s="68"/>
      <c r="AT984" s="68"/>
      <c r="AU984" s="68"/>
      <c r="AV984" s="68"/>
      <c r="AW984" s="68"/>
      <c r="AX984" s="68"/>
      <c r="AY984" s="68"/>
      <c r="BA984" s="213">
        <f>IF(A1036="Yes",0.02,0)</f>
        <v>0</v>
      </c>
    </row>
    <row r="985" spans="1:58" ht="13" customHeight="1">
      <c r="A985" s="14"/>
      <c r="B985" s="79"/>
      <c r="C985" s="80" t="s">
        <v>224</v>
      </c>
      <c r="D985" s="1836" t="s">
        <v>1458</v>
      </c>
      <c r="E985" s="1837"/>
      <c r="F985" s="1837"/>
      <c r="G985" s="1837"/>
      <c r="H985" s="1837"/>
      <c r="I985" s="1837"/>
      <c r="J985" s="1837"/>
      <c r="K985" s="1837"/>
      <c r="L985" s="1837"/>
      <c r="M985" s="1837"/>
      <c r="N985" s="1837"/>
      <c r="O985" s="1837"/>
      <c r="P985" s="1837"/>
      <c r="Q985" s="1837"/>
      <c r="R985" s="1837"/>
      <c r="S985" s="1837"/>
      <c r="T985" s="1837"/>
      <c r="U985" s="1837"/>
      <c r="V985" s="1837"/>
      <c r="W985" s="1837"/>
      <c r="X985" s="1837"/>
      <c r="Y985" s="1837"/>
      <c r="Z985" s="1837"/>
      <c r="AA985" s="1837"/>
      <c r="AB985" s="1837"/>
      <c r="AC985" s="1837"/>
      <c r="AD985" s="1837"/>
      <c r="AE985" s="1838"/>
      <c r="AF985" s="79"/>
      <c r="AG985" s="1779" t="s">
        <v>678</v>
      </c>
      <c r="AH985" s="1780"/>
      <c r="AI985" s="87"/>
      <c r="AJ985" s="1786">
        <f>ROUND(IF(AG985="Yes",MIN(AF988,(0.15*AJ961)),0),0)</f>
        <v>0</v>
      </c>
      <c r="AK985" s="1787"/>
      <c r="AL985" s="1787"/>
      <c r="AM985" s="1787"/>
      <c r="AN985" s="1787"/>
      <c r="AO985" s="1787"/>
      <c r="AP985" s="1787"/>
      <c r="AQ985" s="1788"/>
      <c r="AR985" s="68"/>
      <c r="AS985" s="68"/>
      <c r="AT985" s="68"/>
      <c r="AU985" s="68"/>
      <c r="AV985" s="68"/>
      <c r="AW985" s="68"/>
      <c r="AX985" s="68"/>
      <c r="AY985" s="68"/>
      <c r="BA985" s="213">
        <f>IF(A1042="Yes",0.04,0)</f>
        <v>0</v>
      </c>
    </row>
    <row r="986" spans="1:58" ht="13" customHeight="1">
      <c r="A986" s="14"/>
      <c r="B986" s="81"/>
      <c r="C986" s="84"/>
      <c r="D986" s="1839"/>
      <c r="E986" s="1840"/>
      <c r="F986" s="1840"/>
      <c r="G986" s="1840"/>
      <c r="H986" s="1840"/>
      <c r="I986" s="1840"/>
      <c r="J986" s="1840"/>
      <c r="K986" s="1840"/>
      <c r="L986" s="1840"/>
      <c r="M986" s="1840"/>
      <c r="N986" s="1840"/>
      <c r="O986" s="1840"/>
      <c r="P986" s="1840"/>
      <c r="Q986" s="1840"/>
      <c r="R986" s="1840"/>
      <c r="S986" s="1840"/>
      <c r="T986" s="1840"/>
      <c r="U986" s="1840"/>
      <c r="V986" s="1840"/>
      <c r="W986" s="1840"/>
      <c r="X986" s="1840"/>
      <c r="Y986" s="1840"/>
      <c r="Z986" s="1840"/>
      <c r="AA986" s="1840"/>
      <c r="AB986" s="1840"/>
      <c r="AC986" s="1840"/>
      <c r="AD986" s="1840"/>
      <c r="AE986" s="1841"/>
      <c r="AF986" s="1850" t="str">
        <f>IF(AG985="yes","Please Select Type and Enter Amount:","")</f>
        <v/>
      </c>
      <c r="AG986" s="1851"/>
      <c r="AH986" s="1851"/>
      <c r="AI986" s="1852"/>
      <c r="AJ986" s="1789"/>
      <c r="AK986" s="1790"/>
      <c r="AL986" s="1790"/>
      <c r="AM986" s="1790"/>
      <c r="AN986" s="1790"/>
      <c r="AO986" s="1790"/>
      <c r="AP986" s="1790"/>
      <c r="AQ986" s="1791"/>
      <c r="AR986" s="68"/>
      <c r="AS986" s="68"/>
      <c r="AT986" s="68"/>
      <c r="AU986" s="68"/>
      <c r="AV986" s="68"/>
      <c r="AW986" s="68"/>
      <c r="AX986" s="68"/>
      <c r="AY986" s="68"/>
      <c r="BA986" s="213">
        <f>IF(A1049="Yes",0.04,0)</f>
        <v>0</v>
      </c>
    </row>
    <row r="987" spans="1:58" ht="13" customHeight="1">
      <c r="A987" s="14"/>
      <c r="B987" s="81"/>
      <c r="C987" s="84"/>
      <c r="D987" s="1770" t="s">
        <v>1459</v>
      </c>
      <c r="E987" s="1771"/>
      <c r="F987" s="1771"/>
      <c r="G987" s="1771"/>
      <c r="H987" s="1771"/>
      <c r="I987" s="1771"/>
      <c r="J987" s="1771"/>
      <c r="K987" s="1771"/>
      <c r="L987" s="1771"/>
      <c r="M987" s="1771"/>
      <c r="N987" s="1771"/>
      <c r="O987" s="1771"/>
      <c r="P987" s="1771"/>
      <c r="Q987" s="1771"/>
      <c r="R987" s="1771"/>
      <c r="S987" s="1771"/>
      <c r="T987" s="1771"/>
      <c r="U987" s="1771"/>
      <c r="V987" s="1771"/>
      <c r="W987" s="1771"/>
      <c r="X987" s="1771"/>
      <c r="Y987" s="1771"/>
      <c r="Z987" s="1771"/>
      <c r="AA987" s="1771"/>
      <c r="AB987" s="1771"/>
      <c r="AC987" s="1771"/>
      <c r="AD987" s="1771"/>
      <c r="AE987" s="1772"/>
      <c r="AF987" s="1850"/>
      <c r="AG987" s="1851"/>
      <c r="AH987" s="1851"/>
      <c r="AI987" s="1852"/>
      <c r="AJ987" s="1789"/>
      <c r="AK987" s="1790"/>
      <c r="AL987" s="1790"/>
      <c r="AM987" s="1790"/>
      <c r="AN987" s="1790"/>
      <c r="AO987" s="1790"/>
      <c r="AP987" s="1790"/>
      <c r="AQ987" s="1791"/>
      <c r="AR987" s="68"/>
      <c r="AS987" s="68"/>
      <c r="AT987" s="68"/>
      <c r="AU987" s="68"/>
      <c r="AV987" s="68"/>
      <c r="AW987" s="68"/>
      <c r="AX987" s="68"/>
      <c r="AY987" s="68"/>
      <c r="BA987" s="213">
        <f>IF(A1052="Yes",0.01,0)</f>
        <v>0</v>
      </c>
    </row>
    <row r="988" spans="1:58" ht="13" customHeight="1">
      <c r="A988" s="14"/>
      <c r="B988" s="81"/>
      <c r="C988" s="84"/>
      <c r="D988" s="1770"/>
      <c r="E988" s="1771"/>
      <c r="F988" s="1771"/>
      <c r="G988" s="1771"/>
      <c r="H988" s="1771"/>
      <c r="I988" s="1771"/>
      <c r="J988" s="1771"/>
      <c r="K988" s="1771"/>
      <c r="L988" s="1771"/>
      <c r="M988" s="1771"/>
      <c r="N988" s="1771"/>
      <c r="O988" s="1771"/>
      <c r="P988" s="1771"/>
      <c r="Q988" s="1771"/>
      <c r="R988" s="1771"/>
      <c r="S988" s="1771"/>
      <c r="T988" s="1771"/>
      <c r="U988" s="1771"/>
      <c r="V988" s="1771"/>
      <c r="W988" s="1771"/>
      <c r="X988" s="1771"/>
      <c r="Y988" s="1771"/>
      <c r="Z988" s="1771"/>
      <c r="AA988" s="1771"/>
      <c r="AB988" s="1771"/>
      <c r="AC988" s="1771"/>
      <c r="AD988" s="1771"/>
      <c r="AE988" s="1772"/>
      <c r="AF988" s="1853"/>
      <c r="AG988" s="1853"/>
      <c r="AH988" s="1853"/>
      <c r="AI988" s="1853"/>
      <c r="AJ988" s="1789"/>
      <c r="AK988" s="1790"/>
      <c r="AL988" s="1790"/>
      <c r="AM988" s="1790"/>
      <c r="AN988" s="1790"/>
      <c r="AO988" s="1790"/>
      <c r="AP988" s="1790"/>
      <c r="AQ988" s="1791"/>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858" t="s">
        <v>600</v>
      </c>
      <c r="K989" s="1859"/>
      <c r="L989" s="1859"/>
      <c r="M989" s="1859"/>
      <c r="N989" s="1859"/>
      <c r="O989" s="1859"/>
      <c r="P989" s="1859"/>
      <c r="Q989" s="1859"/>
      <c r="R989" s="1859"/>
      <c r="S989" s="1859"/>
      <c r="T989" s="1859"/>
      <c r="U989" s="1859"/>
      <c r="V989" s="1859"/>
      <c r="W989" s="1859"/>
      <c r="X989" s="1859"/>
      <c r="Y989" s="1859"/>
      <c r="Z989" s="1859"/>
      <c r="AA989" s="1859"/>
      <c r="AB989" s="1859"/>
      <c r="AC989" s="1859"/>
      <c r="AD989" s="1859"/>
      <c r="AE989" s="1860"/>
      <c r="AF989" s="1853"/>
      <c r="AG989" s="1853"/>
      <c r="AH989" s="1853"/>
      <c r="AI989" s="1853"/>
      <c r="AJ989" s="1792"/>
      <c r="AK989" s="1793"/>
      <c r="AL989" s="1793"/>
      <c r="AM989" s="1793"/>
      <c r="AN989" s="1793"/>
      <c r="AO989" s="1793"/>
      <c r="AP989" s="1793"/>
      <c r="AQ989" s="1794"/>
      <c r="AR989" s="68"/>
      <c r="AS989" s="68"/>
      <c r="AT989" s="68"/>
      <c r="AU989" s="68"/>
      <c r="AV989" s="68"/>
      <c r="AW989" s="68"/>
      <c r="AX989" s="68"/>
      <c r="AY989" s="68"/>
      <c r="BA989" s="213">
        <f>IF(A1060="Yes",0.01,0)</f>
        <v>0</v>
      </c>
    </row>
    <row r="990" spans="1:58" ht="13" customHeight="1">
      <c r="A990" s="14"/>
      <c r="B990" s="79"/>
      <c r="C990" s="80" t="s">
        <v>230</v>
      </c>
      <c r="D990" s="1767" t="s">
        <v>1460</v>
      </c>
      <c r="E990" s="1768"/>
      <c r="F990" s="1768"/>
      <c r="G990" s="1768"/>
      <c r="H990" s="1768"/>
      <c r="I990" s="1768"/>
      <c r="J990" s="1768"/>
      <c r="K990" s="1768"/>
      <c r="L990" s="1768"/>
      <c r="M990" s="1768"/>
      <c r="N990" s="1768"/>
      <c r="O990" s="1768"/>
      <c r="P990" s="1768"/>
      <c r="Q990" s="1768"/>
      <c r="R990" s="1768"/>
      <c r="S990" s="1768"/>
      <c r="T990" s="1768"/>
      <c r="U990" s="1768"/>
      <c r="V990" s="1768"/>
      <c r="W990" s="1768"/>
      <c r="X990" s="1768"/>
      <c r="Y990" s="1768"/>
      <c r="Z990" s="1768"/>
      <c r="AA990" s="1768"/>
      <c r="AB990" s="1768"/>
      <c r="AC990" s="1768"/>
      <c r="AD990" s="1768"/>
      <c r="AE990" s="1769"/>
      <c r="AF990" s="79"/>
      <c r="AG990" s="1779" t="s">
        <v>678</v>
      </c>
      <c r="AH990" s="1780"/>
      <c r="AI990" s="87"/>
      <c r="AJ990" s="1786">
        <f>ROUND(IF(AG990="Yes",AF992,0),0)</f>
        <v>0</v>
      </c>
      <c r="AK990" s="1787"/>
      <c r="AL990" s="1787"/>
      <c r="AM990" s="1787"/>
      <c r="AN990" s="1787"/>
      <c r="AO990" s="1787"/>
      <c r="AP990" s="1787"/>
      <c r="AQ990" s="1788"/>
      <c r="AR990" s="68"/>
      <c r="AS990" s="68"/>
      <c r="AT990" s="68"/>
      <c r="AU990" s="68"/>
      <c r="AV990" s="68"/>
      <c r="AW990" s="68"/>
      <c r="AX990" s="68"/>
      <c r="AY990" s="68"/>
      <c r="BA990" s="213">
        <f>IF(A1064="Yes",0.02,0)</f>
        <v>0</v>
      </c>
    </row>
    <row r="991" spans="1:58" ht="13" customHeight="1">
      <c r="A991" s="14"/>
      <c r="B991" s="73"/>
      <c r="C991" s="74"/>
      <c r="D991" s="1770" t="s">
        <v>1951</v>
      </c>
      <c r="E991" s="1771"/>
      <c r="F991" s="1771"/>
      <c r="G991" s="1771"/>
      <c r="H991" s="1771"/>
      <c r="I991" s="1771"/>
      <c r="J991" s="1771"/>
      <c r="K991" s="1771"/>
      <c r="L991" s="1771"/>
      <c r="M991" s="1771"/>
      <c r="N991" s="1771"/>
      <c r="O991" s="1771"/>
      <c r="P991" s="1771"/>
      <c r="Q991" s="1771"/>
      <c r="R991" s="1771"/>
      <c r="S991" s="1771"/>
      <c r="T991" s="1771"/>
      <c r="U991" s="1771"/>
      <c r="V991" s="1771"/>
      <c r="W991" s="1771"/>
      <c r="X991" s="1771"/>
      <c r="Y991" s="1771"/>
      <c r="Z991" s="1771"/>
      <c r="AA991" s="1771"/>
      <c r="AB991" s="1771"/>
      <c r="AC991" s="1771"/>
      <c r="AD991" s="1771"/>
      <c r="AE991" s="1772"/>
      <c r="AF991" s="1854" t="str">
        <f>IF(AG990="yes","Enter Amount:","")</f>
        <v/>
      </c>
      <c r="AG991" s="1855"/>
      <c r="AH991" s="1855"/>
      <c r="AI991" s="1856"/>
      <c r="AJ991" s="1789"/>
      <c r="AK991" s="1790"/>
      <c r="AL991" s="1790"/>
      <c r="AM991" s="1790"/>
      <c r="AN991" s="1790"/>
      <c r="AO991" s="1790"/>
      <c r="AP991" s="1790"/>
      <c r="AQ991" s="1791"/>
      <c r="AR991" s="68"/>
      <c r="AS991" s="68"/>
      <c r="AT991" s="68"/>
      <c r="AU991" s="68"/>
      <c r="AV991" s="68"/>
      <c r="AW991" s="68"/>
      <c r="AX991" s="68"/>
      <c r="AY991" s="68"/>
      <c r="BA991" s="214">
        <f>IF(A1068="Yes",0.02,0)</f>
        <v>0</v>
      </c>
    </row>
    <row r="992" spans="1:58" ht="13" customHeight="1">
      <c r="A992" s="14"/>
      <c r="B992" s="73"/>
      <c r="C992" s="74"/>
      <c r="D992" s="1770"/>
      <c r="E992" s="1771"/>
      <c r="F992" s="1771"/>
      <c r="G992" s="1771"/>
      <c r="H992" s="1771"/>
      <c r="I992" s="1771"/>
      <c r="J992" s="1771"/>
      <c r="K992" s="1771"/>
      <c r="L992" s="1771"/>
      <c r="M992" s="1771"/>
      <c r="N992" s="1771"/>
      <c r="O992" s="1771"/>
      <c r="P992" s="1771"/>
      <c r="Q992" s="1771"/>
      <c r="R992" s="1771"/>
      <c r="S992" s="1771"/>
      <c r="T992" s="1771"/>
      <c r="U992" s="1771"/>
      <c r="V992" s="1771"/>
      <c r="W992" s="1771"/>
      <c r="X992" s="1771"/>
      <c r="Y992" s="1771"/>
      <c r="Z992" s="1771"/>
      <c r="AA992" s="1771"/>
      <c r="AB992" s="1771"/>
      <c r="AC992" s="1771"/>
      <c r="AD992" s="1771"/>
      <c r="AE992" s="1772"/>
      <c r="AF992" s="1853"/>
      <c r="AG992" s="1853"/>
      <c r="AH992" s="1853"/>
      <c r="AI992" s="1853"/>
      <c r="AJ992" s="1789"/>
      <c r="AK992" s="1790"/>
      <c r="AL992" s="1790"/>
      <c r="AM992" s="1790"/>
      <c r="AN992" s="1790"/>
      <c r="AO992" s="1790"/>
      <c r="AP992" s="1790"/>
      <c r="AQ992" s="1791"/>
      <c r="AR992" s="68"/>
      <c r="AS992" s="68"/>
      <c r="AT992" s="68"/>
      <c r="AU992" s="68"/>
      <c r="AV992" s="68"/>
      <c r="AW992" s="68"/>
      <c r="AX992" s="68"/>
      <c r="AY992" s="68"/>
    </row>
    <row r="993" spans="1:51" ht="13" customHeight="1">
      <c r="A993" s="14"/>
      <c r="B993" s="85"/>
      <c r="C993" s="84"/>
      <c r="D993" s="1783"/>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1853"/>
      <c r="AG993" s="1853"/>
      <c r="AH993" s="1853"/>
      <c r="AI993" s="1853"/>
      <c r="AJ993" s="1792"/>
      <c r="AK993" s="1793"/>
      <c r="AL993" s="1793"/>
      <c r="AM993" s="1793"/>
      <c r="AN993" s="1793"/>
      <c r="AO993" s="1793"/>
      <c r="AP993" s="1793"/>
      <c r="AQ993" s="1794"/>
      <c r="AR993" s="68"/>
      <c r="AS993" s="68"/>
      <c r="AT993" s="68"/>
      <c r="AU993" s="68"/>
      <c r="AV993" s="68"/>
      <c r="AW993" s="68"/>
      <c r="AX993" s="68"/>
      <c r="AY993" s="68"/>
    </row>
    <row r="994" spans="1:51" ht="13" customHeight="1">
      <c r="A994" s="14"/>
      <c r="B994" s="79"/>
      <c r="C994" s="80" t="s">
        <v>235</v>
      </c>
      <c r="D994" s="1806" t="s">
        <v>1461</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9"/>
      <c r="AG994" s="1779" t="s">
        <v>678</v>
      </c>
      <c r="AH994" s="1780"/>
      <c r="AI994" s="87"/>
      <c r="AJ994" s="1786">
        <f>ROUND(IF(AG994="yes",(AJ961*0.1),0),0)</f>
        <v>0</v>
      </c>
      <c r="AK994" s="1787"/>
      <c r="AL994" s="1787"/>
      <c r="AM994" s="1787"/>
      <c r="AN994" s="1787"/>
      <c r="AO994" s="1787"/>
      <c r="AP994" s="1787"/>
      <c r="AQ994" s="1788"/>
      <c r="AR994" s="68"/>
      <c r="AS994" s="68"/>
      <c r="AT994" s="68"/>
      <c r="AU994" s="68"/>
      <c r="AV994" s="68"/>
      <c r="AW994" s="68"/>
      <c r="AX994" s="68"/>
      <c r="AY994" s="68"/>
    </row>
    <row r="995" spans="1:51" ht="13" customHeight="1">
      <c r="A995" s="14"/>
      <c r="B995" s="73"/>
      <c r="C995" s="74"/>
      <c r="D995" s="1770" t="s">
        <v>1462</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9"/>
      <c r="AK995" s="1790"/>
      <c r="AL995" s="1790"/>
      <c r="AM995" s="1790"/>
      <c r="AN995" s="1790"/>
      <c r="AO995" s="1790"/>
      <c r="AP995" s="1790"/>
      <c r="AQ995" s="1791"/>
      <c r="AR995" s="68"/>
      <c r="AS995" s="68"/>
      <c r="AT995" s="68"/>
      <c r="AU995" s="68"/>
      <c r="AV995" s="68"/>
      <c r="AW995" s="68"/>
      <c r="AX995" s="68"/>
      <c r="AY995" s="68"/>
    </row>
    <row r="996" spans="1:51" ht="13" customHeight="1">
      <c r="A996" s="14"/>
      <c r="B996" s="77"/>
      <c r="C996" s="74"/>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792"/>
      <c r="AK996" s="1793"/>
      <c r="AL996" s="1793"/>
      <c r="AM996" s="1793"/>
      <c r="AN996" s="1793"/>
      <c r="AO996" s="1793"/>
      <c r="AP996" s="1793"/>
      <c r="AQ996" s="1794"/>
      <c r="AR996" s="68"/>
      <c r="AS996" s="68"/>
      <c r="AT996" s="68"/>
      <c r="AU996" s="68"/>
      <c r="AV996" s="68"/>
      <c r="AW996" s="68"/>
      <c r="AX996" s="68"/>
      <c r="AY996" s="68"/>
    </row>
    <row r="997" spans="1:51" ht="13" customHeight="1">
      <c r="A997" s="14"/>
      <c r="B997" s="73"/>
      <c r="C997" s="368" t="s">
        <v>697</v>
      </c>
      <c r="D997" s="1767" t="s">
        <v>1947</v>
      </c>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9"/>
      <c r="AG997" s="1779" t="s">
        <v>678</v>
      </c>
      <c r="AH997" s="1780"/>
      <c r="AI997" s="87"/>
      <c r="AJ997" s="1786">
        <f>ROUND(IF(AG997="yes",(AJ961*0.15),0),0)</f>
        <v>0</v>
      </c>
      <c r="AK997" s="1787"/>
      <c r="AL997" s="1787"/>
      <c r="AM997" s="1787"/>
      <c r="AN997" s="1787"/>
      <c r="AO997" s="1787"/>
      <c r="AP997" s="1787"/>
      <c r="AQ997" s="1788"/>
      <c r="AR997" s="68"/>
      <c r="AS997" s="68"/>
      <c r="AT997" s="68"/>
      <c r="AU997" s="68"/>
      <c r="AV997" s="68"/>
      <c r="AW997" s="68"/>
      <c r="AX997" s="68"/>
      <c r="AY997" s="68"/>
    </row>
    <row r="998" spans="1:51" ht="13" customHeight="1">
      <c r="A998" s="14"/>
      <c r="B998" s="73"/>
      <c r="C998" s="74"/>
      <c r="D998" s="1798"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9"/>
      <c r="AF998" s="952"/>
      <c r="AG998" s="953"/>
      <c r="AH998" s="953"/>
      <c r="AI998" s="954"/>
      <c r="AJ998" s="1789"/>
      <c r="AK998" s="1790"/>
      <c r="AL998" s="1790"/>
      <c r="AM998" s="1790"/>
      <c r="AN998" s="1790"/>
      <c r="AO998" s="1790"/>
      <c r="AP998" s="1790"/>
      <c r="AQ998" s="1791"/>
      <c r="AR998" s="68"/>
      <c r="AS998" s="68"/>
      <c r="AT998" s="68"/>
      <c r="AU998" s="68"/>
      <c r="AV998" s="68"/>
      <c r="AW998" s="68"/>
      <c r="AX998" s="68"/>
      <c r="AY998" s="68"/>
    </row>
    <row r="999" spans="1:51" ht="13" customHeight="1">
      <c r="A999" s="14"/>
      <c r="B999" s="73"/>
      <c r="C999" s="74"/>
      <c r="D999" s="179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9"/>
      <c r="AF999" s="952"/>
      <c r="AG999" s="953"/>
      <c r="AH999" s="953"/>
      <c r="AI999" s="954"/>
      <c r="AJ999" s="1789"/>
      <c r="AK999" s="1790"/>
      <c r="AL999" s="1790"/>
      <c r="AM999" s="1790"/>
      <c r="AN999" s="1790"/>
      <c r="AO999" s="1790"/>
      <c r="AP999" s="1790"/>
      <c r="AQ999" s="1791"/>
      <c r="AR999" s="68"/>
      <c r="AS999" s="68"/>
      <c r="AT999" s="68"/>
      <c r="AU999" s="68"/>
      <c r="AV999" s="68"/>
      <c r="AW999" s="68"/>
      <c r="AX999" s="68"/>
      <c r="AY999" s="68"/>
    </row>
    <row r="1000" spans="1:51" ht="13" customHeight="1">
      <c r="A1000" s="14"/>
      <c r="B1000" s="73"/>
      <c r="C1000" s="74"/>
      <c r="D1000" s="1800"/>
      <c r="E1000" s="1801"/>
      <c r="F1000" s="1801"/>
      <c r="G1000" s="1801"/>
      <c r="H1000" s="1801"/>
      <c r="I1000" s="1801"/>
      <c r="J1000" s="1801"/>
      <c r="K1000" s="1801"/>
      <c r="L1000" s="1801"/>
      <c r="M1000" s="1801"/>
      <c r="N1000" s="1801"/>
      <c r="O1000" s="1801"/>
      <c r="P1000" s="1801"/>
      <c r="Q1000" s="1801"/>
      <c r="R1000" s="1801"/>
      <c r="S1000" s="1801"/>
      <c r="T1000" s="1801"/>
      <c r="U1000" s="1801"/>
      <c r="V1000" s="1801"/>
      <c r="W1000" s="1801"/>
      <c r="X1000" s="1801"/>
      <c r="Y1000" s="1801"/>
      <c r="Z1000" s="1801"/>
      <c r="AA1000" s="1801"/>
      <c r="AB1000" s="1801"/>
      <c r="AC1000" s="1801"/>
      <c r="AD1000" s="1801"/>
      <c r="AE1000" s="1802"/>
      <c r="AF1000" s="955"/>
      <c r="AG1000" s="956"/>
      <c r="AH1000" s="956"/>
      <c r="AI1000" s="957"/>
      <c r="AJ1000" s="1792"/>
      <c r="AK1000" s="1793"/>
      <c r="AL1000" s="1793"/>
      <c r="AM1000" s="1793"/>
      <c r="AN1000" s="1793"/>
      <c r="AO1000" s="1793"/>
      <c r="AP1000" s="1793"/>
      <c r="AQ1000" s="1794"/>
      <c r="AR1000" s="68"/>
      <c r="AS1000" s="68"/>
      <c r="AT1000" s="68"/>
      <c r="AU1000" s="68"/>
      <c r="AV1000" s="68"/>
      <c r="AW1000" s="68"/>
      <c r="AX1000" s="68"/>
      <c r="AY1000" s="68"/>
    </row>
    <row r="1001" spans="1:51" ht="13" customHeight="1">
      <c r="A1001" s="14"/>
      <c r="B1001" s="73"/>
      <c r="C1001" s="368" t="s">
        <v>697</v>
      </c>
      <c r="D1001" s="1806" t="s">
        <v>1949</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781" t="s">
        <v>678</v>
      </c>
      <c r="AH1001" s="1782"/>
      <c r="AI1001" s="83"/>
      <c r="AJ1001" s="1786">
        <f>ROUND(IF(AND(AG1001="yes",AJ997=0),(AJ961*0.1),0),0)</f>
        <v>0</v>
      </c>
      <c r="AK1001" s="1787"/>
      <c r="AL1001" s="1787"/>
      <c r="AM1001" s="1787"/>
      <c r="AN1001" s="1787"/>
      <c r="AO1001" s="1787"/>
      <c r="AP1001" s="1787"/>
      <c r="AQ1001" s="1788"/>
      <c r="AR1001" s="68"/>
      <c r="AS1001" s="68"/>
      <c r="AT1001" s="68"/>
      <c r="AU1001" s="68"/>
      <c r="AV1001" s="68"/>
      <c r="AW1001" s="68"/>
      <c r="AX1001" s="68"/>
      <c r="AY1001" s="68"/>
    </row>
    <row r="1002" spans="1:51" ht="13" customHeight="1">
      <c r="A1002" s="14"/>
      <c r="B1002" s="73"/>
      <c r="C1002" s="74"/>
      <c r="D1002" s="1798"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9"/>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68"/>
    </row>
    <row r="1003" spans="1:51" ht="13" customHeight="1">
      <c r="A1003" s="14"/>
      <c r="B1003" s="73"/>
      <c r="C1003" s="74"/>
      <c r="D1003" s="179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9"/>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68"/>
    </row>
    <row r="1004" spans="1:51" ht="13" customHeight="1">
      <c r="A1004" s="14"/>
      <c r="B1004" s="73"/>
      <c r="C1004" s="74"/>
      <c r="D1004" s="179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9"/>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68"/>
    </row>
    <row r="1005" spans="1:51" ht="13" customHeight="1">
      <c r="A1005" s="14"/>
      <c r="B1005" s="73"/>
      <c r="C1005" s="74"/>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89"/>
      <c r="AK1005" s="1790"/>
      <c r="AL1005" s="1790"/>
      <c r="AM1005" s="1790"/>
      <c r="AN1005" s="1790"/>
      <c r="AO1005" s="1790"/>
      <c r="AP1005" s="1790"/>
      <c r="AQ1005" s="1791"/>
      <c r="AR1005" s="68"/>
      <c r="AS1005" s="68"/>
      <c r="AT1005" s="68"/>
      <c r="AU1005" s="68"/>
      <c r="AV1005" s="68"/>
      <c r="AW1005" s="68"/>
      <c r="AX1005" s="68"/>
      <c r="AY1005" s="68"/>
    </row>
    <row r="1006" spans="1:51" ht="13" customHeight="1">
      <c r="A1006" s="14"/>
      <c r="B1006" s="79"/>
      <c r="C1006" s="131" t="s">
        <v>1067</v>
      </c>
      <c r="D1006" s="1767" t="s">
        <v>1463</v>
      </c>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9"/>
      <c r="AG1006" s="1779" t="s">
        <v>678</v>
      </c>
      <c r="AH1006" s="1780"/>
      <c r="AI1006" s="87"/>
      <c r="AJ1006" s="1786">
        <f>ROUND(IF(AG1006="yes",(AJ961*0.1),0),0)</f>
        <v>0</v>
      </c>
      <c r="AK1006" s="1787"/>
      <c r="AL1006" s="1787"/>
      <c r="AM1006" s="1787"/>
      <c r="AN1006" s="1787"/>
      <c r="AO1006" s="1787"/>
      <c r="AP1006" s="1787"/>
      <c r="AQ1006" s="1788"/>
      <c r="AR1006" s="68"/>
      <c r="AS1006" s="68"/>
      <c r="AT1006" s="68"/>
      <c r="AU1006" s="68"/>
      <c r="AV1006" s="68"/>
      <c r="AW1006" s="68"/>
      <c r="AX1006" s="68"/>
      <c r="AY1006" s="68"/>
    </row>
    <row r="1007" spans="1:51" ht="13" customHeight="1">
      <c r="A1007" s="14"/>
      <c r="B1007" s="73"/>
      <c r="C1007" s="74"/>
      <c r="D1007" s="1770" t="s">
        <v>2516</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73"/>
      <c r="AG1007" s="14"/>
      <c r="AH1007" s="14"/>
      <c r="AI1007" s="83"/>
      <c r="AJ1007" s="1789"/>
      <c r="AK1007" s="1790"/>
      <c r="AL1007" s="1790"/>
      <c r="AM1007" s="1790"/>
      <c r="AN1007" s="1790"/>
      <c r="AO1007" s="1790"/>
      <c r="AP1007" s="1790"/>
      <c r="AQ1007" s="1791"/>
      <c r="AR1007" s="68"/>
      <c r="AS1007" s="68"/>
      <c r="AT1007" s="68"/>
      <c r="AU1007" s="68"/>
      <c r="AV1007" s="68"/>
      <c r="AW1007" s="68"/>
      <c r="AX1007" s="68"/>
      <c r="AY1007" s="68"/>
    </row>
    <row r="1008" spans="1:51" ht="13" customHeight="1">
      <c r="A1008" s="14"/>
      <c r="B1008" s="73"/>
      <c r="C1008" s="74"/>
      <c r="D1008" s="1770"/>
      <c r="E1008" s="1771"/>
      <c r="F1008" s="1771"/>
      <c r="G1008" s="1771"/>
      <c r="H1008" s="1771"/>
      <c r="I1008" s="1771"/>
      <c r="J1008" s="1771"/>
      <c r="K1008" s="1771"/>
      <c r="L1008" s="1771"/>
      <c r="M1008" s="1771"/>
      <c r="N1008" s="1771"/>
      <c r="O1008" s="1771"/>
      <c r="P1008" s="1771"/>
      <c r="Q1008" s="1771"/>
      <c r="R1008" s="1771"/>
      <c r="S1008" s="1771"/>
      <c r="T1008" s="1771"/>
      <c r="U1008" s="1771"/>
      <c r="V1008" s="1771"/>
      <c r="W1008" s="1771"/>
      <c r="X1008" s="1771"/>
      <c r="Y1008" s="1771"/>
      <c r="Z1008" s="1771"/>
      <c r="AA1008" s="1771"/>
      <c r="AB1008" s="1771"/>
      <c r="AC1008" s="1771"/>
      <c r="AD1008" s="1771"/>
      <c r="AE1008" s="1772"/>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c r="AY1008" s="68"/>
    </row>
    <row r="1009" spans="1:51" ht="13" customHeight="1">
      <c r="A1009" s="14"/>
      <c r="B1009" s="73"/>
      <c r="C1009" s="74"/>
      <c r="D1009" s="1783"/>
      <c r="E1009" s="1784"/>
      <c r="F1009" s="1784"/>
      <c r="G1009" s="1784"/>
      <c r="H1009" s="1784"/>
      <c r="I1009" s="1784"/>
      <c r="J1009" s="1784"/>
      <c r="K1009" s="1784"/>
      <c r="L1009" s="1784"/>
      <c r="M1009" s="1784"/>
      <c r="N1009" s="1784"/>
      <c r="O1009" s="1784"/>
      <c r="P1009" s="1784"/>
      <c r="Q1009" s="1784"/>
      <c r="R1009" s="1784"/>
      <c r="S1009" s="1784"/>
      <c r="T1009" s="1784"/>
      <c r="U1009" s="1784"/>
      <c r="V1009" s="1784"/>
      <c r="W1009" s="1784"/>
      <c r="X1009" s="1784"/>
      <c r="Y1009" s="1784"/>
      <c r="Z1009" s="1784"/>
      <c r="AA1009" s="1784"/>
      <c r="AB1009" s="1784"/>
      <c r="AC1009" s="1784"/>
      <c r="AD1009" s="1784"/>
      <c r="AE1009" s="1785"/>
      <c r="AF1009" s="73"/>
      <c r="AG1009" s="14"/>
      <c r="AH1009" s="14"/>
      <c r="AI1009" s="83"/>
      <c r="AJ1009" s="1792"/>
      <c r="AK1009" s="1793"/>
      <c r="AL1009" s="1793"/>
      <c r="AM1009" s="1793"/>
      <c r="AN1009" s="1793"/>
      <c r="AO1009" s="1793"/>
      <c r="AP1009" s="1793"/>
      <c r="AQ1009" s="1794"/>
      <c r="AR1009" s="68"/>
      <c r="AS1009" s="68"/>
      <c r="AT1009" s="68"/>
      <c r="AU1009" s="68"/>
      <c r="AV1009" s="68"/>
      <c r="AW1009" s="68"/>
      <c r="AX1009" s="68"/>
      <c r="AY1009" s="68"/>
    </row>
    <row r="1010" spans="1:51" ht="13" customHeight="1">
      <c r="A1010" s="14"/>
      <c r="B1010" s="79"/>
      <c r="C1010" s="131" t="s">
        <v>1945</v>
      </c>
      <c r="D1010" s="1806" t="s">
        <v>2129</v>
      </c>
      <c r="E1010" s="1807"/>
      <c r="F1010" s="1807"/>
      <c r="G1010" s="1807"/>
      <c r="H1010" s="1807"/>
      <c r="I1010" s="1807"/>
      <c r="J1010" s="1807"/>
      <c r="K1010" s="1807"/>
      <c r="L1010" s="1807"/>
      <c r="M1010" s="1807"/>
      <c r="N1010" s="1807"/>
      <c r="O1010" s="1807"/>
      <c r="P1010" s="1807"/>
      <c r="Q1010" s="1807"/>
      <c r="R1010" s="1807"/>
      <c r="S1010" s="1807"/>
      <c r="T1010" s="1807"/>
      <c r="U1010" s="1807"/>
      <c r="V1010" s="1807"/>
      <c r="W1010" s="1807"/>
      <c r="X1010" s="1807"/>
      <c r="Y1010" s="1807"/>
      <c r="Z1010" s="1807"/>
      <c r="AA1010" s="1807"/>
      <c r="AB1010" s="1807"/>
      <c r="AC1010" s="1807"/>
      <c r="AD1010" s="1807"/>
      <c r="AE1010" s="1808"/>
      <c r="AF1010" s="79"/>
      <c r="AG1010" s="1777" t="str">
        <f>IF(X1013&gt;0,"Yes","No")</f>
        <v>No</v>
      </c>
      <c r="AH1010" s="1778"/>
      <c r="AI1010" s="87"/>
      <c r="AJ1010" s="1786">
        <f>IF((X1013=0),0,BA975*AJ961)</f>
        <v>0</v>
      </c>
      <c r="AK1010" s="1787"/>
      <c r="AL1010" s="1787"/>
      <c r="AM1010" s="1787"/>
      <c r="AN1010" s="1787"/>
      <c r="AO1010" s="1787"/>
      <c r="AP1010" s="1787"/>
      <c r="AQ1010" s="1788"/>
      <c r="AR1010" s="68"/>
      <c r="AS1010" s="68"/>
      <c r="AT1010" s="68"/>
      <c r="AU1010" s="68"/>
      <c r="AV1010" s="68"/>
      <c r="AW1010" s="68"/>
      <c r="AX1010" s="68"/>
      <c r="AY1010" s="68"/>
    </row>
    <row r="1011" spans="1:51" ht="13" customHeight="1">
      <c r="A1011" s="14"/>
      <c r="B1011" s="73"/>
      <c r="C1011" s="477"/>
      <c r="D1011" s="1770" t="s">
        <v>1465</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3"/>
      <c r="AG1011" s="478"/>
      <c r="AH1011" s="478"/>
      <c r="AI1011" s="83"/>
      <c r="AJ1011" s="1789"/>
      <c r="AK1011" s="1790"/>
      <c r="AL1011" s="1790"/>
      <c r="AM1011" s="1790"/>
      <c r="AN1011" s="1790"/>
      <c r="AO1011" s="1790"/>
      <c r="AP1011" s="1790"/>
      <c r="AQ1011" s="1791"/>
      <c r="AR1011" s="68"/>
      <c r="AS1011" s="68"/>
      <c r="AT1011" s="68"/>
      <c r="AU1011" s="68"/>
      <c r="AV1011" s="68"/>
      <c r="AW1011" s="68"/>
      <c r="AX1011" s="68"/>
      <c r="AY1011" s="68"/>
    </row>
    <row r="1012" spans="1:51" ht="13" customHeight="1">
      <c r="A1012" s="14"/>
      <c r="B1012" s="73"/>
      <c r="C1012" s="477"/>
      <c r="D1012" s="1770"/>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3"/>
      <c r="AG1012" s="478"/>
      <c r="AH1012" s="478"/>
      <c r="AI1012" s="83"/>
      <c r="AJ1012" s="1789"/>
      <c r="AK1012" s="1790"/>
      <c r="AL1012" s="1790"/>
      <c r="AM1012" s="1790"/>
      <c r="AN1012" s="1790"/>
      <c r="AO1012" s="1790"/>
      <c r="AP1012" s="1790"/>
      <c r="AQ1012" s="1791"/>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75">
        <f>BA973</f>
        <v>17</v>
      </c>
      <c r="J1013" s="1776"/>
      <c r="K1013" s="7"/>
      <c r="L1013" s="133"/>
      <c r="M1013" s="133"/>
      <c r="N1013" s="133"/>
      <c r="O1013" s="133"/>
      <c r="P1013" s="133"/>
      <c r="Q1013" s="133"/>
      <c r="R1013" s="133"/>
      <c r="S1013" s="133"/>
      <c r="T1013" s="133"/>
      <c r="U1013" s="133"/>
      <c r="V1013" s="134" t="s">
        <v>1013</v>
      </c>
      <c r="W1013" s="48"/>
      <c r="X1013" s="1773">
        <f>BG621</f>
        <v>0</v>
      </c>
      <c r="Y1013" s="1774"/>
      <c r="Z1013" s="48"/>
      <c r="AA1013" s="48"/>
      <c r="AB1013" s="48"/>
      <c r="AC1013" s="48"/>
      <c r="AD1013" s="48"/>
      <c r="AE1013" s="49"/>
      <c r="AF1013" s="961"/>
      <c r="AG1013" s="962"/>
      <c r="AH1013" s="962"/>
      <c r="AI1013" s="963"/>
      <c r="AJ1013" s="1792"/>
      <c r="AK1013" s="1793"/>
      <c r="AL1013" s="1793"/>
      <c r="AM1013" s="1793"/>
      <c r="AN1013" s="1793"/>
      <c r="AO1013" s="1793"/>
      <c r="AP1013" s="1793"/>
      <c r="AQ1013" s="1794"/>
      <c r="AR1013" s="68"/>
      <c r="AS1013" s="68"/>
      <c r="AT1013" s="68"/>
      <c r="AU1013" s="68"/>
      <c r="AV1013" s="68"/>
      <c r="AW1013" s="68"/>
      <c r="AX1013" s="68"/>
      <c r="AY1013" s="68"/>
    </row>
    <row r="1014" spans="1:51" ht="13" customHeight="1">
      <c r="A1014" s="14"/>
      <c r="B1014" s="79"/>
      <c r="C1014" s="131" t="s">
        <v>1946</v>
      </c>
      <c r="D1014" s="1767" t="s">
        <v>2130</v>
      </c>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73"/>
      <c r="AG1014" s="1777" t="str">
        <f>IF(X1017&gt;0,"Yes","No")</f>
        <v>Yes</v>
      </c>
      <c r="AH1014" s="1778"/>
      <c r="AI1014" s="83"/>
      <c r="AJ1014" s="1786">
        <f>IF((X1017=0),0,(2*BA976)*AJ961)</f>
        <v>16459732</v>
      </c>
      <c r="AK1014" s="1787"/>
      <c r="AL1014" s="1787"/>
      <c r="AM1014" s="1787"/>
      <c r="AN1014" s="1787"/>
      <c r="AO1014" s="1787"/>
      <c r="AP1014" s="1787"/>
      <c r="AQ1014" s="1788"/>
      <c r="AR1014" s="68"/>
      <c r="AS1014" s="68"/>
      <c r="AT1014" s="68"/>
      <c r="AU1014" s="68"/>
      <c r="AV1014" s="68"/>
      <c r="AW1014" s="68"/>
      <c r="AX1014" s="68"/>
      <c r="AY1014" s="68"/>
    </row>
    <row r="1015" spans="1:51" ht="13" customHeight="1">
      <c r="A1015" s="14"/>
      <c r="B1015" s="73"/>
      <c r="C1015" s="477"/>
      <c r="D1015" s="1770" t="s">
        <v>1464</v>
      </c>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73"/>
      <c r="AG1015" s="478"/>
      <c r="AH1015" s="478"/>
      <c r="AI1015" s="83"/>
      <c r="AJ1015" s="1789"/>
      <c r="AK1015" s="1790"/>
      <c r="AL1015" s="1790"/>
      <c r="AM1015" s="1790"/>
      <c r="AN1015" s="1790"/>
      <c r="AO1015" s="1790"/>
      <c r="AP1015" s="1790"/>
      <c r="AQ1015" s="1791"/>
      <c r="AR1015" s="68"/>
      <c r="AS1015" s="68"/>
      <c r="AT1015" s="68"/>
      <c r="AU1015" s="68"/>
      <c r="AV1015" s="68"/>
      <c r="AW1015" s="68"/>
      <c r="AX1015" s="68"/>
      <c r="AY1015" s="68"/>
    </row>
    <row r="1016" spans="1:51" ht="13" customHeight="1">
      <c r="A1016" s="14"/>
      <c r="B1016" s="73"/>
      <c r="C1016" s="83"/>
      <c r="D1016" s="1770"/>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958"/>
      <c r="AG1016" s="959"/>
      <c r="AH1016" s="959"/>
      <c r="AI1016" s="960"/>
      <c r="AJ1016" s="1789"/>
      <c r="AK1016" s="1790"/>
      <c r="AL1016" s="1790"/>
      <c r="AM1016" s="1790"/>
      <c r="AN1016" s="1790"/>
      <c r="AO1016" s="1790"/>
      <c r="AP1016" s="1790"/>
      <c r="AQ1016" s="1791"/>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75">
        <f>BA973</f>
        <v>17</v>
      </c>
      <c r="J1017" s="1776"/>
      <c r="K1017" s="14"/>
      <c r="L1017" s="133"/>
      <c r="M1017" s="133"/>
      <c r="N1017" s="133"/>
      <c r="O1017" s="133"/>
      <c r="P1017" s="133"/>
      <c r="Q1017" s="133"/>
      <c r="R1017" s="133"/>
      <c r="S1017" s="133"/>
      <c r="T1017" s="133"/>
      <c r="U1017" s="133"/>
      <c r="V1017" s="134" t="s">
        <v>1014</v>
      </c>
      <c r="X1017" s="1773">
        <f>BK621</f>
        <v>17</v>
      </c>
      <c r="Y1017" s="1774"/>
      <c r="AF1017" s="961"/>
      <c r="AG1017" s="962"/>
      <c r="AH1017" s="962"/>
      <c r="AI1017" s="963"/>
      <c r="AJ1017" s="1792"/>
      <c r="AK1017" s="1793"/>
      <c r="AL1017" s="1793"/>
      <c r="AM1017" s="1793"/>
      <c r="AN1017" s="1793"/>
      <c r="AO1017" s="1793"/>
      <c r="AP1017" s="1793"/>
      <c r="AQ1017" s="1794"/>
      <c r="AR1017" s="68"/>
      <c r="AS1017" s="68"/>
      <c r="AT1017" s="68"/>
      <c r="AU1017" s="68"/>
      <c r="AV1017" s="68"/>
      <c r="AW1017" s="68"/>
      <c r="AX1017" s="68"/>
      <c r="AY1017" s="68"/>
    </row>
    <row r="1018" spans="1:51" ht="13" customHeight="1">
      <c r="A1018" s="14"/>
      <c r="B1018" s="102"/>
      <c r="C1018" s="103"/>
      <c r="D1018" s="1765" t="s">
        <v>522</v>
      </c>
      <c r="E1018" s="1765"/>
      <c r="F1018" s="1765"/>
      <c r="G1018" s="1765"/>
      <c r="H1018" s="1765"/>
      <c r="I1018" s="1765"/>
      <c r="J1018" s="1765"/>
      <c r="K1018" s="1765"/>
      <c r="L1018" s="1765"/>
      <c r="M1018" s="1765"/>
      <c r="N1018" s="1765"/>
      <c r="O1018" s="1765"/>
      <c r="P1018" s="1765"/>
      <c r="Q1018" s="1765"/>
      <c r="R1018" s="1765"/>
      <c r="S1018" s="1765"/>
      <c r="T1018" s="1765"/>
      <c r="U1018" s="1765"/>
      <c r="V1018" s="1765"/>
      <c r="W1018" s="1765"/>
      <c r="X1018" s="1765"/>
      <c r="Y1018" s="1765"/>
      <c r="Z1018" s="1765"/>
      <c r="AA1018" s="1765"/>
      <c r="AB1018" s="1765"/>
      <c r="AC1018" s="1765"/>
      <c r="AD1018" s="1765"/>
      <c r="AE1018" s="1765"/>
      <c r="AF1018" s="1765"/>
      <c r="AG1018" s="1765"/>
      <c r="AH1018" s="1765"/>
      <c r="AI1018" s="1766"/>
      <c r="AJ1018" s="1795">
        <f>SUM(AJ961:AQ1017)</f>
        <v>26335571</v>
      </c>
      <c r="AK1018" s="1796"/>
      <c r="AL1018" s="1796"/>
      <c r="AM1018" s="1796"/>
      <c r="AN1018" s="1796"/>
      <c r="AO1018" s="1796"/>
      <c r="AP1018" s="1796"/>
      <c r="AQ1018" s="179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30">
        <f>IF(ISNA(IF((AJ985&gt;(AJ961*0.15)),"(f) cannot be greater than 15% of unadjusted eligible basis.",0)),"",(IF((AJ985&gt;(AJ961*0.15)),"(f) cannot be greater than 15% of unadjusted eligible basis.",0)))</f>
        <v>0</v>
      </c>
      <c r="C1025" s="1730"/>
      <c r="D1025" s="1730"/>
      <c r="E1025" s="1730"/>
      <c r="F1025" s="1730"/>
      <c r="G1025" s="1730"/>
      <c r="H1025" s="1730"/>
      <c r="I1025" s="1730"/>
      <c r="J1025" s="1730"/>
      <c r="K1025" s="1730"/>
      <c r="L1025" s="1730"/>
      <c r="M1025" s="1730"/>
      <c r="N1025" s="1730"/>
      <c r="O1025" s="1730"/>
      <c r="P1025" s="1730"/>
      <c r="Q1025" s="1730"/>
      <c r="R1025" s="1730"/>
      <c r="S1025" s="1730"/>
      <c r="T1025" s="1730"/>
      <c r="U1025" s="1730"/>
      <c r="V1025" s="1730"/>
      <c r="W1025" s="1730"/>
      <c r="X1025" s="1730"/>
      <c r="Y1025" s="1730"/>
      <c r="Z1025" s="1730"/>
      <c r="AA1025" s="1730"/>
      <c r="AB1025" s="1730"/>
      <c r="AC1025" s="1730"/>
      <c r="AD1025" s="1730"/>
      <c r="AE1025" s="1730"/>
      <c r="AF1025" s="1730"/>
      <c r="AG1025" s="1730"/>
      <c r="AH1025" s="1730"/>
      <c r="AI1025" s="1730"/>
      <c r="AJ1025" s="1730"/>
      <c r="AK1025" s="1730"/>
      <c r="AL1025" s="68"/>
      <c r="AM1025" s="68"/>
      <c r="AN1025" s="68"/>
      <c r="AO1025" s="68"/>
      <c r="AP1025" s="68"/>
      <c r="AQ1025" s="68"/>
      <c r="AR1025" s="68"/>
      <c r="AS1025" s="68"/>
      <c r="AT1025" s="68"/>
      <c r="AU1025" s="68"/>
      <c r="AV1025" s="68"/>
      <c r="AW1025" s="68"/>
      <c r="AX1025" s="68"/>
      <c r="AY1025" s="68"/>
    </row>
    <row r="1026" spans="1:51" ht="13" customHeight="1" thickBot="1">
      <c r="A1026" s="1693" t="s">
        <v>818</v>
      </c>
      <c r="B1026" s="1693"/>
      <c r="C1026" s="1693"/>
      <c r="D1026" s="1693"/>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3"/>
      <c r="AF1026" s="1693"/>
      <c r="AG1026" s="1693"/>
      <c r="AH1026" s="1693"/>
      <c r="AI1026" s="1693"/>
      <c r="AJ1026" s="1693"/>
      <c r="AK1026" s="1693"/>
      <c r="AL1026" s="169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2" zoomScaleNormal="100" zoomScaleSheetLayoutView="90" workbookViewId="0">
      <selection activeCell="A118" sqref="A118"/>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558</v>
      </c>
      <c r="B1" s="125"/>
      <c r="C1" s="125"/>
      <c r="D1" s="125"/>
      <c r="E1" s="126"/>
      <c r="F1" s="1872" t="s">
        <v>630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Application!B623&amp;Application!C623</f>
        <v>1)R4 Tax-exempt construction-to-perm loan</v>
      </c>
      <c r="G2" s="139" t="str">
        <f>Application!B624&amp;Application!C624</f>
        <v>2)Infill Infrastructure Grant Program (IIG) - Grant</v>
      </c>
      <c r="H2" s="139" t="str">
        <f>Application!B625&amp;Application!C625</f>
        <v>3)Deferred Developer Fee</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915995</v>
      </c>
      <c r="C4" s="147">
        <v>915995</v>
      </c>
      <c r="D4" s="147"/>
      <c r="E4" s="147">
        <f>C4</f>
        <v>915995</v>
      </c>
      <c r="F4" s="147"/>
      <c r="G4" s="147"/>
      <c r="H4" s="147"/>
      <c r="I4" s="147"/>
      <c r="J4" s="147"/>
      <c r="K4" s="147"/>
      <c r="L4" s="147"/>
      <c r="M4" s="147"/>
      <c r="N4" s="147"/>
      <c r="O4" s="147"/>
      <c r="P4" s="147"/>
      <c r="Q4" s="147"/>
      <c r="R4" s="551">
        <f>SUM(E4:Q4)</f>
        <v>915995</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602</v>
      </c>
      <c r="B8" s="146">
        <f>SUM(C8:D8)</f>
        <v>915995</v>
      </c>
      <c r="C8" s="146">
        <f t="shared" ref="C8:Q8" si="0">SUM(C4:C7)</f>
        <v>915995</v>
      </c>
      <c r="D8" s="146">
        <f t="shared" si="0"/>
        <v>0</v>
      </c>
      <c r="E8" s="146">
        <f t="shared" si="0"/>
        <v>915995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915995</v>
      </c>
      <c r="S8" s="148"/>
      <c r="T8" s="148"/>
      <c r="U8" s="143"/>
    </row>
    <row r="9" spans="1:21" s="144" customFormat="1" ht="13">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ht="13">
      <c r="A10" s="145" t="s">
        <v>604</v>
      </c>
      <c r="B10" s="146">
        <f>SUM(C10+D10)</f>
        <v>0</v>
      </c>
      <c r="C10" s="147"/>
      <c r="D10" s="147"/>
      <c r="E10" s="147"/>
      <c r="F10" s="147"/>
      <c r="G10" s="147"/>
      <c r="H10" s="147"/>
      <c r="I10" s="147"/>
      <c r="J10" s="147"/>
      <c r="K10" s="147"/>
      <c r="L10" s="147"/>
      <c r="M10" s="147"/>
      <c r="N10" s="147"/>
      <c r="O10" s="147"/>
      <c r="P10" s="147"/>
      <c r="Q10" s="147"/>
      <c r="R10" s="551">
        <f>SUM(E10:Q10)</f>
        <v>0</v>
      </c>
      <c r="S10" s="147">
        <f t="shared" ref="S10" si="1">B10</f>
        <v>0</v>
      </c>
      <c r="T10" s="147"/>
      <c r="U10" s="143"/>
    </row>
    <row r="11" spans="1:21" s="144" customFormat="1" ht="13">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0</v>
      </c>
      <c r="S11" s="148"/>
      <c r="T11" s="150">
        <f>SUM(T9:T10)</f>
        <v>0</v>
      </c>
      <c r="U11" s="143"/>
    </row>
    <row r="12" spans="1:21" s="144" customFormat="1" ht="13">
      <c r="A12" s="149" t="s">
        <v>85</v>
      </c>
      <c r="B12" s="146">
        <f t="shared" ref="B12:Q12" si="3">SUM(B8+B11)</f>
        <v>915995</v>
      </c>
      <c r="C12" s="146">
        <f t="shared" si="3"/>
        <v>915995</v>
      </c>
      <c r="D12" s="146">
        <f t="shared" si="3"/>
        <v>0</v>
      </c>
      <c r="E12" s="146">
        <f t="shared" si="3"/>
        <v>915995</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1">
        <f>SUM(R8+R11)</f>
        <v>915995</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f t="shared" ref="S13" si="4">B13</f>
        <v>0</v>
      </c>
      <c r="T13" s="147"/>
      <c r="U13" s="143"/>
    </row>
    <row r="14" spans="1:21" s="144" customFormat="1" ht="26">
      <c r="A14" s="310" t="s">
        <v>1824</v>
      </c>
      <c r="B14" s="146">
        <f>SUM(C14+D14)</f>
        <v>0</v>
      </c>
      <c r="C14" s="147"/>
      <c r="D14" s="147"/>
      <c r="E14" s="147"/>
      <c r="F14" s="147"/>
      <c r="G14" s="147"/>
      <c r="H14" s="147"/>
      <c r="I14" s="147"/>
      <c r="J14" s="147"/>
      <c r="K14" s="147"/>
      <c r="L14" s="147"/>
      <c r="M14" s="147"/>
      <c r="N14" s="147"/>
      <c r="O14" s="147"/>
      <c r="P14" s="147"/>
      <c r="Q14" s="147"/>
      <c r="R14" s="551">
        <f>SUM(E14:Q14)</f>
        <v>0</v>
      </c>
      <c r="S14" s="147">
        <f t="shared" ref="S14" si="5">B14</f>
        <v>0</v>
      </c>
      <c r="T14" s="147"/>
      <c r="U14" s="143"/>
    </row>
    <row r="15" spans="1:21" s="144" customFormat="1" ht="13">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607</v>
      </c>
      <c r="B17" s="146">
        <f t="shared" ref="B17:B26" si="6">SUM(C17+D17)</f>
        <v>0</v>
      </c>
      <c r="C17" s="147"/>
      <c r="D17" s="147"/>
      <c r="E17" s="147"/>
      <c r="F17" s="147"/>
      <c r="G17" s="147"/>
      <c r="H17" s="147"/>
      <c r="I17" s="147"/>
      <c r="J17" s="147"/>
      <c r="K17" s="147"/>
      <c r="L17" s="147"/>
      <c r="M17" s="147"/>
      <c r="N17" s="147"/>
      <c r="O17" s="147"/>
      <c r="P17" s="147"/>
      <c r="Q17" s="147"/>
      <c r="R17" s="551">
        <f>SUM(E17:Q17)</f>
        <v>0</v>
      </c>
      <c r="S17" s="147">
        <f t="shared" ref="S17" si="7">B17</f>
        <v>0</v>
      </c>
      <c r="T17" s="147"/>
      <c r="U17" s="143"/>
    </row>
    <row r="18" spans="1:21" s="144" customFormat="1" ht="13">
      <c r="A18" s="145" t="s">
        <v>608</v>
      </c>
      <c r="B18" s="146">
        <f t="shared" si="6"/>
        <v>0</v>
      </c>
      <c r="C18" s="147"/>
      <c r="D18" s="147"/>
      <c r="E18" s="147"/>
      <c r="F18" s="147"/>
      <c r="G18" s="147"/>
      <c r="H18" s="147"/>
      <c r="I18" s="147"/>
      <c r="J18" s="147"/>
      <c r="K18" s="147"/>
      <c r="L18" s="147"/>
      <c r="M18" s="147"/>
      <c r="N18" s="147"/>
      <c r="O18" s="147"/>
      <c r="P18" s="147"/>
      <c r="Q18" s="147"/>
      <c r="R18" s="551">
        <f>SUM(E18:Q18)</f>
        <v>0</v>
      </c>
      <c r="S18" s="147">
        <f t="shared" ref="S18" si="8">B18</f>
        <v>0</v>
      </c>
      <c r="T18" s="147"/>
      <c r="U18" s="143"/>
    </row>
    <row r="19" spans="1:21" s="144" customFormat="1" ht="13">
      <c r="A19" s="145" t="s">
        <v>609</v>
      </c>
      <c r="B19" s="146">
        <f t="shared" si="6"/>
        <v>0</v>
      </c>
      <c r="C19" s="147"/>
      <c r="D19" s="147"/>
      <c r="E19" s="147"/>
      <c r="F19" s="147"/>
      <c r="G19" s="147"/>
      <c r="H19" s="147"/>
      <c r="I19" s="147"/>
      <c r="J19" s="147"/>
      <c r="K19" s="147"/>
      <c r="L19" s="147"/>
      <c r="M19" s="147"/>
      <c r="N19" s="147"/>
      <c r="O19" s="147"/>
      <c r="P19" s="147"/>
      <c r="Q19" s="147"/>
      <c r="R19" s="551">
        <f>SUM(E19:Q19)</f>
        <v>0</v>
      </c>
      <c r="S19" s="147">
        <f t="shared" ref="S19" si="9">B19</f>
        <v>0</v>
      </c>
      <c r="T19" s="147"/>
      <c r="U19" s="143"/>
    </row>
    <row r="20" spans="1:21" s="144" customFormat="1" ht="13">
      <c r="A20" s="145" t="s">
        <v>138</v>
      </c>
      <c r="B20" s="146">
        <f t="shared" si="6"/>
        <v>0</v>
      </c>
      <c r="C20" s="147"/>
      <c r="D20" s="147"/>
      <c r="E20" s="147"/>
      <c r="F20" s="147"/>
      <c r="G20" s="147"/>
      <c r="H20" s="147"/>
      <c r="I20" s="147"/>
      <c r="J20" s="147"/>
      <c r="K20" s="147"/>
      <c r="L20" s="147"/>
      <c r="M20" s="147"/>
      <c r="N20" s="147"/>
      <c r="O20" s="147"/>
      <c r="P20" s="147"/>
      <c r="Q20" s="147"/>
      <c r="R20" s="551">
        <f t="shared" ref="R20:R27" si="10">SUM(E20:Q20)</f>
        <v>0</v>
      </c>
      <c r="S20" s="147">
        <f t="shared" ref="S20" si="11">B20</f>
        <v>0</v>
      </c>
      <c r="T20" s="147"/>
      <c r="U20" s="143"/>
    </row>
    <row r="21" spans="1:21" s="144" customFormat="1" ht="13">
      <c r="A21" s="145" t="s">
        <v>139</v>
      </c>
      <c r="B21" s="146">
        <f t="shared" si="6"/>
        <v>0</v>
      </c>
      <c r="C21" s="147"/>
      <c r="D21" s="147"/>
      <c r="E21" s="147"/>
      <c r="F21" s="147"/>
      <c r="G21" s="147"/>
      <c r="H21" s="147"/>
      <c r="I21" s="147"/>
      <c r="J21" s="147"/>
      <c r="K21" s="147"/>
      <c r="L21" s="147"/>
      <c r="M21" s="147"/>
      <c r="N21" s="147"/>
      <c r="O21" s="147"/>
      <c r="P21" s="147"/>
      <c r="Q21" s="147"/>
      <c r="R21" s="551">
        <f t="shared" si="10"/>
        <v>0</v>
      </c>
      <c r="S21" s="147">
        <f t="shared" ref="S21" si="12">B21</f>
        <v>0</v>
      </c>
      <c r="T21" s="147"/>
      <c r="U21" s="143"/>
    </row>
    <row r="22" spans="1:21" s="144" customFormat="1" ht="13">
      <c r="A22" s="145" t="s">
        <v>140</v>
      </c>
      <c r="B22" s="146">
        <f t="shared" si="6"/>
        <v>0</v>
      </c>
      <c r="C22" s="147"/>
      <c r="D22" s="147"/>
      <c r="E22" s="147"/>
      <c r="F22" s="147"/>
      <c r="G22" s="147"/>
      <c r="H22" s="147"/>
      <c r="I22" s="147"/>
      <c r="J22" s="147"/>
      <c r="K22" s="147"/>
      <c r="L22" s="147"/>
      <c r="M22" s="147"/>
      <c r="N22" s="147"/>
      <c r="O22" s="147"/>
      <c r="P22" s="147"/>
      <c r="Q22" s="147"/>
      <c r="R22" s="551">
        <f t="shared" si="10"/>
        <v>0</v>
      </c>
      <c r="S22" s="147">
        <f t="shared" ref="S22" si="13">B22</f>
        <v>0</v>
      </c>
      <c r="T22" s="147"/>
      <c r="U22" s="143"/>
    </row>
    <row r="23" spans="1:21" s="144" customFormat="1" ht="13">
      <c r="A23" s="145" t="s">
        <v>141</v>
      </c>
      <c r="B23" s="146">
        <f t="shared" si="6"/>
        <v>0</v>
      </c>
      <c r="C23" s="147"/>
      <c r="D23" s="147"/>
      <c r="E23" s="147"/>
      <c r="F23" s="147"/>
      <c r="G23" s="147"/>
      <c r="H23" s="147"/>
      <c r="I23" s="147"/>
      <c r="J23" s="147"/>
      <c r="K23" s="147"/>
      <c r="L23" s="147"/>
      <c r="M23" s="147"/>
      <c r="N23" s="147"/>
      <c r="O23" s="147"/>
      <c r="P23" s="147"/>
      <c r="Q23" s="147"/>
      <c r="R23" s="551">
        <f t="shared" si="10"/>
        <v>0</v>
      </c>
      <c r="S23" s="147">
        <f t="shared" ref="S23" si="14">B23</f>
        <v>0</v>
      </c>
      <c r="T23" s="147"/>
      <c r="U23" s="143"/>
    </row>
    <row r="24" spans="1:21" s="144" customFormat="1" ht="13">
      <c r="A24" s="543" t="s">
        <v>1821</v>
      </c>
      <c r="B24" s="146">
        <f t="shared" si="6"/>
        <v>0</v>
      </c>
      <c r="C24" s="147"/>
      <c r="D24" s="147"/>
      <c r="E24" s="147"/>
      <c r="F24" s="147"/>
      <c r="G24" s="147"/>
      <c r="H24" s="147"/>
      <c r="I24" s="147"/>
      <c r="J24" s="147"/>
      <c r="K24" s="147"/>
      <c r="L24" s="147"/>
      <c r="M24" s="147"/>
      <c r="N24" s="147"/>
      <c r="O24" s="147"/>
      <c r="P24" s="147"/>
      <c r="Q24" s="147"/>
      <c r="R24" s="551">
        <f t="shared" si="10"/>
        <v>0</v>
      </c>
      <c r="S24" s="147">
        <f t="shared" ref="S24" si="15">B24</f>
        <v>0</v>
      </c>
      <c r="T24" s="147"/>
      <c r="U24" s="143"/>
    </row>
    <row r="25" spans="1:21" s="144" customFormat="1" ht="13">
      <c r="A25" s="1202" t="s">
        <v>34</v>
      </c>
      <c r="B25" s="146">
        <f t="shared" si="6"/>
        <v>0</v>
      </c>
      <c r="C25" s="147"/>
      <c r="D25" s="147"/>
      <c r="E25" s="147"/>
      <c r="F25" s="147"/>
      <c r="G25" s="147"/>
      <c r="H25" s="147"/>
      <c r="I25" s="147"/>
      <c r="J25" s="147"/>
      <c r="K25" s="147"/>
      <c r="L25" s="147"/>
      <c r="M25" s="147"/>
      <c r="N25" s="147"/>
      <c r="O25" s="147"/>
      <c r="P25" s="147"/>
      <c r="Q25" s="147"/>
      <c r="R25" s="551">
        <f t="shared" si="10"/>
        <v>0</v>
      </c>
      <c r="S25" s="147">
        <f t="shared" ref="S25" si="16">B25</f>
        <v>0</v>
      </c>
      <c r="T25" s="147"/>
      <c r="U25" s="143"/>
    </row>
    <row r="26" spans="1:21" s="144" customFormat="1" ht="13">
      <c r="A26" s="149" t="s">
        <v>134</v>
      </c>
      <c r="B26" s="146">
        <f t="shared" si="6"/>
        <v>0</v>
      </c>
      <c r="C26" s="146">
        <f>SUM(C17:C25)</f>
        <v>0</v>
      </c>
      <c r="D26" s="146">
        <f t="shared" ref="D26:Q26" si="17">SUM(D17:D25)</f>
        <v>0</v>
      </c>
      <c r="E26" s="146">
        <f t="shared" si="17"/>
        <v>0</v>
      </c>
      <c r="F26" s="146">
        <f t="shared" si="17"/>
        <v>0</v>
      </c>
      <c r="G26" s="146">
        <f t="shared" si="17"/>
        <v>0</v>
      </c>
      <c r="H26" s="146">
        <f t="shared" si="17"/>
        <v>0</v>
      </c>
      <c r="I26" s="146">
        <f t="shared" si="17"/>
        <v>0</v>
      </c>
      <c r="J26" s="146">
        <f t="shared" si="17"/>
        <v>0</v>
      </c>
      <c r="K26" s="146">
        <f t="shared" si="17"/>
        <v>0</v>
      </c>
      <c r="L26" s="146">
        <f t="shared" si="17"/>
        <v>0</v>
      </c>
      <c r="M26" s="146">
        <f t="shared" si="17"/>
        <v>0</v>
      </c>
      <c r="N26" s="146">
        <f t="shared" si="17"/>
        <v>0</v>
      </c>
      <c r="O26" s="146">
        <f t="shared" si="17"/>
        <v>0</v>
      </c>
      <c r="P26" s="146">
        <f t="shared" si="17"/>
        <v>0</v>
      </c>
      <c r="Q26" s="146">
        <f t="shared" si="17"/>
        <v>0</v>
      </c>
      <c r="R26" s="371">
        <f>SUM(R17:R25)</f>
        <v>0</v>
      </c>
      <c r="S26" s="150">
        <f>SUM(S17:S25)</f>
        <v>0</v>
      </c>
      <c r="T26" s="150">
        <f>SUM(T17:T25)</f>
        <v>0</v>
      </c>
      <c r="U26" s="143"/>
    </row>
    <row r="27" spans="1:21" s="144" customFormat="1" ht="13">
      <c r="A27" s="149" t="s">
        <v>142</v>
      </c>
      <c r="B27" s="146">
        <f>SUM(C27:D27)</f>
        <v>0</v>
      </c>
      <c r="C27" s="147"/>
      <c r="D27" s="147"/>
      <c r="E27" s="147"/>
      <c r="F27" s="147"/>
      <c r="G27" s="147"/>
      <c r="H27" s="147"/>
      <c r="I27" s="147"/>
      <c r="J27" s="147"/>
      <c r="K27" s="147"/>
      <c r="L27" s="147"/>
      <c r="M27" s="147"/>
      <c r="N27" s="147"/>
      <c r="O27" s="147"/>
      <c r="P27" s="147"/>
      <c r="Q27" s="147"/>
      <c r="R27" s="551">
        <f t="shared" si="10"/>
        <v>0</v>
      </c>
      <c r="S27" s="147">
        <f t="shared" ref="S27" si="18">B27</f>
        <v>0</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607</v>
      </c>
      <c r="B29" s="146">
        <f t="shared" ref="B29:B38" si="19">SUM(C29+D29)</f>
        <v>400000</v>
      </c>
      <c r="C29" s="147">
        <v>400000</v>
      </c>
      <c r="D29" s="147"/>
      <c r="E29" s="147">
        <f>C29</f>
        <v>400000</v>
      </c>
      <c r="F29" s="147"/>
      <c r="G29" s="147"/>
      <c r="H29" s="147"/>
      <c r="I29" s="147"/>
      <c r="J29" s="147"/>
      <c r="K29" s="147"/>
      <c r="L29" s="147"/>
      <c r="M29" s="147"/>
      <c r="N29" s="147"/>
      <c r="O29" s="147"/>
      <c r="P29" s="147"/>
      <c r="Q29" s="147"/>
      <c r="R29" s="551">
        <f t="shared" ref="R29:R37" si="20">SUM(E29:Q29)</f>
        <v>400000</v>
      </c>
      <c r="S29" s="147">
        <f>B29</f>
        <v>400000</v>
      </c>
      <c r="T29" s="147"/>
      <c r="U29" s="143"/>
    </row>
    <row r="30" spans="1:21" s="144" customFormat="1" ht="13">
      <c r="A30" s="145" t="s">
        <v>608</v>
      </c>
      <c r="B30" s="146">
        <f t="shared" si="19"/>
        <v>5300000</v>
      </c>
      <c r="C30" s="147">
        <v>5300000</v>
      </c>
      <c r="D30" s="147"/>
      <c r="E30" s="147">
        <f>C30-G30-F30</f>
        <v>793802</v>
      </c>
      <c r="F30" s="147">
        <f>Application!AO623</f>
        <v>3218274</v>
      </c>
      <c r="G30" s="147">
        <f>Application!AO624</f>
        <v>1287924</v>
      </c>
      <c r="H30" s="147"/>
      <c r="I30" s="147"/>
      <c r="J30" s="147"/>
      <c r="K30" s="147"/>
      <c r="L30" s="147"/>
      <c r="M30" s="147"/>
      <c r="N30" s="147"/>
      <c r="O30" s="147"/>
      <c r="P30" s="147"/>
      <c r="Q30" s="147"/>
      <c r="R30" s="551">
        <f t="shared" si="20"/>
        <v>5300000</v>
      </c>
      <c r="S30" s="147">
        <f t="shared" ref="S30:S37" si="21">B30</f>
        <v>5300000</v>
      </c>
      <c r="T30" s="147"/>
      <c r="U30" s="143"/>
    </row>
    <row r="31" spans="1:21" s="144" customFormat="1" ht="13">
      <c r="A31" s="145" t="s">
        <v>609</v>
      </c>
      <c r="B31" s="146">
        <f t="shared" si="19"/>
        <v>500000</v>
      </c>
      <c r="C31" s="147">
        <v>500000</v>
      </c>
      <c r="D31" s="147"/>
      <c r="E31" s="147">
        <f>C31</f>
        <v>500000</v>
      </c>
      <c r="F31" s="147"/>
      <c r="G31" s="147"/>
      <c r="H31" s="147"/>
      <c r="I31" s="147"/>
      <c r="J31" s="147"/>
      <c r="K31" s="147"/>
      <c r="L31" s="147"/>
      <c r="M31" s="147"/>
      <c r="N31" s="147"/>
      <c r="O31" s="147"/>
      <c r="P31" s="147"/>
      <c r="Q31" s="147"/>
      <c r="R31" s="551">
        <f t="shared" si="20"/>
        <v>500000</v>
      </c>
      <c r="S31" s="147">
        <f t="shared" si="21"/>
        <v>500000</v>
      </c>
      <c r="T31" s="147"/>
      <c r="U31" s="143"/>
    </row>
    <row r="32" spans="1:21" s="144" customFormat="1" ht="13">
      <c r="A32" s="145" t="s">
        <v>138</v>
      </c>
      <c r="B32" s="146">
        <f t="shared" si="19"/>
        <v>120000</v>
      </c>
      <c r="C32" s="147">
        <v>120000</v>
      </c>
      <c r="D32" s="147"/>
      <c r="E32" s="147">
        <f>C32</f>
        <v>120000</v>
      </c>
      <c r="F32" s="147"/>
      <c r="G32" s="147"/>
      <c r="H32" s="147"/>
      <c r="I32" s="147"/>
      <c r="J32" s="147"/>
      <c r="K32" s="147"/>
      <c r="L32" s="147"/>
      <c r="M32" s="147"/>
      <c r="N32" s="147"/>
      <c r="O32" s="147"/>
      <c r="P32" s="147"/>
      <c r="Q32" s="147"/>
      <c r="R32" s="551">
        <f t="shared" si="20"/>
        <v>120000</v>
      </c>
      <c r="S32" s="147">
        <f t="shared" si="21"/>
        <v>120000</v>
      </c>
      <c r="T32" s="147"/>
      <c r="U32" s="143"/>
    </row>
    <row r="33" spans="1:21" s="144" customFormat="1" ht="13">
      <c r="A33" s="145" t="s">
        <v>139</v>
      </c>
      <c r="B33" s="146">
        <f t="shared" si="19"/>
        <v>60000</v>
      </c>
      <c r="C33" s="147">
        <v>60000</v>
      </c>
      <c r="D33" s="147"/>
      <c r="E33" s="147">
        <f>C33</f>
        <v>60000</v>
      </c>
      <c r="F33" s="147"/>
      <c r="G33" s="147"/>
      <c r="H33" s="147"/>
      <c r="I33" s="147"/>
      <c r="J33" s="147"/>
      <c r="K33" s="147"/>
      <c r="L33" s="147"/>
      <c r="M33" s="147"/>
      <c r="N33" s="147"/>
      <c r="O33" s="147"/>
      <c r="P33" s="147"/>
      <c r="Q33" s="147"/>
      <c r="R33" s="551">
        <f t="shared" si="20"/>
        <v>60000</v>
      </c>
      <c r="S33" s="147">
        <f t="shared" si="21"/>
        <v>60000</v>
      </c>
      <c r="T33" s="147"/>
      <c r="U33" s="143"/>
    </row>
    <row r="34" spans="1:21" s="144" customFormat="1" ht="13">
      <c r="A34" s="145" t="s">
        <v>140</v>
      </c>
      <c r="B34" s="146">
        <f t="shared" si="19"/>
        <v>0</v>
      </c>
      <c r="C34" s="147"/>
      <c r="D34" s="147"/>
      <c r="E34" s="147"/>
      <c r="F34" s="147"/>
      <c r="G34" s="147"/>
      <c r="H34" s="147"/>
      <c r="I34" s="147"/>
      <c r="J34" s="147"/>
      <c r="K34" s="147"/>
      <c r="L34" s="147"/>
      <c r="M34" s="147"/>
      <c r="N34" s="147"/>
      <c r="O34" s="147"/>
      <c r="P34" s="147"/>
      <c r="Q34" s="147"/>
      <c r="R34" s="551">
        <f t="shared" si="20"/>
        <v>0</v>
      </c>
      <c r="S34" s="147">
        <f t="shared" si="21"/>
        <v>0</v>
      </c>
      <c r="T34" s="147"/>
      <c r="U34" s="143"/>
    </row>
    <row r="35" spans="1:21" s="144" customFormat="1" ht="13">
      <c r="A35" s="145" t="s">
        <v>141</v>
      </c>
      <c r="B35" s="146">
        <f t="shared" si="19"/>
        <v>60000</v>
      </c>
      <c r="C35" s="147">
        <v>60000</v>
      </c>
      <c r="D35" s="147"/>
      <c r="E35" s="147">
        <f>C35</f>
        <v>60000</v>
      </c>
      <c r="F35" s="147"/>
      <c r="G35" s="147"/>
      <c r="H35" s="147"/>
      <c r="I35" s="147"/>
      <c r="J35" s="147"/>
      <c r="K35" s="147"/>
      <c r="L35" s="147"/>
      <c r="M35" s="147"/>
      <c r="N35" s="147"/>
      <c r="O35" s="147"/>
      <c r="P35" s="147"/>
      <c r="Q35" s="147"/>
      <c r="R35" s="551">
        <f t="shared" si="20"/>
        <v>60000</v>
      </c>
      <c r="S35" s="147">
        <f t="shared" si="21"/>
        <v>60000</v>
      </c>
      <c r="T35" s="147"/>
      <c r="U35" s="143"/>
    </row>
    <row r="36" spans="1:21" s="144" customFormat="1" ht="13">
      <c r="A36" s="304" t="s">
        <v>1821</v>
      </c>
      <c r="B36" s="146">
        <f t="shared" si="19"/>
        <v>0</v>
      </c>
      <c r="C36" s="147"/>
      <c r="D36" s="147"/>
      <c r="E36" s="147"/>
      <c r="F36" s="147"/>
      <c r="G36" s="147"/>
      <c r="H36" s="147"/>
      <c r="I36" s="147"/>
      <c r="J36" s="147"/>
      <c r="K36" s="147"/>
      <c r="L36" s="147"/>
      <c r="M36" s="147"/>
      <c r="N36" s="147"/>
      <c r="O36" s="147"/>
      <c r="P36" s="147"/>
      <c r="Q36" s="147"/>
      <c r="R36" s="551">
        <f t="shared" si="20"/>
        <v>0</v>
      </c>
      <c r="S36" s="147">
        <f t="shared" si="21"/>
        <v>0</v>
      </c>
      <c r="T36" s="147"/>
      <c r="U36" s="143"/>
    </row>
    <row r="37" spans="1:21" s="144" customFormat="1" ht="13">
      <c r="A37" s="1202" t="s">
        <v>34</v>
      </c>
      <c r="B37" s="146">
        <f t="shared" si="19"/>
        <v>0</v>
      </c>
      <c r="C37" s="147"/>
      <c r="D37" s="147"/>
      <c r="E37" s="147">
        <f t="shared" ref="E37" si="22">C37-F37-G37</f>
        <v>0</v>
      </c>
      <c r="F37" s="147"/>
      <c r="G37" s="147"/>
      <c r="H37" s="147"/>
      <c r="I37" s="147"/>
      <c r="J37" s="147"/>
      <c r="K37" s="147"/>
      <c r="L37" s="147"/>
      <c r="M37" s="147"/>
      <c r="N37" s="147"/>
      <c r="O37" s="147"/>
      <c r="P37" s="147"/>
      <c r="Q37" s="147"/>
      <c r="R37" s="551">
        <f t="shared" si="20"/>
        <v>0</v>
      </c>
      <c r="S37" s="147">
        <f t="shared" si="21"/>
        <v>0</v>
      </c>
      <c r="T37" s="147"/>
      <c r="U37" s="143"/>
    </row>
    <row r="38" spans="1:21" s="144" customFormat="1" ht="13">
      <c r="A38" s="149" t="s">
        <v>144</v>
      </c>
      <c r="B38" s="146">
        <f t="shared" si="19"/>
        <v>6440000</v>
      </c>
      <c r="C38" s="146">
        <f>SUM(C29:C37)</f>
        <v>6440000</v>
      </c>
      <c r="D38" s="146">
        <f t="shared" ref="D38:Q38" si="23">SUM(D29:D37)</f>
        <v>0</v>
      </c>
      <c r="E38" s="146">
        <f t="shared" si="23"/>
        <v>1933802</v>
      </c>
      <c r="F38" s="146">
        <f t="shared" si="23"/>
        <v>3218274</v>
      </c>
      <c r="G38" s="146">
        <f t="shared" si="23"/>
        <v>1287924</v>
      </c>
      <c r="H38" s="146">
        <f t="shared" si="23"/>
        <v>0</v>
      </c>
      <c r="I38" s="146">
        <f t="shared" si="23"/>
        <v>0</v>
      </c>
      <c r="J38" s="146">
        <f t="shared" si="23"/>
        <v>0</v>
      </c>
      <c r="K38" s="146">
        <f t="shared" si="23"/>
        <v>0</v>
      </c>
      <c r="L38" s="146">
        <f t="shared" si="23"/>
        <v>0</v>
      </c>
      <c r="M38" s="146">
        <f t="shared" si="23"/>
        <v>0</v>
      </c>
      <c r="N38" s="146">
        <f t="shared" si="23"/>
        <v>0</v>
      </c>
      <c r="O38" s="146">
        <f t="shared" si="23"/>
        <v>0</v>
      </c>
      <c r="P38" s="146">
        <f t="shared" si="23"/>
        <v>0</v>
      </c>
      <c r="Q38" s="146">
        <f t="shared" si="23"/>
        <v>0</v>
      </c>
      <c r="R38" s="371">
        <f>SUM(R29:R37)</f>
        <v>6440000</v>
      </c>
      <c r="S38" s="150">
        <f>SUM(S29:S37)</f>
        <v>6440000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342201</v>
      </c>
      <c r="C40" s="147">
        <v>342201</v>
      </c>
      <c r="D40" s="147"/>
      <c r="E40" s="147">
        <f>C40</f>
        <v>342201</v>
      </c>
      <c r="F40" s="147"/>
      <c r="G40" s="147"/>
      <c r="H40" s="147"/>
      <c r="I40" s="147"/>
      <c r="J40" s="147"/>
      <c r="K40" s="147"/>
      <c r="L40" s="147"/>
      <c r="M40" s="147"/>
      <c r="N40" s="147"/>
      <c r="O40" s="147"/>
      <c r="P40" s="147"/>
      <c r="Q40" s="147"/>
      <c r="R40" s="551">
        <f>SUM(E40:Q40)</f>
        <v>342201</v>
      </c>
      <c r="S40" s="147">
        <f t="shared" ref="S40:S41" si="24">B40</f>
        <v>342201</v>
      </c>
      <c r="T40" s="147"/>
      <c r="U40" s="143"/>
    </row>
    <row r="41" spans="1:21" s="144" customFormat="1" ht="13">
      <c r="A41" s="145" t="s">
        <v>147</v>
      </c>
      <c r="B41" s="146">
        <f>SUM(C41+D41)</f>
        <v>12700</v>
      </c>
      <c r="C41" s="147">
        <v>12700</v>
      </c>
      <c r="D41" s="147"/>
      <c r="E41" s="147">
        <f>C41</f>
        <v>12700</v>
      </c>
      <c r="F41" s="147"/>
      <c r="G41" s="147"/>
      <c r="H41" s="147"/>
      <c r="I41" s="147"/>
      <c r="J41" s="147"/>
      <c r="K41" s="147"/>
      <c r="L41" s="147"/>
      <c r="M41" s="147"/>
      <c r="N41" s="147"/>
      <c r="O41" s="147"/>
      <c r="P41" s="147"/>
      <c r="Q41" s="147"/>
      <c r="R41" s="551">
        <f>SUM(E41:Q41)</f>
        <v>12700</v>
      </c>
      <c r="S41" s="147">
        <f t="shared" si="24"/>
        <v>12700</v>
      </c>
      <c r="T41" s="147"/>
      <c r="U41" s="143"/>
    </row>
    <row r="42" spans="1:21" s="144" customFormat="1" ht="13">
      <c r="A42" s="149" t="s">
        <v>148</v>
      </c>
      <c r="B42" s="146">
        <f>SUM(C42:D42)</f>
        <v>354901</v>
      </c>
      <c r="C42" s="146">
        <f>SUM(C39:C41)</f>
        <v>354901</v>
      </c>
      <c r="D42" s="146">
        <f>SUM(D39:D41)</f>
        <v>0</v>
      </c>
      <c r="E42" s="146">
        <f t="shared" ref="E42:T42" si="25">SUM(E40:E41)</f>
        <v>354901</v>
      </c>
      <c r="F42" s="146">
        <f t="shared" si="25"/>
        <v>0</v>
      </c>
      <c r="G42" s="146">
        <f t="shared" si="25"/>
        <v>0</v>
      </c>
      <c r="H42" s="146">
        <f t="shared" si="25"/>
        <v>0</v>
      </c>
      <c r="I42" s="146">
        <f t="shared" si="25"/>
        <v>0</v>
      </c>
      <c r="J42" s="146">
        <f t="shared" si="25"/>
        <v>0</v>
      </c>
      <c r="K42" s="146">
        <f t="shared" si="25"/>
        <v>0</v>
      </c>
      <c r="L42" s="146">
        <f t="shared" si="25"/>
        <v>0</v>
      </c>
      <c r="M42" s="146">
        <f t="shared" si="25"/>
        <v>0</v>
      </c>
      <c r="N42" s="146">
        <f t="shared" si="25"/>
        <v>0</v>
      </c>
      <c r="O42" s="146">
        <f t="shared" si="25"/>
        <v>0</v>
      </c>
      <c r="P42" s="146">
        <f t="shared" si="25"/>
        <v>0</v>
      </c>
      <c r="Q42" s="146">
        <f t="shared" si="25"/>
        <v>0</v>
      </c>
      <c r="R42" s="371">
        <f>SUM(R40:R41)</f>
        <v>354901</v>
      </c>
      <c r="S42" s="150">
        <f t="shared" si="25"/>
        <v>354901</v>
      </c>
      <c r="T42" s="150">
        <f t="shared" si="25"/>
        <v>0</v>
      </c>
      <c r="U42" s="143"/>
    </row>
    <row r="43" spans="1:21" s="144" customFormat="1" ht="13">
      <c r="A43" s="149" t="s">
        <v>149</v>
      </c>
      <c r="B43" s="146">
        <f>SUM(C43:D43)</f>
        <v>84498.75</v>
      </c>
      <c r="C43" s="147">
        <v>84498.75</v>
      </c>
      <c r="D43" s="147"/>
      <c r="E43" s="147">
        <f>C43</f>
        <v>84498.75</v>
      </c>
      <c r="F43" s="147"/>
      <c r="G43" s="147"/>
      <c r="H43" s="147"/>
      <c r="I43" s="147"/>
      <c r="J43" s="147"/>
      <c r="K43" s="147"/>
      <c r="L43" s="147"/>
      <c r="M43" s="147"/>
      <c r="N43" s="147"/>
      <c r="O43" s="147"/>
      <c r="P43" s="147"/>
      <c r="Q43" s="147"/>
      <c r="R43" s="551">
        <f>SUM(E43:Q43)</f>
        <v>84498.75</v>
      </c>
      <c r="S43" s="147">
        <f>R43</f>
        <v>84498.75</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26">SUM(C45+D45)</f>
        <v>430920</v>
      </c>
      <c r="C45" s="147">
        <v>430920</v>
      </c>
      <c r="D45" s="147"/>
      <c r="E45" s="147">
        <f>C45</f>
        <v>430920</v>
      </c>
      <c r="F45" s="147"/>
      <c r="G45" s="147"/>
      <c r="H45" s="147"/>
      <c r="I45" s="147"/>
      <c r="J45" s="147"/>
      <c r="K45" s="147"/>
      <c r="L45" s="147"/>
      <c r="M45" s="147"/>
      <c r="N45" s="147"/>
      <c r="O45" s="147"/>
      <c r="P45" s="147"/>
      <c r="Q45" s="147"/>
      <c r="R45" s="551">
        <f t="shared" ref="R45:R53" si="27">SUM(E45:Q45)</f>
        <v>430920</v>
      </c>
      <c r="S45" s="147">
        <f>261265/762007*B45</f>
        <v>147747.08605039062</v>
      </c>
      <c r="T45" s="147"/>
      <c r="U45" s="143"/>
    </row>
    <row r="46" spans="1:21" s="144" customFormat="1" ht="13">
      <c r="A46" s="145" t="s">
        <v>152</v>
      </c>
      <c r="B46" s="146">
        <f t="shared" si="26"/>
        <v>55141</v>
      </c>
      <c r="C46" s="147">
        <v>55141</v>
      </c>
      <c r="D46" s="147"/>
      <c r="E46" s="147">
        <f t="shared" ref="E46:E52" si="28">C46</f>
        <v>55141</v>
      </c>
      <c r="F46" s="147"/>
      <c r="G46" s="147"/>
      <c r="H46" s="147"/>
      <c r="I46" s="147"/>
      <c r="J46" s="147"/>
      <c r="K46" s="147"/>
      <c r="L46" s="147"/>
      <c r="M46" s="147"/>
      <c r="N46" s="147"/>
      <c r="O46" s="147"/>
      <c r="P46" s="147"/>
      <c r="Q46" s="147"/>
      <c r="R46" s="551">
        <f t="shared" si="27"/>
        <v>55141</v>
      </c>
      <c r="S46" s="147">
        <f>261265/762007*B46</f>
        <v>18905.880608708318</v>
      </c>
      <c r="T46" s="147"/>
      <c r="U46" s="143"/>
    </row>
    <row r="47" spans="1:21" s="144" customFormat="1">
      <c r="A47" s="198" t="s">
        <v>153</v>
      </c>
      <c r="B47" s="146">
        <f t="shared" si="26"/>
        <v>60946</v>
      </c>
      <c r="C47" s="147">
        <v>60946</v>
      </c>
      <c r="D47" s="147"/>
      <c r="E47" s="147">
        <f t="shared" si="28"/>
        <v>60946</v>
      </c>
      <c r="F47" s="147"/>
      <c r="G47" s="147"/>
      <c r="H47" s="147"/>
      <c r="I47" s="147"/>
      <c r="J47" s="147"/>
      <c r="K47" s="147"/>
      <c r="L47" s="147"/>
      <c r="M47" s="147"/>
      <c r="N47" s="147"/>
      <c r="O47" s="147"/>
      <c r="P47" s="147"/>
      <c r="Q47" s="147"/>
      <c r="R47" s="551">
        <f t="shared" si="27"/>
        <v>60946</v>
      </c>
      <c r="S47" s="147">
        <f>R47/17*2</f>
        <v>7170.1176470588234</v>
      </c>
      <c r="T47" s="147"/>
      <c r="U47" s="143"/>
    </row>
    <row r="48" spans="1:21" s="144" customFormat="1" ht="13">
      <c r="A48" s="145" t="s">
        <v>154</v>
      </c>
      <c r="B48" s="146">
        <f t="shared" si="26"/>
        <v>25000</v>
      </c>
      <c r="C48" s="147">
        <v>25000</v>
      </c>
      <c r="D48" s="147"/>
      <c r="E48" s="147">
        <f t="shared" si="28"/>
        <v>25000</v>
      </c>
      <c r="F48" s="147"/>
      <c r="G48" s="147"/>
      <c r="H48" s="147"/>
      <c r="I48" s="147"/>
      <c r="J48" s="147"/>
      <c r="K48" s="147"/>
      <c r="L48" s="147"/>
      <c r="M48" s="147"/>
      <c r="N48" s="147"/>
      <c r="O48" s="147"/>
      <c r="P48" s="147"/>
      <c r="Q48" s="147"/>
      <c r="R48" s="551">
        <f t="shared" si="27"/>
        <v>25000</v>
      </c>
      <c r="S48" s="147">
        <f t="shared" ref="S48:S50" si="29">R48/17*2</f>
        <v>2941.1764705882351</v>
      </c>
      <c r="T48" s="147"/>
      <c r="U48" s="143"/>
    </row>
    <row r="49" spans="1:21" s="144" customFormat="1" ht="13">
      <c r="A49" s="145" t="s">
        <v>57</v>
      </c>
      <c r="B49" s="146">
        <f t="shared" si="26"/>
        <v>120000</v>
      </c>
      <c r="C49" s="147">
        <v>120000</v>
      </c>
      <c r="D49" s="147"/>
      <c r="E49" s="147">
        <f t="shared" si="28"/>
        <v>120000</v>
      </c>
      <c r="F49" s="147"/>
      <c r="G49" s="147"/>
      <c r="H49" s="147"/>
      <c r="I49" s="147"/>
      <c r="J49" s="147"/>
      <c r="K49" s="147"/>
      <c r="L49" s="147"/>
      <c r="M49" s="147"/>
      <c r="N49" s="147"/>
      <c r="O49" s="147"/>
      <c r="P49" s="147"/>
      <c r="Q49" s="147"/>
      <c r="R49" s="551">
        <f t="shared" si="27"/>
        <v>120000</v>
      </c>
      <c r="S49" s="147">
        <f t="shared" si="29"/>
        <v>14117.64705882353</v>
      </c>
      <c r="T49" s="147"/>
      <c r="U49" s="143"/>
    </row>
    <row r="50" spans="1:21" s="144" customFormat="1" ht="13">
      <c r="A50" s="145" t="s">
        <v>157</v>
      </c>
      <c r="B50" s="146">
        <f t="shared" si="26"/>
        <v>25000</v>
      </c>
      <c r="C50" s="147">
        <v>25000</v>
      </c>
      <c r="D50" s="147"/>
      <c r="E50" s="147">
        <f t="shared" si="28"/>
        <v>25000</v>
      </c>
      <c r="F50" s="147"/>
      <c r="G50" s="147"/>
      <c r="H50" s="147"/>
      <c r="I50" s="147"/>
      <c r="J50" s="147"/>
      <c r="K50" s="147"/>
      <c r="L50" s="147"/>
      <c r="M50" s="147"/>
      <c r="N50" s="147"/>
      <c r="O50" s="147"/>
      <c r="P50" s="147"/>
      <c r="Q50" s="147"/>
      <c r="R50" s="551">
        <f t="shared" si="27"/>
        <v>25000</v>
      </c>
      <c r="S50" s="147">
        <f t="shared" si="29"/>
        <v>2941.1764705882351</v>
      </c>
      <c r="T50" s="147"/>
      <c r="U50" s="143"/>
    </row>
    <row r="51" spans="1:21" s="144" customFormat="1" ht="13">
      <c r="A51" s="304" t="s">
        <v>155</v>
      </c>
      <c r="B51" s="146">
        <f t="shared" si="26"/>
        <v>15000</v>
      </c>
      <c r="C51" s="147">
        <v>15000</v>
      </c>
      <c r="D51" s="147"/>
      <c r="E51" s="147">
        <f t="shared" si="28"/>
        <v>15000</v>
      </c>
      <c r="F51" s="147"/>
      <c r="G51" s="147"/>
      <c r="H51" s="147"/>
      <c r="I51" s="147"/>
      <c r="J51" s="147"/>
      <c r="K51" s="147"/>
      <c r="L51" s="147"/>
      <c r="M51" s="147"/>
      <c r="N51" s="147"/>
      <c r="O51" s="147"/>
      <c r="P51" s="147"/>
      <c r="Q51" s="147"/>
      <c r="R51" s="551">
        <f t="shared" si="27"/>
        <v>15000</v>
      </c>
      <c r="S51" s="147">
        <f>R51</f>
        <v>15000</v>
      </c>
      <c r="T51" s="147"/>
      <c r="U51" s="143"/>
    </row>
    <row r="52" spans="1:21" s="144" customFormat="1" ht="13">
      <c r="A52" s="145" t="s">
        <v>156</v>
      </c>
      <c r="B52" s="146">
        <f t="shared" si="26"/>
        <v>30000</v>
      </c>
      <c r="C52" s="147">
        <v>30000</v>
      </c>
      <c r="D52" s="147"/>
      <c r="E52" s="147">
        <f t="shared" si="28"/>
        <v>30000</v>
      </c>
      <c r="F52" s="147"/>
      <c r="G52" s="147"/>
      <c r="H52" s="147"/>
      <c r="I52" s="147"/>
      <c r="J52" s="147"/>
      <c r="K52" s="147"/>
      <c r="L52" s="147"/>
      <c r="M52" s="147"/>
      <c r="N52" s="147"/>
      <c r="O52" s="147"/>
      <c r="P52" s="147"/>
      <c r="Q52" s="147"/>
      <c r="R52" s="551">
        <f t="shared" si="27"/>
        <v>30000</v>
      </c>
      <c r="S52" s="147">
        <f>R52</f>
        <v>30000</v>
      </c>
      <c r="T52" s="147"/>
      <c r="U52" s="143"/>
    </row>
    <row r="53" spans="1:21" s="144" customFormat="1" ht="13">
      <c r="A53" s="1202" t="s">
        <v>34</v>
      </c>
      <c r="B53" s="146">
        <f t="shared" si="26"/>
        <v>0</v>
      </c>
      <c r="C53" s="147"/>
      <c r="D53" s="147"/>
      <c r="E53" s="147">
        <f>C53</f>
        <v>0</v>
      </c>
      <c r="F53" s="147"/>
      <c r="G53" s="147"/>
      <c r="H53" s="147"/>
      <c r="I53" s="147"/>
      <c r="J53" s="147"/>
      <c r="K53" s="147"/>
      <c r="L53" s="147"/>
      <c r="M53" s="147"/>
      <c r="N53" s="147"/>
      <c r="O53" s="147"/>
      <c r="P53" s="147"/>
      <c r="Q53" s="147"/>
      <c r="R53" s="551">
        <f t="shared" si="27"/>
        <v>0</v>
      </c>
      <c r="S53" s="147">
        <f t="shared" ref="S53" si="30">261265/762007*B53</f>
        <v>0</v>
      </c>
      <c r="T53" s="147"/>
      <c r="U53" s="143"/>
    </row>
    <row r="54" spans="1:21" s="153" customFormat="1" ht="13">
      <c r="A54" s="149" t="s">
        <v>158</v>
      </c>
      <c r="B54" s="150">
        <f>SUM(C54:D54)</f>
        <v>762007</v>
      </c>
      <c r="C54" s="150">
        <f t="shared" ref="C54:T54" si="31">SUM(C45:C53)</f>
        <v>762007</v>
      </c>
      <c r="D54" s="150">
        <f t="shared" si="31"/>
        <v>0</v>
      </c>
      <c r="E54" s="150">
        <f t="shared" si="31"/>
        <v>762007</v>
      </c>
      <c r="F54" s="150">
        <f t="shared" si="31"/>
        <v>0</v>
      </c>
      <c r="G54" s="150">
        <f t="shared" si="31"/>
        <v>0</v>
      </c>
      <c r="H54" s="150">
        <f t="shared" si="31"/>
        <v>0</v>
      </c>
      <c r="I54" s="150">
        <f t="shared" si="31"/>
        <v>0</v>
      </c>
      <c r="J54" s="150">
        <f t="shared" si="31"/>
        <v>0</v>
      </c>
      <c r="K54" s="150">
        <f t="shared" si="31"/>
        <v>0</v>
      </c>
      <c r="L54" s="150">
        <f t="shared" si="31"/>
        <v>0</v>
      </c>
      <c r="M54" s="150">
        <f t="shared" si="31"/>
        <v>0</v>
      </c>
      <c r="N54" s="150">
        <f t="shared" si="31"/>
        <v>0</v>
      </c>
      <c r="O54" s="150">
        <f t="shared" si="31"/>
        <v>0</v>
      </c>
      <c r="P54" s="150">
        <f t="shared" si="31"/>
        <v>0</v>
      </c>
      <c r="Q54" s="150">
        <f t="shared" si="31"/>
        <v>0</v>
      </c>
      <c r="R54" s="371">
        <f t="shared" si="31"/>
        <v>762007</v>
      </c>
      <c r="S54" s="150">
        <f t="shared" si="31"/>
        <v>238823.08430615772</v>
      </c>
      <c r="T54" s="150">
        <f t="shared" si="31"/>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32">SUM(C56+D56)</f>
        <v>0</v>
      </c>
      <c r="C56" s="147"/>
      <c r="D56" s="147"/>
      <c r="E56" s="147"/>
      <c r="F56" s="147"/>
      <c r="G56" s="147"/>
      <c r="H56" s="147"/>
      <c r="I56" s="147"/>
      <c r="J56" s="147"/>
      <c r="K56" s="147"/>
      <c r="L56" s="147"/>
      <c r="M56" s="147"/>
      <c r="N56" s="147"/>
      <c r="O56" s="147"/>
      <c r="P56" s="147"/>
      <c r="Q56" s="147"/>
      <c r="R56" s="551">
        <f t="shared" ref="R56:R61" si="33">SUM(E56:Q56)</f>
        <v>0</v>
      </c>
      <c r="S56" s="148"/>
      <c r="T56" s="148"/>
      <c r="U56" s="143"/>
    </row>
    <row r="57" spans="1:21" s="204" customFormat="1">
      <c r="A57" s="198" t="s">
        <v>153</v>
      </c>
      <c r="B57" s="205">
        <f t="shared" si="32"/>
        <v>0</v>
      </c>
      <c r="C57" s="202"/>
      <c r="D57" s="202"/>
      <c r="E57" s="202"/>
      <c r="F57" s="202"/>
      <c r="G57" s="202"/>
      <c r="H57" s="202"/>
      <c r="I57" s="202"/>
      <c r="J57" s="202"/>
      <c r="K57" s="202"/>
      <c r="L57" s="202"/>
      <c r="M57" s="202"/>
      <c r="N57" s="202"/>
      <c r="O57" s="202"/>
      <c r="P57" s="202"/>
      <c r="Q57" s="202"/>
      <c r="R57" s="551">
        <f t="shared" si="33"/>
        <v>0</v>
      </c>
      <c r="S57" s="206"/>
      <c r="T57" s="206"/>
      <c r="U57" s="203"/>
    </row>
    <row r="58" spans="1:21" s="144" customFormat="1" ht="13">
      <c r="A58" s="145" t="s">
        <v>157</v>
      </c>
      <c r="B58" s="146">
        <f t="shared" si="32"/>
        <v>0</v>
      </c>
      <c r="C58" s="147"/>
      <c r="D58" s="147"/>
      <c r="E58" s="147"/>
      <c r="F58" s="147"/>
      <c r="G58" s="147"/>
      <c r="H58" s="147"/>
      <c r="I58" s="147"/>
      <c r="J58" s="147"/>
      <c r="K58" s="147"/>
      <c r="L58" s="147"/>
      <c r="M58" s="147"/>
      <c r="N58" s="147"/>
      <c r="O58" s="147"/>
      <c r="P58" s="147"/>
      <c r="Q58" s="147"/>
      <c r="R58" s="551">
        <f t="shared" si="33"/>
        <v>0</v>
      </c>
      <c r="S58" s="148"/>
      <c r="T58" s="148"/>
      <c r="U58" s="143"/>
    </row>
    <row r="59" spans="1:21" s="144" customFormat="1" ht="13">
      <c r="A59" s="304" t="s">
        <v>155</v>
      </c>
      <c r="B59" s="146">
        <f t="shared" si="32"/>
        <v>0</v>
      </c>
      <c r="C59" s="147"/>
      <c r="D59" s="147"/>
      <c r="E59" s="147"/>
      <c r="F59" s="147"/>
      <c r="G59" s="147"/>
      <c r="H59" s="147"/>
      <c r="I59" s="147"/>
      <c r="J59" s="147"/>
      <c r="K59" s="147"/>
      <c r="L59" s="147"/>
      <c r="M59" s="147"/>
      <c r="N59" s="147"/>
      <c r="O59" s="147"/>
      <c r="P59" s="147"/>
      <c r="Q59" s="147"/>
      <c r="R59" s="551">
        <f t="shared" si="33"/>
        <v>0</v>
      </c>
      <c r="S59" s="148"/>
      <c r="T59" s="148"/>
      <c r="U59" s="143"/>
    </row>
    <row r="60" spans="1:21" s="144" customFormat="1" ht="13">
      <c r="A60" s="145" t="s">
        <v>156</v>
      </c>
      <c r="B60" s="146">
        <f t="shared" si="32"/>
        <v>0</v>
      </c>
      <c r="C60" s="147"/>
      <c r="D60" s="147"/>
      <c r="E60" s="147"/>
      <c r="F60" s="147"/>
      <c r="G60" s="147"/>
      <c r="H60" s="147"/>
      <c r="I60" s="147"/>
      <c r="J60" s="147"/>
      <c r="K60" s="147"/>
      <c r="L60" s="147"/>
      <c r="M60" s="147"/>
      <c r="N60" s="147"/>
      <c r="O60" s="147"/>
      <c r="P60" s="147"/>
      <c r="Q60" s="147"/>
      <c r="R60" s="551">
        <f t="shared" si="33"/>
        <v>0</v>
      </c>
      <c r="S60" s="148"/>
      <c r="T60" s="148"/>
      <c r="U60" s="143"/>
    </row>
    <row r="61" spans="1:21" s="144" customFormat="1" ht="13">
      <c r="A61" s="1202" t="s">
        <v>34</v>
      </c>
      <c r="B61" s="146">
        <f t="shared" si="32"/>
        <v>0</v>
      </c>
      <c r="C61" s="147"/>
      <c r="D61" s="147"/>
      <c r="E61" s="147"/>
      <c r="F61" s="147"/>
      <c r="G61" s="147"/>
      <c r="H61" s="147"/>
      <c r="I61" s="147"/>
      <c r="J61" s="147"/>
      <c r="K61" s="147"/>
      <c r="L61" s="147"/>
      <c r="M61" s="147"/>
      <c r="N61" s="147"/>
      <c r="O61" s="147"/>
      <c r="P61" s="147"/>
      <c r="Q61" s="147"/>
      <c r="R61" s="551">
        <f t="shared" si="33"/>
        <v>0</v>
      </c>
      <c r="S61" s="148"/>
      <c r="T61" s="148"/>
      <c r="U61" s="143"/>
    </row>
    <row r="62" spans="1:21" s="144" customFormat="1" ht="13.75" customHeight="1">
      <c r="A62" s="149" t="s">
        <v>302</v>
      </c>
      <c r="B62" s="146">
        <f>SUM(C62:D62)</f>
        <v>0</v>
      </c>
      <c r="C62" s="146">
        <f t="shared" ref="C62:R62" si="34">SUM(C56:C61)</f>
        <v>0</v>
      </c>
      <c r="D62" s="146">
        <f t="shared" si="34"/>
        <v>0</v>
      </c>
      <c r="E62" s="146">
        <f t="shared" si="34"/>
        <v>0</v>
      </c>
      <c r="F62" s="146">
        <f t="shared" si="34"/>
        <v>0</v>
      </c>
      <c r="G62" s="146">
        <f t="shared" si="34"/>
        <v>0</v>
      </c>
      <c r="H62" s="146">
        <f t="shared" si="34"/>
        <v>0</v>
      </c>
      <c r="I62" s="146">
        <f t="shared" si="34"/>
        <v>0</v>
      </c>
      <c r="J62" s="146">
        <f t="shared" si="34"/>
        <v>0</v>
      </c>
      <c r="K62" s="146">
        <f t="shared" si="34"/>
        <v>0</v>
      </c>
      <c r="L62" s="146">
        <f t="shared" si="34"/>
        <v>0</v>
      </c>
      <c r="M62" s="146">
        <f t="shared" si="34"/>
        <v>0</v>
      </c>
      <c r="N62" s="146">
        <f t="shared" si="34"/>
        <v>0</v>
      </c>
      <c r="O62" s="146">
        <f t="shared" si="34"/>
        <v>0</v>
      </c>
      <c r="P62" s="146">
        <f t="shared" si="34"/>
        <v>0</v>
      </c>
      <c r="Q62" s="146">
        <f t="shared" si="34"/>
        <v>0</v>
      </c>
      <c r="R62" s="371">
        <f t="shared" si="34"/>
        <v>0</v>
      </c>
      <c r="S62" s="148"/>
      <c r="T62" s="148"/>
      <c r="U62" s="143"/>
    </row>
    <row r="63" spans="1:21" s="144" customFormat="1" ht="13">
      <c r="A63" s="154" t="s">
        <v>303</v>
      </c>
      <c r="B63" s="146">
        <f t="shared" ref="B63:R63" si="35">SUM(B8+B11+B13+B14+B15+B26+B27+B38+B42+B43+B54+B62)</f>
        <v>8557401.75</v>
      </c>
      <c r="C63" s="146">
        <f t="shared" si="35"/>
        <v>8557401.75</v>
      </c>
      <c r="D63" s="146">
        <f t="shared" si="35"/>
        <v>0</v>
      </c>
      <c r="E63" s="146">
        <f t="shared" si="35"/>
        <v>4051203.75</v>
      </c>
      <c r="F63" s="146">
        <f t="shared" si="35"/>
        <v>3218274</v>
      </c>
      <c r="G63" s="146">
        <f t="shared" si="35"/>
        <v>1287924</v>
      </c>
      <c r="H63" s="146">
        <f t="shared" si="35"/>
        <v>0</v>
      </c>
      <c r="I63" s="146">
        <f t="shared" si="35"/>
        <v>0</v>
      </c>
      <c r="J63" s="146">
        <f t="shared" si="35"/>
        <v>0</v>
      </c>
      <c r="K63" s="146">
        <f t="shared" si="35"/>
        <v>0</v>
      </c>
      <c r="L63" s="146">
        <f t="shared" si="35"/>
        <v>0</v>
      </c>
      <c r="M63" s="146">
        <f t="shared" si="35"/>
        <v>0</v>
      </c>
      <c r="N63" s="146">
        <f t="shared" si="35"/>
        <v>0</v>
      </c>
      <c r="O63" s="146">
        <f t="shared" si="35"/>
        <v>0</v>
      </c>
      <c r="P63" s="146">
        <f t="shared" si="35"/>
        <v>0</v>
      </c>
      <c r="Q63" s="146">
        <f t="shared" si="35"/>
        <v>0</v>
      </c>
      <c r="R63" s="371">
        <f t="shared" si="35"/>
        <v>8557401.75</v>
      </c>
      <c r="S63" s="146">
        <f>SUM(S10+S13+S14+S15+S26+S27+S38+S42+S43+S54)</f>
        <v>7118222.8343061581</v>
      </c>
      <c r="T63" s="146">
        <f>SUM(T11+T13+T14+T15+T26+T27+T38+T42+T43+T54)</f>
        <v>0</v>
      </c>
      <c r="U63" s="143"/>
    </row>
    <row r="64" spans="1:21" s="144" customFormat="1" ht="26">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0</v>
      </c>
      <c r="C65" s="147"/>
      <c r="D65" s="147"/>
      <c r="E65" s="147"/>
      <c r="F65" s="147"/>
      <c r="G65" s="147"/>
      <c r="H65" s="147"/>
      <c r="I65" s="147"/>
      <c r="J65" s="147"/>
      <c r="K65" s="147"/>
      <c r="L65" s="147"/>
      <c r="M65" s="147"/>
      <c r="N65" s="147"/>
      <c r="O65" s="147"/>
      <c r="P65" s="147"/>
      <c r="Q65" s="147"/>
      <c r="R65" s="551">
        <f>SUM(E65:Q65)</f>
        <v>0</v>
      </c>
      <c r="S65" s="147">
        <f t="shared" ref="S65:S69" si="36">B65</f>
        <v>0</v>
      </c>
      <c r="T65" s="147"/>
      <c r="U65" s="143"/>
    </row>
    <row r="66" spans="1:21" s="144" customFormat="1" ht="24" customHeight="1">
      <c r="A66" s="304" t="s">
        <v>1822</v>
      </c>
      <c r="B66" s="146">
        <f>SUM(C66+D66)</f>
        <v>3000</v>
      </c>
      <c r="C66" s="147">
        <v>3000</v>
      </c>
      <c r="D66" s="147"/>
      <c r="E66" s="147">
        <f>C66</f>
        <v>3000</v>
      </c>
      <c r="F66" s="147"/>
      <c r="G66" s="147"/>
      <c r="H66" s="147"/>
      <c r="I66" s="147"/>
      <c r="J66" s="147"/>
      <c r="K66" s="147"/>
      <c r="L66" s="147"/>
      <c r="M66" s="147"/>
      <c r="N66" s="147"/>
      <c r="O66" s="147"/>
      <c r="P66" s="147"/>
      <c r="Q66" s="147"/>
      <c r="R66" s="551">
        <f>SUM(E66:Q66)</f>
        <v>3000</v>
      </c>
      <c r="S66" s="147">
        <f t="shared" si="36"/>
        <v>3000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f t="shared" si="36"/>
        <v>0</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f t="shared" si="36"/>
        <v>0</v>
      </c>
      <c r="T68" s="147"/>
      <c r="U68" s="143"/>
    </row>
    <row r="69" spans="1:21" s="144" customFormat="1" ht="13">
      <c r="A69" s="1202" t="s">
        <v>2757</v>
      </c>
      <c r="B69" s="146">
        <f>SUM(C69+D69)</f>
        <v>100000</v>
      </c>
      <c r="C69" s="147">
        <v>100000</v>
      </c>
      <c r="D69" s="147"/>
      <c r="E69" s="147">
        <f>C69</f>
        <v>100000</v>
      </c>
      <c r="F69" s="147"/>
      <c r="G69" s="147"/>
      <c r="H69" s="147"/>
      <c r="I69" s="147"/>
      <c r="J69" s="147"/>
      <c r="K69" s="147"/>
      <c r="L69" s="147"/>
      <c r="M69" s="147"/>
      <c r="N69" s="147"/>
      <c r="O69" s="147"/>
      <c r="P69" s="147"/>
      <c r="Q69" s="147"/>
      <c r="R69" s="551">
        <f>SUM(E69:Q69)</f>
        <v>100000</v>
      </c>
      <c r="S69" s="147">
        <f t="shared" si="36"/>
        <v>100000</v>
      </c>
      <c r="T69" s="147"/>
      <c r="U69" s="143"/>
    </row>
    <row r="70" spans="1:21" s="144" customFormat="1" ht="13">
      <c r="A70" s="149" t="s">
        <v>1826</v>
      </c>
      <c r="B70" s="146">
        <f>SUM(C70:D70)</f>
        <v>103000</v>
      </c>
      <c r="C70" s="146">
        <f>SUM(C65:C69)</f>
        <v>103000</v>
      </c>
      <c r="D70" s="146">
        <f>SUM(D65:D69)</f>
        <v>0</v>
      </c>
      <c r="E70" s="146">
        <f t="shared" ref="E70:T70" si="37">SUM(E65:E69)</f>
        <v>103000</v>
      </c>
      <c r="F70" s="146">
        <f t="shared" si="37"/>
        <v>0</v>
      </c>
      <c r="G70" s="146">
        <f t="shared" si="37"/>
        <v>0</v>
      </c>
      <c r="H70" s="146">
        <f t="shared" si="37"/>
        <v>0</v>
      </c>
      <c r="I70" s="146">
        <f t="shared" si="37"/>
        <v>0</v>
      </c>
      <c r="J70" s="146">
        <f t="shared" si="37"/>
        <v>0</v>
      </c>
      <c r="K70" s="146">
        <f t="shared" si="37"/>
        <v>0</v>
      </c>
      <c r="L70" s="146">
        <f t="shared" si="37"/>
        <v>0</v>
      </c>
      <c r="M70" s="146">
        <f t="shared" si="37"/>
        <v>0</v>
      </c>
      <c r="N70" s="146">
        <f t="shared" si="37"/>
        <v>0</v>
      </c>
      <c r="O70" s="146">
        <f t="shared" si="37"/>
        <v>0</v>
      </c>
      <c r="P70" s="146">
        <f t="shared" si="37"/>
        <v>0</v>
      </c>
      <c r="Q70" s="146">
        <f t="shared" si="37"/>
        <v>0</v>
      </c>
      <c r="R70" s="371">
        <f t="shared" si="37"/>
        <v>103000</v>
      </c>
      <c r="S70" s="150">
        <f t="shared" si="37"/>
        <v>103000</v>
      </c>
      <c r="T70" s="150">
        <f t="shared" si="37"/>
        <v>0</v>
      </c>
      <c r="U70" s="143"/>
    </row>
    <row r="71" spans="1:21" s="144" customFormat="1" ht="13">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ht="13">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5400</v>
      </c>
      <c r="C74" s="147">
        <v>5400</v>
      </c>
      <c r="D74" s="147"/>
      <c r="E74" s="147">
        <f>C74</f>
        <v>5400</v>
      </c>
      <c r="F74" s="147"/>
      <c r="G74" s="147"/>
      <c r="H74" s="147"/>
      <c r="I74" s="147"/>
      <c r="J74" s="147"/>
      <c r="K74" s="147"/>
      <c r="L74" s="147"/>
      <c r="M74" s="147"/>
      <c r="N74" s="147"/>
      <c r="O74" s="147"/>
      <c r="P74" s="147"/>
      <c r="Q74" s="147"/>
      <c r="R74" s="551">
        <f>SUM(E74:Q74)</f>
        <v>5400</v>
      </c>
      <c r="S74" s="148"/>
      <c r="T74" s="148"/>
      <c r="U74" s="143"/>
    </row>
    <row r="75" spans="1:21" s="144" customFormat="1" ht="13">
      <c r="A75" s="145" t="s">
        <v>614</v>
      </c>
      <c r="B75" s="146">
        <f>SUM(C75+D75)</f>
        <v>160693</v>
      </c>
      <c r="C75" s="147">
        <v>160693</v>
      </c>
      <c r="D75" s="147"/>
      <c r="E75" s="147">
        <f>C75</f>
        <v>160693</v>
      </c>
      <c r="F75" s="147"/>
      <c r="G75" s="147"/>
      <c r="H75" s="147"/>
      <c r="I75" s="147"/>
      <c r="J75" s="147"/>
      <c r="K75" s="147"/>
      <c r="L75" s="147"/>
      <c r="M75" s="147"/>
      <c r="N75" s="147"/>
      <c r="O75" s="147"/>
      <c r="P75" s="147"/>
      <c r="Q75" s="147"/>
      <c r="R75" s="551">
        <f>SUM(E75:Q75)</f>
        <v>160693</v>
      </c>
      <c r="S75" s="148"/>
      <c r="T75" s="148"/>
      <c r="U75" s="143"/>
    </row>
    <row r="76" spans="1:21" s="144" customFormat="1" ht="13">
      <c r="A76" s="1202" t="s">
        <v>2756</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3">
      <c r="A77" s="149" t="s">
        <v>615</v>
      </c>
      <c r="B77" s="146">
        <f>SUM(C77:D77)</f>
        <v>166093</v>
      </c>
      <c r="C77" s="146">
        <f>SUM(C72:C76)</f>
        <v>166093</v>
      </c>
      <c r="D77" s="146">
        <f>SUM(D72:D76)</f>
        <v>0</v>
      </c>
      <c r="E77" s="146">
        <f t="shared" ref="E77:Q77" si="38">SUM(E72:E76)</f>
        <v>166093</v>
      </c>
      <c r="F77" s="146">
        <f t="shared" si="38"/>
        <v>0</v>
      </c>
      <c r="G77" s="146">
        <f t="shared" si="38"/>
        <v>0</v>
      </c>
      <c r="H77" s="146">
        <f t="shared" si="38"/>
        <v>0</v>
      </c>
      <c r="I77" s="146">
        <f t="shared" si="38"/>
        <v>0</v>
      </c>
      <c r="J77" s="146">
        <f t="shared" si="38"/>
        <v>0</v>
      </c>
      <c r="K77" s="146">
        <f t="shared" si="38"/>
        <v>0</v>
      </c>
      <c r="L77" s="146">
        <f t="shared" si="38"/>
        <v>0</v>
      </c>
      <c r="M77" s="146">
        <f t="shared" si="38"/>
        <v>0</v>
      </c>
      <c r="N77" s="146">
        <f t="shared" si="38"/>
        <v>0</v>
      </c>
      <c r="O77" s="146">
        <f t="shared" si="38"/>
        <v>0</v>
      </c>
      <c r="P77" s="146">
        <f t="shared" si="38"/>
        <v>0</v>
      </c>
      <c r="Q77" s="146">
        <f t="shared" si="38"/>
        <v>0</v>
      </c>
      <c r="R77" s="371">
        <f>SUM(R72:R76)</f>
        <v>166093</v>
      </c>
      <c r="S77" s="148"/>
      <c r="T77" s="148"/>
      <c r="U77" s="143"/>
    </row>
    <row r="78" spans="1:21" s="144" customFormat="1" ht="13">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1355</v>
      </c>
      <c r="B79" s="146">
        <f>SUM(C79:D79)</f>
        <v>342000</v>
      </c>
      <c r="C79" s="147">
        <v>342000</v>
      </c>
      <c r="D79" s="147"/>
      <c r="E79" s="147">
        <f>C79</f>
        <v>342000</v>
      </c>
      <c r="F79" s="147"/>
      <c r="G79" s="147"/>
      <c r="H79" s="147"/>
      <c r="I79" s="147"/>
      <c r="J79" s="147"/>
      <c r="K79" s="147"/>
      <c r="L79" s="147"/>
      <c r="M79" s="147"/>
      <c r="N79" s="147"/>
      <c r="O79" s="147"/>
      <c r="P79" s="147"/>
      <c r="Q79" s="147"/>
      <c r="R79" s="551">
        <f>SUM(E79:Q79)</f>
        <v>342000</v>
      </c>
      <c r="S79" s="147">
        <f t="shared" ref="S79:S80" si="39">B79</f>
        <v>342000</v>
      </c>
      <c r="T79" s="147"/>
      <c r="U79" s="143"/>
    </row>
    <row r="80" spans="1:21" s="144" customFormat="1" ht="13">
      <c r="A80" s="304" t="s">
        <v>58</v>
      </c>
      <c r="B80" s="146">
        <f>SUM(C80:D80)</f>
        <v>107174.72611084809</v>
      </c>
      <c r="C80" s="147">
        <v>107174.72611084809</v>
      </c>
      <c r="D80" s="147"/>
      <c r="E80" s="147">
        <f>C80</f>
        <v>107174.72611084809</v>
      </c>
      <c r="F80" s="147"/>
      <c r="G80" s="147"/>
      <c r="H80" s="147"/>
      <c r="I80" s="147"/>
      <c r="J80" s="147"/>
      <c r="K80" s="147"/>
      <c r="L80" s="147"/>
      <c r="M80" s="147"/>
      <c r="N80" s="147"/>
      <c r="O80" s="147"/>
      <c r="P80" s="147"/>
      <c r="Q80" s="147"/>
      <c r="R80" s="551">
        <f>SUM(E80:Q80)</f>
        <v>107174.72611084809</v>
      </c>
      <c r="S80" s="147">
        <f t="shared" si="39"/>
        <v>107174.72611084809</v>
      </c>
      <c r="T80" s="147"/>
      <c r="U80" s="143"/>
    </row>
    <row r="81" spans="1:21" s="144" customFormat="1" ht="13">
      <c r="A81" s="149" t="s">
        <v>1352</v>
      </c>
      <c r="B81" s="146">
        <f>SUM(C81:D81)</f>
        <v>449174.72611084807</v>
      </c>
      <c r="C81" s="544">
        <f>SUM(C79:C80)</f>
        <v>449174.72611084807</v>
      </c>
      <c r="D81" s="544">
        <f t="shared" ref="D81:T81" si="40">SUM(D79:D80)</f>
        <v>0</v>
      </c>
      <c r="E81" s="544">
        <f t="shared" si="40"/>
        <v>449174.72611084807</v>
      </c>
      <c r="F81" s="544">
        <f t="shared" si="40"/>
        <v>0</v>
      </c>
      <c r="G81" s="544">
        <f t="shared" si="40"/>
        <v>0</v>
      </c>
      <c r="H81" s="544">
        <f t="shared" si="40"/>
        <v>0</v>
      </c>
      <c r="I81" s="544">
        <f t="shared" si="40"/>
        <v>0</v>
      </c>
      <c r="J81" s="544">
        <f t="shared" si="40"/>
        <v>0</v>
      </c>
      <c r="K81" s="544">
        <f t="shared" si="40"/>
        <v>0</v>
      </c>
      <c r="L81" s="544">
        <f t="shared" si="40"/>
        <v>0</v>
      </c>
      <c r="M81" s="544">
        <f t="shared" si="40"/>
        <v>0</v>
      </c>
      <c r="N81" s="544">
        <f t="shared" si="40"/>
        <v>0</v>
      </c>
      <c r="O81" s="544">
        <f t="shared" si="40"/>
        <v>0</v>
      </c>
      <c r="P81" s="544">
        <f t="shared" si="40"/>
        <v>0</v>
      </c>
      <c r="Q81" s="544">
        <f t="shared" si="40"/>
        <v>0</v>
      </c>
      <c r="R81" s="544">
        <f t="shared" si="40"/>
        <v>449174.72611084807</v>
      </c>
      <c r="S81" s="544">
        <f t="shared" si="40"/>
        <v>449174.72611084807</v>
      </c>
      <c r="T81" s="544">
        <f t="shared" si="40"/>
        <v>0</v>
      </c>
      <c r="U81" s="143"/>
    </row>
    <row r="82" spans="1:21" s="144" customFormat="1" ht="13">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2519</v>
      </c>
      <c r="B83" s="146">
        <f t="shared" ref="B83:B95" si="41">SUM(C83+D83)</f>
        <v>5000</v>
      </c>
      <c r="C83" s="147">
        <v>5000</v>
      </c>
      <c r="D83" s="147"/>
      <c r="E83" s="147">
        <f>C83</f>
        <v>5000</v>
      </c>
      <c r="F83" s="147"/>
      <c r="G83" s="147"/>
      <c r="H83" s="147"/>
      <c r="I83" s="147"/>
      <c r="J83" s="147"/>
      <c r="K83" s="147"/>
      <c r="L83" s="147"/>
      <c r="M83" s="147"/>
      <c r="N83" s="147"/>
      <c r="O83" s="147"/>
      <c r="P83" s="147"/>
      <c r="Q83" s="147"/>
      <c r="R83" s="551">
        <f t="shared" ref="R83:R95" si="42">SUM(E83:Q83)</f>
        <v>5000</v>
      </c>
      <c r="S83" s="148"/>
      <c r="T83" s="148"/>
      <c r="U83" s="143"/>
    </row>
    <row r="84" spans="1:21" s="144" customFormat="1" ht="13">
      <c r="A84" s="145" t="s">
        <v>791</v>
      </c>
      <c r="B84" s="146">
        <f t="shared" si="41"/>
        <v>5000</v>
      </c>
      <c r="C84" s="147">
        <v>5000</v>
      </c>
      <c r="D84" s="147"/>
      <c r="E84" s="147">
        <f t="shared" ref="E84:E95" si="43">C84</f>
        <v>5000</v>
      </c>
      <c r="F84" s="147"/>
      <c r="G84" s="147"/>
      <c r="H84" s="147"/>
      <c r="I84" s="147"/>
      <c r="J84" s="147"/>
      <c r="K84" s="147"/>
      <c r="L84" s="147"/>
      <c r="M84" s="147"/>
      <c r="N84" s="147"/>
      <c r="O84" s="147"/>
      <c r="P84" s="147"/>
      <c r="Q84" s="147"/>
      <c r="R84" s="551">
        <f t="shared" si="42"/>
        <v>5000</v>
      </c>
      <c r="S84" s="147">
        <f t="shared" ref="S84:S87" si="44">B84</f>
        <v>5000</v>
      </c>
      <c r="T84" s="147"/>
      <c r="U84" s="143"/>
    </row>
    <row r="85" spans="1:21" s="144" customFormat="1" ht="13">
      <c r="A85" s="145" t="s">
        <v>792</v>
      </c>
      <c r="B85" s="146">
        <f t="shared" si="41"/>
        <v>409644.42</v>
      </c>
      <c r="C85" s="147">
        <v>409644.42</v>
      </c>
      <c r="D85" s="147"/>
      <c r="E85" s="147">
        <f t="shared" si="43"/>
        <v>409644.42</v>
      </c>
      <c r="F85" s="147"/>
      <c r="G85" s="147"/>
      <c r="H85" s="147"/>
      <c r="I85" s="147"/>
      <c r="J85" s="147"/>
      <c r="K85" s="147"/>
      <c r="L85" s="147"/>
      <c r="M85" s="147"/>
      <c r="N85" s="147"/>
      <c r="O85" s="147"/>
      <c r="P85" s="147"/>
      <c r="Q85" s="147"/>
      <c r="R85" s="551">
        <f t="shared" si="42"/>
        <v>409644.42</v>
      </c>
      <c r="S85" s="147">
        <f t="shared" si="44"/>
        <v>409644.42</v>
      </c>
      <c r="T85" s="147"/>
      <c r="U85" s="143"/>
    </row>
    <row r="86" spans="1:21" s="144" customFormat="1" ht="13">
      <c r="A86" s="145" t="s">
        <v>793</v>
      </c>
      <c r="B86" s="146">
        <f t="shared" si="41"/>
        <v>31588.93</v>
      </c>
      <c r="C86" s="147">
        <v>31588.93</v>
      </c>
      <c r="D86" s="147"/>
      <c r="E86" s="147">
        <f t="shared" si="43"/>
        <v>31588.93</v>
      </c>
      <c r="F86" s="147"/>
      <c r="G86" s="147"/>
      <c r="H86" s="147"/>
      <c r="I86" s="147"/>
      <c r="J86" s="147"/>
      <c r="K86" s="147"/>
      <c r="L86" s="147"/>
      <c r="M86" s="147"/>
      <c r="N86" s="147"/>
      <c r="O86" s="147"/>
      <c r="P86" s="147"/>
      <c r="Q86" s="147"/>
      <c r="R86" s="551">
        <f t="shared" si="42"/>
        <v>31588.93</v>
      </c>
      <c r="S86" s="147">
        <f t="shared" si="44"/>
        <v>31588.93</v>
      </c>
      <c r="T86" s="147"/>
      <c r="U86" s="143"/>
    </row>
    <row r="87" spans="1:21" s="144" customFormat="1" ht="13">
      <c r="A87" s="145" t="s">
        <v>794</v>
      </c>
      <c r="B87" s="146">
        <f t="shared" si="41"/>
        <v>0</v>
      </c>
      <c r="C87" s="147">
        <v>0</v>
      </c>
      <c r="D87" s="147"/>
      <c r="E87" s="147">
        <f t="shared" si="43"/>
        <v>0</v>
      </c>
      <c r="F87" s="147"/>
      <c r="G87" s="147"/>
      <c r="H87" s="147"/>
      <c r="I87" s="147"/>
      <c r="J87" s="147"/>
      <c r="K87" s="147"/>
      <c r="L87" s="147"/>
      <c r="M87" s="147"/>
      <c r="N87" s="147"/>
      <c r="O87" s="147"/>
      <c r="P87" s="147"/>
      <c r="Q87" s="147"/>
      <c r="R87" s="551">
        <f t="shared" si="42"/>
        <v>0</v>
      </c>
      <c r="S87" s="147">
        <f t="shared" si="44"/>
        <v>0</v>
      </c>
      <c r="T87" s="147"/>
      <c r="U87" s="143"/>
    </row>
    <row r="88" spans="1:21" s="144" customFormat="1" ht="13">
      <c r="A88" s="145" t="s">
        <v>795</v>
      </c>
      <c r="B88" s="146">
        <f t="shared" si="41"/>
        <v>15000</v>
      </c>
      <c r="C88" s="147">
        <v>15000</v>
      </c>
      <c r="D88" s="147"/>
      <c r="E88" s="147">
        <f t="shared" si="43"/>
        <v>15000</v>
      </c>
      <c r="F88" s="147"/>
      <c r="G88" s="147"/>
      <c r="H88" s="147"/>
      <c r="I88" s="147"/>
      <c r="J88" s="147"/>
      <c r="K88" s="147"/>
      <c r="L88" s="147"/>
      <c r="M88" s="147"/>
      <c r="N88" s="147"/>
      <c r="O88" s="147"/>
      <c r="P88" s="147"/>
      <c r="Q88" s="147"/>
      <c r="R88" s="551">
        <f t="shared" si="42"/>
        <v>15000</v>
      </c>
      <c r="S88" s="148"/>
      <c r="T88" s="148"/>
      <c r="U88" s="143"/>
    </row>
    <row r="89" spans="1:21" s="144" customFormat="1" ht="13">
      <c r="A89" s="145" t="s">
        <v>796</v>
      </c>
      <c r="B89" s="146">
        <f t="shared" si="41"/>
        <v>0</v>
      </c>
      <c r="C89" s="147">
        <v>0</v>
      </c>
      <c r="D89" s="147"/>
      <c r="E89" s="147">
        <f t="shared" si="43"/>
        <v>0</v>
      </c>
      <c r="F89" s="147"/>
      <c r="G89" s="147"/>
      <c r="H89" s="147"/>
      <c r="I89" s="147"/>
      <c r="J89" s="147"/>
      <c r="K89" s="147"/>
      <c r="L89" s="147"/>
      <c r="M89" s="147"/>
      <c r="N89" s="147"/>
      <c r="O89" s="147"/>
      <c r="P89" s="147"/>
      <c r="Q89" s="147"/>
      <c r="R89" s="551">
        <f t="shared" si="42"/>
        <v>0</v>
      </c>
      <c r="S89" s="147">
        <f t="shared" ref="S89:S95" si="45">B89</f>
        <v>0</v>
      </c>
      <c r="T89" s="147"/>
      <c r="U89" s="143"/>
    </row>
    <row r="90" spans="1:21" s="144" customFormat="1" ht="13">
      <c r="A90" s="145" t="s">
        <v>797</v>
      </c>
      <c r="B90" s="146">
        <f t="shared" si="41"/>
        <v>15000</v>
      </c>
      <c r="C90" s="147">
        <v>15000</v>
      </c>
      <c r="D90" s="147"/>
      <c r="E90" s="147">
        <f t="shared" si="43"/>
        <v>15000</v>
      </c>
      <c r="F90" s="147"/>
      <c r="G90" s="147"/>
      <c r="H90" s="147"/>
      <c r="I90" s="147"/>
      <c r="J90" s="147"/>
      <c r="K90" s="147"/>
      <c r="L90" s="147"/>
      <c r="M90" s="147"/>
      <c r="N90" s="147"/>
      <c r="O90" s="147"/>
      <c r="P90" s="147"/>
      <c r="Q90" s="147"/>
      <c r="R90" s="551">
        <f t="shared" si="42"/>
        <v>15000</v>
      </c>
      <c r="S90" s="147">
        <f t="shared" si="45"/>
        <v>15000</v>
      </c>
      <c r="T90" s="147"/>
      <c r="U90" s="143"/>
    </row>
    <row r="91" spans="1:21" s="144" customFormat="1" ht="13">
      <c r="A91" s="145" t="s">
        <v>373</v>
      </c>
      <c r="B91" s="146">
        <f t="shared" si="41"/>
        <v>20000</v>
      </c>
      <c r="C91" s="147">
        <v>20000</v>
      </c>
      <c r="D91" s="147"/>
      <c r="E91" s="147">
        <f t="shared" si="43"/>
        <v>20000</v>
      </c>
      <c r="F91" s="147"/>
      <c r="G91" s="147"/>
      <c r="H91" s="147"/>
      <c r="I91" s="147"/>
      <c r="J91" s="147"/>
      <c r="K91" s="147"/>
      <c r="L91" s="147"/>
      <c r="M91" s="147"/>
      <c r="N91" s="147"/>
      <c r="O91" s="147"/>
      <c r="P91" s="147"/>
      <c r="Q91" s="147"/>
      <c r="R91" s="551">
        <f t="shared" si="42"/>
        <v>20000</v>
      </c>
      <c r="S91" s="147">
        <f t="shared" si="45"/>
        <v>20000</v>
      </c>
      <c r="T91" s="147"/>
      <c r="U91" s="143"/>
    </row>
    <row r="92" spans="1:21" s="144" customFormat="1" ht="13">
      <c r="A92" s="304" t="s">
        <v>1354</v>
      </c>
      <c r="B92" s="146">
        <f t="shared" si="41"/>
        <v>40166</v>
      </c>
      <c r="C92" s="147">
        <v>40166</v>
      </c>
      <c r="D92" s="147"/>
      <c r="E92" s="147">
        <f t="shared" si="43"/>
        <v>40166</v>
      </c>
      <c r="F92" s="147"/>
      <c r="G92" s="147"/>
      <c r="H92" s="147"/>
      <c r="I92" s="147"/>
      <c r="J92" s="147"/>
      <c r="K92" s="147"/>
      <c r="L92" s="147"/>
      <c r="M92" s="147"/>
      <c r="N92" s="147"/>
      <c r="O92" s="147"/>
      <c r="P92" s="147"/>
      <c r="Q92" s="147"/>
      <c r="R92" s="551">
        <f t="shared" si="42"/>
        <v>40166</v>
      </c>
      <c r="S92" s="147">
        <f t="shared" si="45"/>
        <v>40166</v>
      </c>
      <c r="T92" s="147"/>
      <c r="U92" s="143"/>
    </row>
    <row r="93" spans="1:21" s="144" customFormat="1" ht="13">
      <c r="A93" s="1202" t="s">
        <v>2762</v>
      </c>
      <c r="B93" s="146">
        <f t="shared" si="41"/>
        <v>27675</v>
      </c>
      <c r="C93" s="147">
        <v>27675</v>
      </c>
      <c r="D93" s="147"/>
      <c r="E93" s="147">
        <f t="shared" si="43"/>
        <v>27675</v>
      </c>
      <c r="F93" s="147"/>
      <c r="G93" s="147"/>
      <c r="H93" s="147"/>
      <c r="I93" s="147"/>
      <c r="J93" s="147"/>
      <c r="K93" s="147"/>
      <c r="L93" s="147"/>
      <c r="M93" s="147"/>
      <c r="N93" s="147"/>
      <c r="O93" s="147"/>
      <c r="P93" s="147"/>
      <c r="Q93" s="147"/>
      <c r="R93" s="551">
        <f t="shared" si="42"/>
        <v>27675</v>
      </c>
      <c r="S93" s="147">
        <f t="shared" si="45"/>
        <v>27675</v>
      </c>
      <c r="T93" s="147"/>
      <c r="U93" s="143"/>
    </row>
    <row r="94" spans="1:21" s="144" customFormat="1" ht="13">
      <c r="A94" s="1202" t="s">
        <v>2761</v>
      </c>
      <c r="B94" s="146">
        <f t="shared" si="41"/>
        <v>15000</v>
      </c>
      <c r="C94" s="147">
        <v>15000</v>
      </c>
      <c r="D94" s="147"/>
      <c r="E94" s="147">
        <f t="shared" si="43"/>
        <v>15000</v>
      </c>
      <c r="F94" s="147"/>
      <c r="G94" s="147"/>
      <c r="H94" s="147"/>
      <c r="I94" s="147"/>
      <c r="J94" s="147"/>
      <c r="K94" s="147"/>
      <c r="L94" s="147"/>
      <c r="M94" s="147"/>
      <c r="N94" s="147"/>
      <c r="O94" s="147"/>
      <c r="P94" s="147"/>
      <c r="Q94" s="147"/>
      <c r="R94" s="551">
        <f t="shared" si="42"/>
        <v>15000</v>
      </c>
      <c r="S94" s="147">
        <f t="shared" si="45"/>
        <v>15000</v>
      </c>
      <c r="T94" s="147"/>
      <c r="U94" s="143"/>
    </row>
    <row r="95" spans="1:21" s="144" customFormat="1" ht="13">
      <c r="A95" s="1202" t="s">
        <v>2758</v>
      </c>
      <c r="B95" s="146">
        <f t="shared" si="41"/>
        <v>88920</v>
      </c>
      <c r="C95" s="147">
        <v>88920</v>
      </c>
      <c r="D95" s="147"/>
      <c r="E95" s="147">
        <f t="shared" si="43"/>
        <v>88920</v>
      </c>
      <c r="F95" s="147"/>
      <c r="G95" s="147"/>
      <c r="H95" s="147"/>
      <c r="I95" s="147"/>
      <c r="J95" s="147"/>
      <c r="K95" s="147"/>
      <c r="L95" s="147"/>
      <c r="M95" s="147"/>
      <c r="N95" s="147"/>
      <c r="O95" s="147"/>
      <c r="P95" s="147"/>
      <c r="Q95" s="147"/>
      <c r="R95" s="551">
        <f t="shared" si="42"/>
        <v>88920</v>
      </c>
      <c r="S95" s="147">
        <f t="shared" si="45"/>
        <v>88920</v>
      </c>
      <c r="T95" s="147"/>
      <c r="U95" s="143"/>
    </row>
    <row r="96" spans="1:21" s="144" customFormat="1" ht="13">
      <c r="A96" s="149" t="s">
        <v>798</v>
      </c>
      <c r="B96" s="146">
        <f>SUM(C96:D96)</f>
        <v>672994.35</v>
      </c>
      <c r="C96" s="146">
        <f t="shared" ref="C96:R96" si="46">SUM(C83:C95)</f>
        <v>672994.35</v>
      </c>
      <c r="D96" s="146">
        <f t="shared" si="46"/>
        <v>0</v>
      </c>
      <c r="E96" s="146">
        <f t="shared" si="46"/>
        <v>672994.35</v>
      </c>
      <c r="F96" s="146">
        <f t="shared" si="46"/>
        <v>0</v>
      </c>
      <c r="G96" s="146">
        <f t="shared" si="46"/>
        <v>0</v>
      </c>
      <c r="H96" s="146">
        <f t="shared" si="46"/>
        <v>0</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71">
        <f t="shared" si="46"/>
        <v>672994.35</v>
      </c>
      <c r="S96" s="150">
        <f>SUM(S84:S87,S89:S95)</f>
        <v>652994.35</v>
      </c>
      <c r="T96" s="146">
        <f>SUM(T84:T87,T89:T95)</f>
        <v>0</v>
      </c>
      <c r="U96" s="143"/>
    </row>
    <row r="97" spans="1:21" s="144" customFormat="1" ht="13">
      <c r="A97" s="149" t="s">
        <v>799</v>
      </c>
      <c r="B97" s="146">
        <f>SUM(C97:D97)</f>
        <v>9948663.8261108473</v>
      </c>
      <c r="C97" s="146">
        <f t="shared" ref="C97:R97" si="47">SUM(C63+C70+C77+C81+C96)</f>
        <v>9948663.8261108473</v>
      </c>
      <c r="D97" s="146">
        <f t="shared" si="47"/>
        <v>0</v>
      </c>
      <c r="E97" s="146">
        <f t="shared" si="47"/>
        <v>5442465.8261108473</v>
      </c>
      <c r="F97" s="146">
        <f t="shared" si="47"/>
        <v>3218274</v>
      </c>
      <c r="G97" s="146">
        <f t="shared" si="47"/>
        <v>1287924</v>
      </c>
      <c r="H97" s="146">
        <f t="shared" si="47"/>
        <v>0</v>
      </c>
      <c r="I97" s="146">
        <f t="shared" si="47"/>
        <v>0</v>
      </c>
      <c r="J97" s="146">
        <f t="shared" si="47"/>
        <v>0</v>
      </c>
      <c r="K97" s="146">
        <f t="shared" si="47"/>
        <v>0</v>
      </c>
      <c r="L97" s="146">
        <f t="shared" si="47"/>
        <v>0</v>
      </c>
      <c r="M97" s="146">
        <f t="shared" si="47"/>
        <v>0</v>
      </c>
      <c r="N97" s="146">
        <f t="shared" si="47"/>
        <v>0</v>
      </c>
      <c r="O97" s="146">
        <f t="shared" si="47"/>
        <v>0</v>
      </c>
      <c r="P97" s="146">
        <f t="shared" si="47"/>
        <v>0</v>
      </c>
      <c r="Q97" s="146">
        <f t="shared" si="47"/>
        <v>0</v>
      </c>
      <c r="R97" s="146">
        <f t="shared" si="47"/>
        <v>9948663.8261108473</v>
      </c>
      <c r="S97" s="146">
        <f>SUM(S63+S70+S81+S96)</f>
        <v>8323391.9104170054</v>
      </c>
      <c r="T97" s="146">
        <f>SUM(T63+T70+T81+T96)</f>
        <v>0</v>
      </c>
      <c r="U97" s="143"/>
    </row>
    <row r="98" spans="1:21" s="144" customFormat="1" ht="13">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801</v>
      </c>
      <c r="B99" s="146">
        <f>SUM(C99+D99)</f>
        <v>1664678.3820834011</v>
      </c>
      <c r="C99" s="1016">
        <f>0.2*S97</f>
        <v>1664678.3820834011</v>
      </c>
      <c r="D99" s="1016"/>
      <c r="E99" s="1016">
        <f>C99-H99</f>
        <v>1414678.3820834011</v>
      </c>
      <c r="F99" s="147"/>
      <c r="G99" s="147"/>
      <c r="H99" s="147">
        <f>Application!AO625</f>
        <v>250000</v>
      </c>
      <c r="I99" s="147"/>
      <c r="J99" s="147"/>
      <c r="K99" s="147"/>
      <c r="L99" s="147"/>
      <c r="M99" s="147"/>
      <c r="N99" s="147"/>
      <c r="O99" s="147"/>
      <c r="P99" s="147"/>
      <c r="Q99" s="147"/>
      <c r="R99" s="551">
        <f>SUM(E99:Q99)</f>
        <v>1664678.3820834011</v>
      </c>
      <c r="S99" s="147">
        <f t="shared" ref="S99:S103" si="48">B99</f>
        <v>1664678.3820834011</v>
      </c>
      <c r="T99" s="147"/>
      <c r="U99" s="143"/>
    </row>
    <row r="100" spans="1:21" s="144" customFormat="1" ht="13">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f t="shared" si="48"/>
        <v>0</v>
      </c>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f t="shared" si="48"/>
        <v>0</v>
      </c>
      <c r="T101" s="147"/>
      <c r="U101" s="143"/>
    </row>
    <row r="102" spans="1:21" s="144" customFormat="1" ht="13">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f t="shared" si="48"/>
        <v>0</v>
      </c>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f t="shared" si="48"/>
        <v>0</v>
      </c>
      <c r="T103" s="147"/>
      <c r="U103" s="143"/>
    </row>
    <row r="104" spans="1:21" s="144" customFormat="1" ht="13">
      <c r="A104" s="149" t="s">
        <v>803</v>
      </c>
      <c r="B104" s="146">
        <f>SUM(C104:D104)</f>
        <v>1664678.3820834011</v>
      </c>
      <c r="C104" s="146">
        <f>SUM(C99:C103)</f>
        <v>1664678.3820834011</v>
      </c>
      <c r="D104" s="146">
        <f t="shared" ref="D104:T104" si="49">SUM(D99:D103)</f>
        <v>0</v>
      </c>
      <c r="E104" s="146">
        <f t="shared" si="49"/>
        <v>1414678.3820834011</v>
      </c>
      <c r="F104" s="146">
        <f t="shared" si="49"/>
        <v>0</v>
      </c>
      <c r="G104" s="146">
        <f t="shared" si="49"/>
        <v>0</v>
      </c>
      <c r="H104" s="146">
        <f t="shared" si="49"/>
        <v>250000</v>
      </c>
      <c r="I104" s="146">
        <f t="shared" si="49"/>
        <v>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71">
        <f t="shared" si="49"/>
        <v>1664678.3820834011</v>
      </c>
      <c r="S104" s="150">
        <f t="shared" si="49"/>
        <v>1664678.3820834011</v>
      </c>
      <c r="T104" s="150">
        <f t="shared" si="49"/>
        <v>0</v>
      </c>
      <c r="U104" s="143"/>
    </row>
    <row r="105" spans="1:21" s="144" customFormat="1" ht="13">
      <c r="A105" s="149" t="s">
        <v>804</v>
      </c>
      <c r="B105" s="150">
        <f>SUM(C105:D105)</f>
        <v>11613342.208194248</v>
      </c>
      <c r="C105" s="150">
        <f t="shared" ref="C105:R105" si="50">SUM(C97+C104)</f>
        <v>11613342.208194248</v>
      </c>
      <c r="D105" s="150">
        <f t="shared" si="50"/>
        <v>0</v>
      </c>
      <c r="E105" s="150">
        <f t="shared" si="50"/>
        <v>6857144.2081942484</v>
      </c>
      <c r="F105" s="150">
        <f t="shared" si="50"/>
        <v>3218274</v>
      </c>
      <c r="G105" s="150">
        <f t="shared" si="50"/>
        <v>1287924</v>
      </c>
      <c r="H105" s="150">
        <f t="shared" si="50"/>
        <v>250000</v>
      </c>
      <c r="I105" s="150">
        <f t="shared" si="50"/>
        <v>0</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71">
        <f t="shared" si="50"/>
        <v>11613342.208194248</v>
      </c>
      <c r="S105" s="150">
        <f>S97+S104</f>
        <v>9988070.2925004065</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9988070.2925004065</v>
      </c>
      <c r="T107" s="150">
        <f>T105+T106</f>
        <v>0</v>
      </c>
    </row>
    <row r="108" spans="1:21" s="201" customFormat="1">
      <c r="A108" s="162" t="s">
        <v>908</v>
      </c>
      <c r="B108" s="157"/>
      <c r="C108" s="157"/>
      <c r="D108" s="157"/>
      <c r="E108" s="323">
        <f>Application!AO636</f>
        <v>6857144.2081942484</v>
      </c>
      <c r="F108" s="323">
        <f>Application!AO623</f>
        <v>3218274</v>
      </c>
      <c r="G108" s="323">
        <f>Application!AO624</f>
        <v>1287924</v>
      </c>
      <c r="H108" s="323">
        <f>Application!AO625</f>
        <v>250000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2520</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6">
      <c r="A121" s="367" t="s">
        <v>1062</v>
      </c>
      <c r="B121" s="157"/>
      <c r="C121" s="157"/>
      <c r="D121" s="157"/>
    </row>
    <row r="122" spans="1:21">
      <c r="A122" s="354" t="s">
        <v>1046</v>
      </c>
      <c r="B122" s="353"/>
      <c r="C122" s="353"/>
      <c r="D122" s="1876" t="s">
        <v>1047</v>
      </c>
      <c r="E122" s="1876"/>
      <c r="F122" s="1876"/>
      <c r="G122" s="353"/>
      <c r="H122" s="353"/>
      <c r="I122" s="353"/>
      <c r="J122" s="353"/>
      <c r="K122" s="353"/>
      <c r="L122" s="353"/>
      <c r="M122" s="353"/>
      <c r="N122" s="353"/>
      <c r="O122" s="353"/>
      <c r="P122" s="353"/>
      <c r="Q122" s="353"/>
      <c r="R122" s="353"/>
      <c r="S122" s="353"/>
      <c r="T122" s="353"/>
      <c r="U122" s="355"/>
    </row>
    <row r="123" spans="1:21" ht="13">
      <c r="A123" s="353" t="s">
        <v>1048</v>
      </c>
      <c r="B123" s="362"/>
      <c r="C123" s="353"/>
      <c r="D123" s="1867" t="s">
        <v>1371</v>
      </c>
      <c r="E123" s="1868"/>
      <c r="F123" s="1868"/>
      <c r="G123" s="1868"/>
      <c r="H123" s="1868"/>
      <c r="I123" s="1868"/>
      <c r="J123" s="1868"/>
      <c r="K123" s="1868"/>
      <c r="L123" s="1868"/>
      <c r="M123" s="1868"/>
      <c r="N123" s="1868"/>
      <c r="O123" s="1868"/>
      <c r="P123" s="1868"/>
      <c r="Q123" s="1868"/>
      <c r="R123" s="1868"/>
      <c r="S123" s="1868"/>
      <c r="T123" s="353"/>
      <c r="U123" s="355"/>
    </row>
    <row r="124" spans="1:21" ht="14">
      <c r="A124" s="117" t="s">
        <v>1049</v>
      </c>
      <c r="B124" s="362"/>
      <c r="C124" s="117"/>
      <c r="D124" s="1868"/>
      <c r="E124" s="1868"/>
      <c r="F124" s="1868"/>
      <c r="G124" s="1868"/>
      <c r="H124" s="1868"/>
      <c r="I124" s="1868"/>
      <c r="J124" s="1868"/>
      <c r="K124" s="1868"/>
      <c r="L124" s="1868"/>
      <c r="M124" s="1868"/>
      <c r="N124" s="1868"/>
      <c r="O124" s="1868"/>
      <c r="P124" s="1868"/>
      <c r="Q124" s="1868"/>
      <c r="R124" s="1868"/>
      <c r="S124" s="1868"/>
      <c r="T124" s="353"/>
      <c r="U124" s="355"/>
    </row>
    <row r="125" spans="1:21" ht="14">
      <c r="A125" s="117" t="s">
        <v>1050</v>
      </c>
      <c r="B125" s="362"/>
      <c r="C125" s="117"/>
      <c r="D125" s="1868"/>
      <c r="E125" s="1868"/>
      <c r="F125" s="1868"/>
      <c r="G125" s="1868"/>
      <c r="H125" s="1868"/>
      <c r="I125" s="1868"/>
      <c r="J125" s="1868"/>
      <c r="K125" s="1868"/>
      <c r="L125" s="1868"/>
      <c r="M125" s="1868"/>
      <c r="N125" s="1868"/>
      <c r="O125" s="1868"/>
      <c r="P125" s="1868"/>
      <c r="Q125" s="1868"/>
      <c r="R125" s="1868"/>
      <c r="S125" s="1868"/>
      <c r="T125" s="353"/>
      <c r="U125" s="355"/>
    </row>
    <row r="126" spans="1:21" ht="14">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1053</v>
      </c>
      <c r="B128" s="362"/>
      <c r="C128" s="117"/>
      <c r="D128" s="1871"/>
      <c r="E128" s="1871"/>
      <c r="F128" s="1871"/>
      <c r="G128" s="1871"/>
      <c r="H128" s="1871"/>
      <c r="I128" s="117"/>
      <c r="J128" s="1866"/>
      <c r="K128" s="1866"/>
      <c r="L128" s="117"/>
      <c r="M128" s="117"/>
      <c r="N128" s="117"/>
      <c r="O128" s="117"/>
      <c r="P128" s="117"/>
      <c r="Q128" s="117"/>
      <c r="R128" s="117"/>
      <c r="S128" s="117"/>
      <c r="T128" s="353"/>
      <c r="U128" s="355"/>
    </row>
    <row r="129" spans="1:21" ht="14">
      <c r="A129" s="117" t="s">
        <v>301</v>
      </c>
      <c r="B129" s="362"/>
      <c r="C129" s="117"/>
      <c r="D129" s="1875" t="s">
        <v>1054</v>
      </c>
      <c r="E129" s="1875"/>
      <c r="F129" s="1875"/>
      <c r="G129" s="1875"/>
      <c r="H129" s="1875"/>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1056</v>
      </c>
      <c r="B131" s="363">
        <f>SUM(B123:B129)</f>
        <v>0</v>
      </c>
      <c r="C131" s="117"/>
      <c r="D131" s="1440"/>
      <c r="E131" s="1440"/>
      <c r="F131" s="1440"/>
      <c r="G131" s="1440"/>
      <c r="H131" s="1440"/>
      <c r="I131" s="117"/>
      <c r="J131" s="1440"/>
      <c r="K131" s="1440"/>
      <c r="L131" s="1440"/>
      <c r="M131" s="1440"/>
      <c r="N131" s="117"/>
      <c r="O131" s="117"/>
      <c r="P131" s="117"/>
      <c r="Q131" s="117"/>
      <c r="R131" s="117"/>
      <c r="S131" s="117"/>
      <c r="T131" s="353"/>
      <c r="U131" s="355"/>
    </row>
    <row r="132" spans="1:21" ht="12" customHeight="1">
      <c r="A132" s="365"/>
      <c r="B132" s="117"/>
      <c r="C132" s="117"/>
      <c r="D132" s="1869" t="s">
        <v>1057</v>
      </c>
      <c r="E132" s="1869"/>
      <c r="F132" s="1869"/>
      <c r="G132" s="1869"/>
      <c r="H132" s="1869"/>
      <c r="I132" s="117"/>
      <c r="J132" s="1869" t="s">
        <v>1058</v>
      </c>
      <c r="K132" s="1869"/>
      <c r="L132" s="1869"/>
      <c r="M132" s="186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0"/>
      <c r="B138" s="1871"/>
      <c r="C138" s="1871"/>
      <c r="D138" s="357"/>
      <c r="E138" s="1866"/>
      <c r="F138" s="1866"/>
      <c r="G138" s="117"/>
      <c r="H138" s="117"/>
      <c r="I138" s="117"/>
      <c r="J138" s="117"/>
      <c r="K138" s="117"/>
      <c r="L138" s="117"/>
      <c r="M138" s="117"/>
      <c r="N138" s="117"/>
      <c r="O138" s="117"/>
      <c r="P138" s="117"/>
      <c r="Q138" s="117"/>
      <c r="R138" s="117"/>
      <c r="S138" s="117"/>
      <c r="T138" s="359"/>
      <c r="U138" s="360"/>
    </row>
    <row r="139" spans="1:21" ht="14">
      <c r="A139" s="1865" t="s">
        <v>1061</v>
      </c>
      <c r="B139" s="1865"/>
      <c r="C139" s="1865"/>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C56" sqref="C56"/>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79" t="s">
        <v>1374</v>
      </c>
      <c r="B1" s="1880"/>
      <c r="C1" s="1880"/>
      <c r="D1" s="1880"/>
      <c r="E1" s="1880"/>
      <c r="F1" s="1880"/>
      <c r="G1" s="1880"/>
      <c r="H1" s="1880"/>
      <c r="I1" s="1880"/>
      <c r="J1" s="1881"/>
      <c r="K1" s="387"/>
    </row>
    <row r="2" spans="1:11" s="433" customFormat="1" ht="78">
      <c r="A2" s="430"/>
      <c r="B2" s="431" t="s">
        <v>1088</v>
      </c>
      <c r="C2" s="431" t="s">
        <v>1376</v>
      </c>
      <c r="D2" s="431" t="s">
        <v>1377</v>
      </c>
      <c r="E2" s="431" t="s">
        <v>1299</v>
      </c>
      <c r="F2" s="431" t="s">
        <v>1378</v>
      </c>
      <c r="G2" s="431" t="s">
        <v>1379</v>
      </c>
      <c r="H2" s="431" t="s">
        <v>1089</v>
      </c>
      <c r="I2" s="431" t="s">
        <v>1380</v>
      </c>
      <c r="J2" s="431" t="s">
        <v>1381</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915995</v>
      </c>
      <c r="C4" s="394">
        <f>B4</f>
        <v>915995</v>
      </c>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602</v>
      </c>
      <c r="B8" s="393">
        <f>'Sources and Uses Budget'!C8</f>
        <v>915995</v>
      </c>
      <c r="C8" s="393">
        <f>SUM(C4:C7)</f>
        <v>915995</v>
      </c>
      <c r="D8" s="393">
        <f>SUM(D4:D7)</f>
        <v>0</v>
      </c>
      <c r="E8" s="395"/>
      <c r="F8" s="395"/>
      <c r="G8" s="395"/>
      <c r="H8" s="395"/>
      <c r="I8" s="395"/>
      <c r="J8" s="395"/>
      <c r="K8" s="391"/>
    </row>
    <row r="9" spans="1:11" s="392" customFormat="1" ht="13">
      <c r="A9" s="396" t="s">
        <v>603</v>
      </c>
      <c r="B9" s="393">
        <f>'Sources and Uses Budget'!C9</f>
        <v>0</v>
      </c>
      <c r="C9" s="394"/>
      <c r="D9" s="394"/>
      <c r="E9" s="395"/>
      <c r="F9" s="395"/>
      <c r="G9" s="395"/>
      <c r="H9" s="393">
        <f>'Sources and Uses Budget'!T9</f>
        <v>0</v>
      </c>
      <c r="I9" s="394"/>
      <c r="J9" s="394"/>
      <c r="K9" s="391"/>
    </row>
    <row r="10" spans="1:11" s="392" customFormat="1" ht="13">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915995</v>
      </c>
      <c r="C12" s="393">
        <f>SUM(C8+C11)</f>
        <v>915995</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606</v>
      </c>
      <c r="B16" s="390"/>
      <c r="C16" s="390"/>
      <c r="D16" s="390"/>
      <c r="E16" s="390"/>
      <c r="F16" s="390"/>
      <c r="G16" s="390"/>
      <c r="H16" s="390"/>
      <c r="I16" s="390"/>
      <c r="J16" s="390"/>
      <c r="K16" s="391"/>
    </row>
    <row r="17" spans="1:11" s="392" customFormat="1" ht="13">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607</v>
      </c>
      <c r="B29" s="393">
        <f>'Sources and Uses Budget'!C29</f>
        <v>400000</v>
      </c>
      <c r="C29" s="394">
        <f>B29</f>
        <v>400000</v>
      </c>
      <c r="D29" s="394"/>
      <c r="E29" s="393">
        <f>'Sources and Uses Budget'!S29</f>
        <v>400000</v>
      </c>
      <c r="F29" s="394">
        <f>E29</f>
        <v>400000</v>
      </c>
      <c r="G29" s="394"/>
      <c r="H29" s="393">
        <f>'Sources and Uses Budget'!T29</f>
        <v>0</v>
      </c>
      <c r="I29" s="394"/>
      <c r="J29" s="394"/>
      <c r="K29" s="391"/>
    </row>
    <row r="30" spans="1:11" s="392" customFormat="1" ht="13">
      <c r="A30" s="145" t="s">
        <v>608</v>
      </c>
      <c r="B30" s="393">
        <f>'Sources and Uses Budget'!C30</f>
        <v>5300000</v>
      </c>
      <c r="C30" s="394">
        <f t="shared" ref="C30:C35" si="0">B30</f>
        <v>5300000</v>
      </c>
      <c r="D30" s="394"/>
      <c r="E30" s="393">
        <f>'Sources and Uses Budget'!S30</f>
        <v>5300000</v>
      </c>
      <c r="F30" s="394">
        <f t="shared" ref="F30:F37" si="1">E30</f>
        <v>5300000</v>
      </c>
      <c r="G30" s="394"/>
      <c r="H30" s="393">
        <f>'Sources and Uses Budget'!T30</f>
        <v>0</v>
      </c>
      <c r="I30" s="394"/>
      <c r="J30" s="394"/>
      <c r="K30" s="391"/>
    </row>
    <row r="31" spans="1:11" s="392" customFormat="1" ht="13">
      <c r="A31" s="145" t="s">
        <v>609</v>
      </c>
      <c r="B31" s="393">
        <f>'Sources and Uses Budget'!C31</f>
        <v>500000</v>
      </c>
      <c r="C31" s="394">
        <f t="shared" si="0"/>
        <v>500000</v>
      </c>
      <c r="D31" s="394"/>
      <c r="E31" s="393">
        <f>'Sources and Uses Budget'!S31</f>
        <v>500000</v>
      </c>
      <c r="F31" s="394">
        <f t="shared" si="1"/>
        <v>500000</v>
      </c>
      <c r="G31" s="394"/>
      <c r="H31" s="393">
        <f>'Sources and Uses Budget'!T31</f>
        <v>0</v>
      </c>
      <c r="I31" s="394"/>
      <c r="J31" s="394"/>
      <c r="K31" s="391"/>
    </row>
    <row r="32" spans="1:11" s="392" customFormat="1" ht="13">
      <c r="A32" s="145" t="s">
        <v>138</v>
      </c>
      <c r="B32" s="393">
        <f>'Sources and Uses Budget'!C32</f>
        <v>120000</v>
      </c>
      <c r="C32" s="394">
        <f t="shared" si="0"/>
        <v>120000</v>
      </c>
      <c r="D32" s="394"/>
      <c r="E32" s="393">
        <f>'Sources and Uses Budget'!S32</f>
        <v>120000</v>
      </c>
      <c r="F32" s="394">
        <f t="shared" si="1"/>
        <v>120000</v>
      </c>
      <c r="G32" s="394"/>
      <c r="H32" s="393">
        <f>'Sources and Uses Budget'!T32</f>
        <v>0</v>
      </c>
      <c r="I32" s="394"/>
      <c r="J32" s="394"/>
      <c r="K32" s="391"/>
    </row>
    <row r="33" spans="1:11" s="392" customFormat="1" ht="13">
      <c r="A33" s="145" t="s">
        <v>139</v>
      </c>
      <c r="B33" s="393">
        <f>'Sources and Uses Budget'!C33</f>
        <v>60000</v>
      </c>
      <c r="C33" s="394">
        <f t="shared" si="0"/>
        <v>60000</v>
      </c>
      <c r="D33" s="394"/>
      <c r="E33" s="393">
        <f>'Sources and Uses Budget'!S33</f>
        <v>60000</v>
      </c>
      <c r="F33" s="394">
        <f t="shared" si="1"/>
        <v>60000</v>
      </c>
      <c r="G33" s="394"/>
      <c r="H33" s="393">
        <f>'Sources and Uses Budget'!T33</f>
        <v>0</v>
      </c>
      <c r="I33" s="394"/>
      <c r="J33" s="394"/>
      <c r="K33" s="391"/>
    </row>
    <row r="34" spans="1:11" s="392" customFormat="1" ht="13">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ht="13">
      <c r="A35" s="145" t="s">
        <v>141</v>
      </c>
      <c r="B35" s="393">
        <f>'Sources and Uses Budget'!C35</f>
        <v>60000</v>
      </c>
      <c r="C35" s="394">
        <f t="shared" si="0"/>
        <v>60000</v>
      </c>
      <c r="D35" s="394"/>
      <c r="E35" s="393">
        <f>'Sources and Uses Budget'!S35</f>
        <v>60000</v>
      </c>
      <c r="F35" s="394">
        <f t="shared" si="1"/>
        <v>60000</v>
      </c>
      <c r="G35" s="394"/>
      <c r="H35" s="393">
        <f>'Sources and Uses Budget'!T35</f>
        <v>0</v>
      </c>
      <c r="I35" s="394"/>
      <c r="J35" s="394"/>
      <c r="K35" s="391"/>
    </row>
    <row r="36" spans="1:11" s="392" customFormat="1" ht="13">
      <c r="A36" s="543" t="s">
        <v>1821</v>
      </c>
      <c r="B36" s="393">
        <f>'Sources and Uses Budget'!C36</f>
        <v>0</v>
      </c>
      <c r="C36" s="394"/>
      <c r="D36" s="394"/>
      <c r="E36" s="393">
        <f>'Sources and Uses Budget'!S36</f>
        <v>0</v>
      </c>
      <c r="F36" s="394">
        <f t="shared" si="1"/>
        <v>0</v>
      </c>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f t="shared" si="1"/>
        <v>0</v>
      </c>
      <c r="G37" s="394"/>
      <c r="H37" s="393">
        <f>'Sources and Uses Budget'!T37</f>
        <v>0</v>
      </c>
      <c r="I37" s="394"/>
      <c r="J37" s="394"/>
      <c r="K37" s="391"/>
    </row>
    <row r="38" spans="1:11" s="392" customFormat="1" ht="13">
      <c r="A38" s="397" t="s">
        <v>144</v>
      </c>
      <c r="B38" s="393">
        <f>'Sources and Uses Budget'!C38</f>
        <v>6440000</v>
      </c>
      <c r="C38" s="393">
        <f>SUM(C29:C37)</f>
        <v>6440000</v>
      </c>
      <c r="D38" s="393">
        <f>SUM(D29:D37)</f>
        <v>0</v>
      </c>
      <c r="E38" s="393">
        <f>'Sources and Uses Budget'!S38</f>
        <v>6440000</v>
      </c>
      <c r="F38" s="399">
        <f>SUM(F29:F37)</f>
        <v>6440000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342201</v>
      </c>
      <c r="C40" s="394">
        <f t="shared" ref="C40:C41" si="2">B40</f>
        <v>342201</v>
      </c>
      <c r="D40" s="394"/>
      <c r="E40" s="393">
        <f>'Sources and Uses Budget'!S40</f>
        <v>342201</v>
      </c>
      <c r="F40" s="394">
        <f t="shared" ref="F40:F41" si="3">E40</f>
        <v>342201</v>
      </c>
      <c r="G40" s="394"/>
      <c r="H40" s="393">
        <f>'Sources and Uses Budget'!T40</f>
        <v>0</v>
      </c>
      <c r="I40" s="394"/>
      <c r="J40" s="394"/>
      <c r="K40" s="391"/>
    </row>
    <row r="41" spans="1:11" s="392" customFormat="1" ht="13">
      <c r="A41" s="396" t="s">
        <v>147</v>
      </c>
      <c r="B41" s="393">
        <f>'Sources and Uses Budget'!C41</f>
        <v>12700</v>
      </c>
      <c r="C41" s="394">
        <f t="shared" si="2"/>
        <v>12700</v>
      </c>
      <c r="D41" s="394"/>
      <c r="E41" s="393">
        <f>'Sources and Uses Budget'!S41</f>
        <v>12700</v>
      </c>
      <c r="F41" s="394">
        <f t="shared" si="3"/>
        <v>12700</v>
      </c>
      <c r="G41" s="394"/>
      <c r="H41" s="393">
        <f>'Sources and Uses Budget'!T41</f>
        <v>0</v>
      </c>
      <c r="I41" s="394"/>
      <c r="J41" s="394"/>
      <c r="K41" s="391"/>
    </row>
    <row r="42" spans="1:11" s="392" customFormat="1" ht="13">
      <c r="A42" s="397" t="s">
        <v>148</v>
      </c>
      <c r="B42" s="393">
        <f>'Sources and Uses Budget'!C42</f>
        <v>354901</v>
      </c>
      <c r="C42" s="393">
        <f>SUM(C39:C41)</f>
        <v>354901</v>
      </c>
      <c r="D42" s="393">
        <f>SUM(D39:D41)</f>
        <v>0</v>
      </c>
      <c r="E42" s="393">
        <f>'Sources and Uses Budget'!S42</f>
        <v>354901</v>
      </c>
      <c r="F42" s="399">
        <f>SUM(F40:F41)</f>
        <v>354901</v>
      </c>
      <c r="G42" s="399">
        <f>SUM(G40:G41)</f>
        <v>0</v>
      </c>
      <c r="H42" s="393">
        <f>'Sources and Uses Budget'!T42</f>
        <v>0</v>
      </c>
      <c r="I42" s="399">
        <f>SUM(I40:I41)</f>
        <v>0</v>
      </c>
      <c r="J42" s="399">
        <f>SUM(J40:J41)</f>
        <v>0</v>
      </c>
      <c r="K42" s="391"/>
    </row>
    <row r="43" spans="1:11" s="392" customFormat="1" ht="13">
      <c r="A43" s="397" t="s">
        <v>149</v>
      </c>
      <c r="B43" s="393">
        <f>'Sources and Uses Budget'!C43</f>
        <v>84498.75</v>
      </c>
      <c r="C43" s="394">
        <f t="shared" ref="C43" si="4">B43</f>
        <v>84498.75</v>
      </c>
      <c r="D43" s="394"/>
      <c r="E43" s="393">
        <f>'Sources and Uses Budget'!S43</f>
        <v>84498.75</v>
      </c>
      <c r="F43" s="394">
        <f t="shared" ref="F43" si="5">E43</f>
        <v>84498.75</v>
      </c>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430920</v>
      </c>
      <c r="C45" s="394">
        <f t="shared" ref="C45:C52" si="6">B45</f>
        <v>430920</v>
      </c>
      <c r="D45" s="394"/>
      <c r="E45" s="393">
        <f>'Sources and Uses Budget'!S45</f>
        <v>147747.08605039062</v>
      </c>
      <c r="F45" s="394">
        <f t="shared" ref="F45:F53" si="7">E45</f>
        <v>147747.08605039062</v>
      </c>
      <c r="G45" s="394"/>
      <c r="H45" s="393">
        <f>'Sources and Uses Budget'!T45</f>
        <v>0</v>
      </c>
      <c r="I45" s="394"/>
      <c r="J45" s="394"/>
      <c r="K45" s="391"/>
    </row>
    <row r="46" spans="1:11" s="392" customFormat="1" ht="13">
      <c r="A46" s="396" t="s">
        <v>152</v>
      </c>
      <c r="B46" s="393">
        <f>'Sources and Uses Budget'!C46</f>
        <v>55141</v>
      </c>
      <c r="C46" s="394">
        <f t="shared" si="6"/>
        <v>55141</v>
      </c>
      <c r="D46" s="394"/>
      <c r="E46" s="393">
        <f>'Sources and Uses Budget'!S46</f>
        <v>18905.880608708318</v>
      </c>
      <c r="F46" s="394">
        <f t="shared" si="7"/>
        <v>18905.880608708318</v>
      </c>
      <c r="G46" s="394"/>
      <c r="H46" s="393">
        <f>'Sources and Uses Budget'!T46</f>
        <v>0</v>
      </c>
      <c r="I46" s="394"/>
      <c r="J46" s="394"/>
      <c r="K46" s="391"/>
    </row>
    <row r="47" spans="1:11" s="392" customFormat="1" ht="12" customHeight="1">
      <c r="A47" s="396" t="s">
        <v>153</v>
      </c>
      <c r="B47" s="393">
        <f>'Sources and Uses Budget'!C47</f>
        <v>60946</v>
      </c>
      <c r="C47" s="394">
        <f>B47</f>
        <v>60946</v>
      </c>
      <c r="D47" s="394"/>
      <c r="E47" s="393">
        <f>'Sources and Uses Budget'!S47</f>
        <v>7170.1176470588234</v>
      </c>
      <c r="F47" s="394">
        <f t="shared" si="7"/>
        <v>7170.1176470588234</v>
      </c>
      <c r="G47" s="394"/>
      <c r="H47" s="393">
        <f>'Sources and Uses Budget'!T47</f>
        <v>0</v>
      </c>
      <c r="I47" s="394"/>
      <c r="J47" s="394"/>
      <c r="K47" s="391"/>
    </row>
    <row r="48" spans="1:11" s="392" customFormat="1" ht="13">
      <c r="A48" s="396" t="s">
        <v>154</v>
      </c>
      <c r="B48" s="393">
        <f>'Sources and Uses Budget'!C48</f>
        <v>25000</v>
      </c>
      <c r="C48" s="394">
        <f t="shared" si="6"/>
        <v>25000</v>
      </c>
      <c r="D48" s="394"/>
      <c r="E48" s="393">
        <f>'Sources and Uses Budget'!S48</f>
        <v>2941.1764705882351</v>
      </c>
      <c r="F48" s="394">
        <f t="shared" si="7"/>
        <v>2941.1764705882351</v>
      </c>
      <c r="G48" s="394"/>
      <c r="H48" s="393">
        <f>'Sources and Uses Budget'!T48</f>
        <v>0</v>
      </c>
      <c r="I48" s="394"/>
      <c r="J48" s="394"/>
      <c r="K48" s="391"/>
    </row>
    <row r="49" spans="1:11" s="392" customFormat="1" ht="13">
      <c r="A49" s="304" t="s">
        <v>57</v>
      </c>
      <c r="B49" s="393">
        <f>'Sources and Uses Budget'!C49</f>
        <v>120000</v>
      </c>
      <c r="C49" s="394">
        <f t="shared" si="6"/>
        <v>120000</v>
      </c>
      <c r="D49" s="394"/>
      <c r="E49" s="393">
        <f>'Sources and Uses Budget'!S49</f>
        <v>14117.64705882353</v>
      </c>
      <c r="F49" s="394">
        <f t="shared" si="7"/>
        <v>14117.64705882353</v>
      </c>
      <c r="G49" s="394"/>
      <c r="H49" s="393">
        <f>'Sources and Uses Budget'!T49</f>
        <v>0</v>
      </c>
      <c r="I49" s="394"/>
      <c r="J49" s="394"/>
      <c r="K49" s="391"/>
    </row>
    <row r="50" spans="1:11" s="392" customFormat="1" ht="13">
      <c r="A50" s="396" t="s">
        <v>157</v>
      </c>
      <c r="B50" s="393">
        <f>'Sources and Uses Budget'!C50</f>
        <v>25000</v>
      </c>
      <c r="C50" s="394">
        <f t="shared" si="6"/>
        <v>25000</v>
      </c>
      <c r="D50" s="394"/>
      <c r="E50" s="393">
        <f>'Sources and Uses Budget'!S50</f>
        <v>2941.1764705882351</v>
      </c>
      <c r="F50" s="394">
        <f t="shared" si="7"/>
        <v>2941.1764705882351</v>
      </c>
      <c r="G50" s="394"/>
      <c r="H50" s="393">
        <f>'Sources and Uses Budget'!T50</f>
        <v>0</v>
      </c>
      <c r="I50" s="394"/>
      <c r="J50" s="394"/>
      <c r="K50" s="391"/>
    </row>
    <row r="51" spans="1:11" s="392" customFormat="1" ht="13">
      <c r="A51" s="396" t="s">
        <v>155</v>
      </c>
      <c r="B51" s="393">
        <f>'Sources and Uses Budget'!C51</f>
        <v>15000</v>
      </c>
      <c r="C51" s="394">
        <f>B51</f>
        <v>15000</v>
      </c>
      <c r="D51" s="394"/>
      <c r="E51" s="393">
        <f>'Sources and Uses Budget'!S51</f>
        <v>15000</v>
      </c>
      <c r="F51" s="394">
        <f t="shared" si="7"/>
        <v>15000</v>
      </c>
      <c r="G51" s="394"/>
      <c r="H51" s="393">
        <f>'Sources and Uses Budget'!T51</f>
        <v>0</v>
      </c>
      <c r="I51" s="394"/>
      <c r="J51" s="394"/>
      <c r="K51" s="391"/>
    </row>
    <row r="52" spans="1:11" s="392" customFormat="1" ht="13">
      <c r="A52" s="396" t="s">
        <v>156</v>
      </c>
      <c r="B52" s="393">
        <f>'Sources and Uses Budget'!C52</f>
        <v>30000</v>
      </c>
      <c r="C52" s="394">
        <f t="shared" si="6"/>
        <v>30000</v>
      </c>
      <c r="D52" s="394"/>
      <c r="E52" s="393">
        <f>'Sources and Uses Budget'!S52</f>
        <v>30000</v>
      </c>
      <c r="F52" s="394">
        <f t="shared" si="7"/>
        <v>30000</v>
      </c>
      <c r="G52" s="394"/>
      <c r="H52" s="393">
        <f>'Sources and Uses Budget'!T52</f>
        <v>0</v>
      </c>
      <c r="I52" s="394"/>
      <c r="J52" s="394"/>
      <c r="K52" s="391"/>
    </row>
    <row r="53" spans="1:11" s="392" customFormat="1" ht="13">
      <c r="A53" s="396" t="str">
        <f>'Sources and Uses Budget'!$A53</f>
        <v>Other: (Specify)</v>
      </c>
      <c r="B53" s="393">
        <f>'Sources and Uses Budget'!C53</f>
        <v>0</v>
      </c>
      <c r="C53" s="394">
        <f>B53</f>
        <v>0</v>
      </c>
      <c r="D53" s="394"/>
      <c r="E53" s="393">
        <f>'Sources and Uses Budget'!S53</f>
        <v>0</v>
      </c>
      <c r="F53" s="394">
        <f t="shared" si="7"/>
        <v>0</v>
      </c>
      <c r="G53" s="394"/>
      <c r="H53" s="393">
        <f>'Sources and Uses Budget'!T53</f>
        <v>0</v>
      </c>
      <c r="I53" s="394"/>
      <c r="J53" s="394"/>
      <c r="K53" s="391"/>
    </row>
    <row r="54" spans="1:11" s="401" customFormat="1" ht="13">
      <c r="A54" s="397" t="s">
        <v>158</v>
      </c>
      <c r="B54" s="393">
        <f>'Sources and Uses Budget'!C54</f>
        <v>762007</v>
      </c>
      <c r="C54" s="399">
        <f>SUM(C45:C53)</f>
        <v>762007</v>
      </c>
      <c r="D54" s="399">
        <f>SUM(D45:D53)</f>
        <v>0</v>
      </c>
      <c r="E54" s="393">
        <f>'Sources and Uses Budget'!S54</f>
        <v>238823.08430615772</v>
      </c>
      <c r="F54" s="399">
        <f>SUM(F45:F53)</f>
        <v>238823.08430615772</v>
      </c>
      <c r="G54" s="399">
        <f>SUM(G45:G53)</f>
        <v>0</v>
      </c>
      <c r="H54" s="393">
        <f>'Sources and Uses Budget'!T54</f>
        <v>0</v>
      </c>
      <c r="I54" s="399">
        <f>SUM(I45:I53)</f>
        <v>0</v>
      </c>
      <c r="J54" s="399">
        <f>SUM(J45:J53)</f>
        <v>0</v>
      </c>
      <c r="K54" s="400"/>
    </row>
    <row r="55" spans="1:11" s="392" customFormat="1" ht="13">
      <c r="A55" s="389" t="s">
        <v>419</v>
      </c>
      <c r="B55" s="390"/>
      <c r="C55" s="390"/>
      <c r="D55" s="390"/>
      <c r="E55" s="390"/>
      <c r="F55" s="390"/>
      <c r="G55" s="390"/>
      <c r="H55" s="390"/>
      <c r="I55" s="390"/>
      <c r="J55" s="390"/>
      <c r="K55" s="391"/>
    </row>
    <row r="56" spans="1:11" s="392" customFormat="1" ht="13">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302</v>
      </c>
      <c r="B62" s="393">
        <f>'Sources and Uses Budget'!C62</f>
        <v>0</v>
      </c>
      <c r="C62" s="393">
        <f>SUM(C56:C61)</f>
        <v>0</v>
      </c>
      <c r="D62" s="393">
        <f>SUM(D56:D61)</f>
        <v>0</v>
      </c>
      <c r="E62" s="395"/>
      <c r="F62" s="395"/>
      <c r="G62" s="395"/>
      <c r="H62" s="395"/>
      <c r="I62" s="395"/>
      <c r="J62" s="395"/>
      <c r="K62" s="391"/>
    </row>
    <row r="63" spans="1:11" s="392" customFormat="1" ht="13">
      <c r="A63" s="402" t="s">
        <v>303</v>
      </c>
      <c r="B63" s="393">
        <f>'Sources and Uses Budget'!C63</f>
        <v>8557401.75</v>
      </c>
      <c r="C63" s="393">
        <f>SUM(C8+C11+C13+C14+C15+C26+C27+C38+C42+C43+C54+C62)</f>
        <v>8557401.75</v>
      </c>
      <c r="D63" s="393">
        <f>SUM(D8+D11+D13+D14+D15+D26+D27+D38+D42+D43+D54+D62)</f>
        <v>0</v>
      </c>
      <c r="E63" s="393">
        <f>'Sources and Uses Budget'!S63</f>
        <v>7118222.8343061581</v>
      </c>
      <c r="F63" s="393">
        <f>SUM(F10+F13+F14+F15+F26+F27+F38+F42+F43+F54)</f>
        <v>7118222.8343061581</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1825</v>
      </c>
      <c r="B64" s="390"/>
      <c r="C64" s="390"/>
      <c r="D64" s="390"/>
      <c r="E64" s="390"/>
      <c r="F64" s="390"/>
      <c r="G64" s="390"/>
      <c r="H64" s="390"/>
      <c r="I64" s="390"/>
      <c r="J64" s="390"/>
      <c r="K64" s="391"/>
    </row>
    <row r="65" spans="1:11" s="392" customFormat="1" ht="13">
      <c r="A65" s="145" t="s">
        <v>171</v>
      </c>
      <c r="B65" s="393">
        <f>'Sources and Uses Budget'!C65</f>
        <v>0</v>
      </c>
      <c r="C65" s="394">
        <f>B65</f>
        <v>0</v>
      </c>
      <c r="D65" s="394"/>
      <c r="E65" s="393">
        <f>'Sources and Uses Budget'!S65</f>
        <v>0</v>
      </c>
      <c r="F65" s="394">
        <f>E65</f>
        <v>0</v>
      </c>
      <c r="G65" s="394"/>
      <c r="H65" s="393">
        <f>'Sources and Uses Budget'!T65</f>
        <v>0</v>
      </c>
      <c r="I65" s="394"/>
      <c r="J65" s="394"/>
      <c r="K65" s="391"/>
    </row>
    <row r="66" spans="1:11" s="392" customFormat="1" ht="26">
      <c r="A66" s="304" t="s">
        <v>1822</v>
      </c>
      <c r="B66" s="393">
        <f>'Sources and Uses Budget'!C66</f>
        <v>3000</v>
      </c>
      <c r="C66" s="394">
        <f t="shared" ref="C66:C69" si="8">B66</f>
        <v>3000</v>
      </c>
      <c r="D66" s="394"/>
      <c r="E66" s="393">
        <f>'Sources and Uses Budget'!S66</f>
        <v>3000</v>
      </c>
      <c r="F66" s="394">
        <f t="shared" ref="F66:F69" si="9">E66</f>
        <v>3000</v>
      </c>
      <c r="G66" s="394"/>
      <c r="H66" s="393">
        <f>'Sources and Uses Budget'!T66</f>
        <v>0</v>
      </c>
      <c r="I66" s="394"/>
      <c r="J66" s="394"/>
      <c r="K66" s="391"/>
    </row>
    <row r="67" spans="1:11" s="392" customFormat="1" ht="26">
      <c r="A67" s="304" t="s">
        <v>1823</v>
      </c>
      <c r="B67" s="393">
        <f>'Sources and Uses Budget'!C67</f>
        <v>0</v>
      </c>
      <c r="C67" s="394">
        <f t="shared" si="8"/>
        <v>0</v>
      </c>
      <c r="D67" s="394"/>
      <c r="E67" s="393">
        <f>'Sources and Uses Budget'!S67</f>
        <v>0</v>
      </c>
      <c r="F67" s="394">
        <f t="shared" si="9"/>
        <v>0</v>
      </c>
      <c r="G67" s="394"/>
      <c r="H67" s="393">
        <f>'Sources and Uses Budget'!T67</f>
        <v>0</v>
      </c>
      <c r="I67" s="394"/>
      <c r="J67" s="394"/>
      <c r="K67" s="391"/>
    </row>
    <row r="68" spans="1:11" s="392" customFormat="1" ht="13">
      <c r="A68" s="304" t="s">
        <v>1829</v>
      </c>
      <c r="B68" s="393">
        <f>'Sources and Uses Budget'!C68</f>
        <v>0</v>
      </c>
      <c r="C68" s="394">
        <f t="shared" si="8"/>
        <v>0</v>
      </c>
      <c r="D68" s="394"/>
      <c r="E68" s="393">
        <f>'Sources and Uses Budget'!S68</f>
        <v>0</v>
      </c>
      <c r="F68" s="394">
        <f t="shared" si="9"/>
        <v>0</v>
      </c>
      <c r="G68" s="394"/>
      <c r="H68" s="393">
        <f>'Sources and Uses Budget'!T68</f>
        <v>0</v>
      </c>
      <c r="I68" s="394"/>
      <c r="J68" s="394"/>
      <c r="K68" s="391"/>
    </row>
    <row r="69" spans="1:11" s="392" customFormat="1" ht="13">
      <c r="A69" s="396" t="str">
        <f>'Sources and Uses Budget'!$A69</f>
        <v>Other: Developer Legal</v>
      </c>
      <c r="B69" s="393">
        <f>'Sources and Uses Budget'!C69</f>
        <v>100000</v>
      </c>
      <c r="C69" s="394">
        <f t="shared" si="8"/>
        <v>100000</v>
      </c>
      <c r="D69" s="394"/>
      <c r="E69" s="393">
        <f>'Sources and Uses Budget'!S69</f>
        <v>100000</v>
      </c>
      <c r="F69" s="394">
        <f t="shared" si="9"/>
        <v>100000</v>
      </c>
      <c r="G69" s="394"/>
      <c r="H69" s="393">
        <f>'Sources and Uses Budget'!T69</f>
        <v>0</v>
      </c>
      <c r="I69" s="394"/>
      <c r="J69" s="394"/>
      <c r="K69" s="391"/>
    </row>
    <row r="70" spans="1:11" s="392" customFormat="1" ht="13">
      <c r="A70" s="397" t="s">
        <v>610</v>
      </c>
      <c r="B70" s="393">
        <f>'Sources and Uses Budget'!C70</f>
        <v>103000</v>
      </c>
      <c r="C70" s="393">
        <f>SUM(C64:C69)</f>
        <v>103000</v>
      </c>
      <c r="D70" s="393">
        <f>SUM(D64:D69)</f>
        <v>0</v>
      </c>
      <c r="E70" s="393">
        <f>'Sources and Uses Budget'!S70</f>
        <v>103000</v>
      </c>
      <c r="F70" s="399">
        <f>SUM(F65:F69)</f>
        <v>103000</v>
      </c>
      <c r="G70" s="399">
        <f>SUM(G65:G69)</f>
        <v>0</v>
      </c>
      <c r="H70" s="393">
        <f>'Sources and Uses Budget'!T70</f>
        <v>0</v>
      </c>
      <c r="I70" s="399">
        <f>SUM(I65:I69)</f>
        <v>0</v>
      </c>
      <c r="J70" s="399">
        <f>SUM(J65:J69)</f>
        <v>0</v>
      </c>
      <c r="K70" s="391"/>
    </row>
    <row r="71" spans="1:11" s="392" customFormat="1" ht="13">
      <c r="A71" s="389" t="s">
        <v>611</v>
      </c>
      <c r="B71" s="390"/>
      <c r="C71" s="390"/>
      <c r="D71" s="390"/>
      <c r="E71" s="390"/>
      <c r="F71" s="390"/>
      <c r="G71" s="390"/>
      <c r="H71" s="390"/>
      <c r="I71" s="390"/>
      <c r="J71" s="390"/>
      <c r="K71" s="391"/>
    </row>
    <row r="72" spans="1:11" s="392" customFormat="1" ht="13">
      <c r="A72" s="396" t="s">
        <v>612</v>
      </c>
      <c r="B72" s="393">
        <f>'Sources and Uses Budget'!C72</f>
        <v>0</v>
      </c>
      <c r="C72" s="394"/>
      <c r="D72" s="394"/>
      <c r="E72" s="395"/>
      <c r="F72" s="395"/>
      <c r="G72" s="395"/>
      <c r="H72" s="395"/>
      <c r="I72" s="395"/>
      <c r="J72" s="395"/>
      <c r="K72" s="391"/>
    </row>
    <row r="73" spans="1:11" s="392" customFormat="1" ht="13">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5400</v>
      </c>
      <c r="C74" s="394">
        <f>B74</f>
        <v>5400</v>
      </c>
      <c r="D74" s="394"/>
      <c r="E74" s="395"/>
      <c r="F74" s="395"/>
      <c r="G74" s="395"/>
      <c r="H74" s="395"/>
      <c r="I74" s="395"/>
      <c r="J74" s="395"/>
      <c r="K74" s="391"/>
    </row>
    <row r="75" spans="1:11" s="392" customFormat="1" ht="13">
      <c r="A75" s="396" t="s">
        <v>614</v>
      </c>
      <c r="B75" s="393">
        <f>'Sources and Uses Budget'!C75</f>
        <v>160693</v>
      </c>
      <c r="C75" s="394">
        <f t="shared" ref="C75:C76" si="10">B75</f>
        <v>160693</v>
      </c>
      <c r="D75" s="394"/>
      <c r="E75" s="395"/>
      <c r="F75" s="395"/>
      <c r="G75" s="395"/>
      <c r="H75" s="395"/>
      <c r="I75" s="395"/>
      <c r="J75" s="395"/>
      <c r="K75" s="391"/>
    </row>
    <row r="76" spans="1:11" s="392" customFormat="1" ht="13">
      <c r="A76" s="396" t="str">
        <f>'Sources and Uses Budget'!$A76</f>
        <v xml:space="preserve">Other: </v>
      </c>
      <c r="B76" s="393">
        <f>'Sources and Uses Budget'!C76</f>
        <v>0</v>
      </c>
      <c r="C76" s="394">
        <f t="shared" si="10"/>
        <v>0</v>
      </c>
      <c r="D76" s="394"/>
      <c r="E76" s="395"/>
      <c r="F76" s="395"/>
      <c r="G76" s="395"/>
      <c r="H76" s="395"/>
      <c r="I76" s="395"/>
      <c r="J76" s="395"/>
      <c r="K76" s="391"/>
    </row>
    <row r="77" spans="1:11" s="392" customFormat="1" ht="13">
      <c r="A77" s="397" t="s">
        <v>615</v>
      </c>
      <c r="B77" s="393">
        <f>'Sources and Uses Budget'!C77</f>
        <v>166093</v>
      </c>
      <c r="C77" s="393">
        <f>SUM(C72:C76)</f>
        <v>166093</v>
      </c>
      <c r="D77" s="393">
        <f>SUM(D72:D76)</f>
        <v>0</v>
      </c>
      <c r="E77" s="395"/>
      <c r="F77" s="395"/>
      <c r="G77" s="395"/>
      <c r="H77" s="395"/>
      <c r="I77" s="395"/>
      <c r="J77" s="395"/>
      <c r="K77" s="391"/>
    </row>
    <row r="78" spans="1:11" s="392" customFormat="1" ht="13">
      <c r="A78" s="389" t="s">
        <v>1353</v>
      </c>
      <c r="B78" s="390"/>
      <c r="C78" s="390"/>
      <c r="D78" s="390"/>
      <c r="E78" s="390"/>
      <c r="F78" s="390"/>
      <c r="G78" s="390"/>
      <c r="H78" s="390"/>
      <c r="I78" s="390"/>
      <c r="J78" s="390"/>
      <c r="K78" s="391"/>
    </row>
    <row r="79" spans="1:11" s="392" customFormat="1" ht="13">
      <c r="A79" s="396" t="s">
        <v>1355</v>
      </c>
      <c r="B79" s="393">
        <f>'Sources and Uses Budget'!C79</f>
        <v>342000</v>
      </c>
      <c r="C79" s="394">
        <f t="shared" ref="C79:C80" si="11">B79</f>
        <v>342000</v>
      </c>
      <c r="D79" s="394"/>
      <c r="E79" s="393">
        <f>'Sources and Uses Budget'!S79</f>
        <v>342000</v>
      </c>
      <c r="F79" s="394">
        <f>E79</f>
        <v>342000</v>
      </c>
      <c r="G79" s="394"/>
      <c r="H79" s="393">
        <f>'Sources and Uses Budget'!T79</f>
        <v>0</v>
      </c>
      <c r="I79" s="394"/>
      <c r="J79" s="394"/>
      <c r="K79" s="391"/>
    </row>
    <row r="80" spans="1:11" s="392" customFormat="1" ht="13">
      <c r="A80" s="396" t="s">
        <v>58</v>
      </c>
      <c r="B80" s="393">
        <f>'Sources and Uses Budget'!C80</f>
        <v>107174.72611084809</v>
      </c>
      <c r="C80" s="394">
        <f t="shared" si="11"/>
        <v>107174.72611084809</v>
      </c>
      <c r="D80" s="394"/>
      <c r="E80" s="393">
        <f>'Sources and Uses Budget'!S80</f>
        <v>107174.72611084809</v>
      </c>
      <c r="F80" s="394">
        <f>E80</f>
        <v>107174.72611084809</v>
      </c>
      <c r="G80" s="394"/>
      <c r="H80" s="393">
        <f>'Sources and Uses Budget'!T80</f>
        <v>0</v>
      </c>
      <c r="I80" s="394"/>
      <c r="J80" s="394"/>
      <c r="K80" s="391"/>
    </row>
    <row r="81" spans="1:11" s="392" customFormat="1" ht="13">
      <c r="A81" s="397" t="s">
        <v>1352</v>
      </c>
      <c r="B81" s="393">
        <f>'Sources and Uses Budget'!C81</f>
        <v>449174.72611084807</v>
      </c>
      <c r="C81" s="393">
        <f>SUM(C79:C80)</f>
        <v>449174.72611084807</v>
      </c>
      <c r="D81" s="393">
        <f>SUM(D79:D80)</f>
        <v>0</v>
      </c>
      <c r="E81" s="393">
        <f>'Sources and Uses Budget'!S81</f>
        <v>449174.72611084807</v>
      </c>
      <c r="F81" s="393">
        <f>SUM(F79:F80)</f>
        <v>449174.72611084807</v>
      </c>
      <c r="G81" s="393">
        <f>SUM(G79:G80)</f>
        <v>0</v>
      </c>
      <c r="H81" s="393">
        <f>'Sources and Uses Budget'!T81</f>
        <v>0</v>
      </c>
      <c r="I81" s="393">
        <f>SUM(I79:I80)</f>
        <v>0</v>
      </c>
      <c r="J81" s="393">
        <f>SUM(J79:J80)</f>
        <v>0</v>
      </c>
      <c r="K81" s="391"/>
    </row>
    <row r="82" spans="1:11" s="392" customFormat="1" ht="13">
      <c r="A82" s="389" t="s">
        <v>789</v>
      </c>
      <c r="B82" s="390"/>
      <c r="C82" s="390"/>
      <c r="D82" s="390"/>
      <c r="E82" s="390"/>
      <c r="F82" s="390"/>
      <c r="G82" s="390"/>
      <c r="H82" s="390"/>
      <c r="I82" s="390"/>
      <c r="J82" s="390"/>
      <c r="K82" s="391"/>
    </row>
    <row r="83" spans="1:11" s="392" customFormat="1" ht="13.75" customHeight="1">
      <c r="A83" s="145" t="s">
        <v>2519</v>
      </c>
      <c r="B83" s="393">
        <f>'Sources and Uses Budget'!C83</f>
        <v>5000</v>
      </c>
      <c r="C83" s="394">
        <f t="shared" ref="C83:C92" si="12">B83</f>
        <v>5000</v>
      </c>
      <c r="D83" s="394"/>
      <c r="E83" s="395"/>
      <c r="F83" s="395"/>
      <c r="G83" s="395"/>
      <c r="H83" s="395"/>
      <c r="I83" s="395"/>
      <c r="J83" s="395"/>
      <c r="K83" s="391"/>
    </row>
    <row r="84" spans="1:11" s="392" customFormat="1" ht="13">
      <c r="A84" s="145" t="s">
        <v>791</v>
      </c>
      <c r="B84" s="393">
        <f>'Sources and Uses Budget'!C84</f>
        <v>5000</v>
      </c>
      <c r="C84" s="394">
        <f t="shared" si="12"/>
        <v>5000</v>
      </c>
      <c r="D84" s="394"/>
      <c r="E84" s="393">
        <f>'Sources and Uses Budget'!S84</f>
        <v>5000</v>
      </c>
      <c r="F84" s="394">
        <f>E84</f>
        <v>5000</v>
      </c>
      <c r="G84" s="394"/>
      <c r="H84" s="393">
        <f>'Sources and Uses Budget'!T84</f>
        <v>0</v>
      </c>
      <c r="I84" s="394"/>
      <c r="J84" s="394"/>
      <c r="K84" s="391"/>
    </row>
    <row r="85" spans="1:11" s="392" customFormat="1" ht="13">
      <c r="A85" s="145" t="s">
        <v>792</v>
      </c>
      <c r="B85" s="393">
        <f>'Sources and Uses Budget'!C85</f>
        <v>409644.42</v>
      </c>
      <c r="C85" s="394">
        <f t="shared" si="12"/>
        <v>409644.42</v>
      </c>
      <c r="D85" s="394"/>
      <c r="E85" s="393">
        <f>'Sources and Uses Budget'!S85</f>
        <v>409644.42</v>
      </c>
      <c r="F85" s="394">
        <f>E85</f>
        <v>409644.42</v>
      </c>
      <c r="G85" s="394"/>
      <c r="H85" s="393">
        <f>'Sources and Uses Budget'!T85</f>
        <v>0</v>
      </c>
      <c r="I85" s="394"/>
      <c r="J85" s="394"/>
      <c r="K85" s="391"/>
    </row>
    <row r="86" spans="1:11" s="392" customFormat="1" ht="13">
      <c r="A86" s="145" t="s">
        <v>793</v>
      </c>
      <c r="B86" s="393">
        <f>'Sources and Uses Budget'!C86</f>
        <v>31588.93</v>
      </c>
      <c r="C86" s="394">
        <f t="shared" si="12"/>
        <v>31588.93</v>
      </c>
      <c r="D86" s="394"/>
      <c r="E86" s="393">
        <f>'Sources and Uses Budget'!S86</f>
        <v>31588.93</v>
      </c>
      <c r="F86" s="394">
        <f>E86</f>
        <v>31588.93</v>
      </c>
      <c r="G86" s="394"/>
      <c r="H86" s="393">
        <f>'Sources and Uses Budget'!T86</f>
        <v>0</v>
      </c>
      <c r="I86" s="394"/>
      <c r="J86" s="394"/>
      <c r="K86" s="391"/>
    </row>
    <row r="87" spans="1:11" s="392" customFormat="1" ht="13">
      <c r="A87" s="145" t="s">
        <v>794</v>
      </c>
      <c r="B87" s="393">
        <f>'Sources and Uses Budget'!C87</f>
        <v>0</v>
      </c>
      <c r="C87" s="394">
        <f t="shared" si="12"/>
        <v>0</v>
      </c>
      <c r="D87" s="394"/>
      <c r="E87" s="393">
        <f>'Sources and Uses Budget'!S87</f>
        <v>0</v>
      </c>
      <c r="F87" s="394"/>
      <c r="G87" s="394"/>
      <c r="H87" s="393">
        <f>'Sources and Uses Budget'!T87</f>
        <v>0</v>
      </c>
      <c r="I87" s="394"/>
      <c r="J87" s="394"/>
      <c r="K87" s="391"/>
    </row>
    <row r="88" spans="1:11" s="392" customFormat="1" ht="13">
      <c r="A88" s="145" t="s">
        <v>795</v>
      </c>
      <c r="B88" s="393">
        <f>'Sources and Uses Budget'!C88</f>
        <v>15000</v>
      </c>
      <c r="C88" s="394">
        <f t="shared" si="12"/>
        <v>15000</v>
      </c>
      <c r="D88" s="394"/>
      <c r="E88" s="395"/>
      <c r="F88" s="395"/>
      <c r="G88" s="395"/>
      <c r="H88" s="395"/>
      <c r="I88" s="395"/>
      <c r="J88" s="395"/>
      <c r="K88" s="391"/>
    </row>
    <row r="89" spans="1:11" s="392" customFormat="1" ht="13">
      <c r="A89" s="145" t="s">
        <v>796</v>
      </c>
      <c r="B89" s="393">
        <f>'Sources and Uses Budget'!C89</f>
        <v>0</v>
      </c>
      <c r="C89" s="394">
        <f t="shared" si="12"/>
        <v>0</v>
      </c>
      <c r="D89" s="394"/>
      <c r="E89" s="393">
        <f>'Sources and Uses Budget'!S89</f>
        <v>0</v>
      </c>
      <c r="F89" s="394"/>
      <c r="G89" s="394"/>
      <c r="H89" s="393">
        <f>'Sources and Uses Budget'!T89</f>
        <v>0</v>
      </c>
      <c r="I89" s="394"/>
      <c r="J89" s="394"/>
      <c r="K89" s="391"/>
    </row>
    <row r="90" spans="1:11" s="392" customFormat="1" ht="13">
      <c r="A90" s="145" t="s">
        <v>797</v>
      </c>
      <c r="B90" s="393">
        <f>'Sources and Uses Budget'!C90</f>
        <v>15000</v>
      </c>
      <c r="C90" s="394">
        <f t="shared" si="12"/>
        <v>15000</v>
      </c>
      <c r="D90" s="394"/>
      <c r="E90" s="393">
        <f>'Sources and Uses Budget'!S90</f>
        <v>15000</v>
      </c>
      <c r="F90" s="394">
        <f t="shared" ref="F90:F95" si="13">E90</f>
        <v>15000</v>
      </c>
      <c r="G90" s="394"/>
      <c r="H90" s="393">
        <f>'Sources and Uses Budget'!T90</f>
        <v>0</v>
      </c>
      <c r="I90" s="394"/>
      <c r="J90" s="394"/>
      <c r="K90" s="391"/>
    </row>
    <row r="91" spans="1:11" s="392" customFormat="1" ht="13">
      <c r="A91" s="155" t="s">
        <v>373</v>
      </c>
      <c r="B91" s="393">
        <f>'Sources and Uses Budget'!C91</f>
        <v>20000</v>
      </c>
      <c r="C91" s="394">
        <f t="shared" si="12"/>
        <v>20000</v>
      </c>
      <c r="D91" s="394"/>
      <c r="E91" s="393">
        <f>'Sources and Uses Budget'!S91</f>
        <v>20000</v>
      </c>
      <c r="F91" s="394">
        <f t="shared" si="13"/>
        <v>20000</v>
      </c>
      <c r="G91" s="394"/>
      <c r="H91" s="393">
        <f>'Sources and Uses Budget'!T91</f>
        <v>0</v>
      </c>
      <c r="I91" s="394"/>
      <c r="J91" s="394"/>
      <c r="K91" s="391"/>
    </row>
    <row r="92" spans="1:11" s="392" customFormat="1" ht="13">
      <c r="A92" s="543" t="s">
        <v>1354</v>
      </c>
      <c r="B92" s="393">
        <f>'Sources and Uses Budget'!C92</f>
        <v>40166</v>
      </c>
      <c r="C92" s="394">
        <f t="shared" si="12"/>
        <v>40166</v>
      </c>
      <c r="D92" s="394"/>
      <c r="E92" s="393">
        <f>'Sources and Uses Budget'!S92</f>
        <v>40166</v>
      </c>
      <c r="F92" s="394">
        <f t="shared" si="13"/>
        <v>40166</v>
      </c>
      <c r="G92" s="394"/>
      <c r="H92" s="393">
        <f>'Sources and Uses Budget'!T92</f>
        <v>0</v>
      </c>
      <c r="I92" s="394"/>
      <c r="J92" s="394"/>
      <c r="K92" s="391"/>
    </row>
    <row r="93" spans="1:11" s="392" customFormat="1" ht="13">
      <c r="A93" s="396" t="str">
        <f>'Sources and Uses Budget'!$A93</f>
        <v>Other: Public Works Inspections</v>
      </c>
      <c r="B93" s="393">
        <f>'Sources and Uses Budget'!C93</f>
        <v>27675</v>
      </c>
      <c r="C93" s="394">
        <f>B93</f>
        <v>27675</v>
      </c>
      <c r="D93" s="394"/>
      <c r="E93" s="393">
        <f>'Sources and Uses Budget'!S93</f>
        <v>27675</v>
      </c>
      <c r="F93" s="394">
        <f t="shared" si="13"/>
        <v>27675</v>
      </c>
      <c r="G93" s="394"/>
      <c r="H93" s="393">
        <f>'Sources and Uses Budget'!T93</f>
        <v>0</v>
      </c>
      <c r="I93" s="394"/>
      <c r="J93" s="394"/>
      <c r="K93" s="391"/>
    </row>
    <row r="94" spans="1:11" s="392" customFormat="1" ht="13">
      <c r="A94" s="396" t="str">
        <f>'Sources and Uses Budget'!$A94</f>
        <v>Other: Prevailing Wage Monitoring</v>
      </c>
      <c r="B94" s="393">
        <f>'Sources and Uses Budget'!C94</f>
        <v>15000</v>
      </c>
      <c r="C94" s="394">
        <f>B94</f>
        <v>15000</v>
      </c>
      <c r="D94" s="394"/>
      <c r="E94" s="393">
        <f>'Sources and Uses Budget'!S94</f>
        <v>15000</v>
      </c>
      <c r="F94" s="394">
        <f t="shared" si="13"/>
        <v>15000</v>
      </c>
      <c r="G94" s="394"/>
      <c r="H94" s="393">
        <f>'Sources and Uses Budget'!T94</f>
        <v>0</v>
      </c>
      <c r="I94" s="394"/>
      <c r="J94" s="394"/>
      <c r="K94" s="391"/>
    </row>
    <row r="95" spans="1:11" s="392" customFormat="1" ht="13">
      <c r="A95" s="396" t="str">
        <f>'Sources and Uses Budget'!$A95</f>
        <v>Other: Developer Insurance</v>
      </c>
      <c r="B95" s="393">
        <f>'Sources and Uses Budget'!C95</f>
        <v>88920</v>
      </c>
      <c r="C95" s="394">
        <f>B95</f>
        <v>88920</v>
      </c>
      <c r="D95" s="394"/>
      <c r="E95" s="393">
        <f>'Sources and Uses Budget'!S95</f>
        <v>88920</v>
      </c>
      <c r="F95" s="394">
        <f t="shared" si="13"/>
        <v>88920</v>
      </c>
      <c r="G95" s="394"/>
      <c r="H95" s="393">
        <f>'Sources and Uses Budget'!T95</f>
        <v>0</v>
      </c>
      <c r="I95" s="394"/>
      <c r="J95" s="394"/>
      <c r="K95" s="391"/>
    </row>
    <row r="96" spans="1:11" s="392" customFormat="1" ht="13">
      <c r="A96" s="397" t="s">
        <v>798</v>
      </c>
      <c r="B96" s="393">
        <f>'Sources and Uses Budget'!C96</f>
        <v>672994.35</v>
      </c>
      <c r="C96" s="393">
        <f>SUM(C83:C95)</f>
        <v>672994.35</v>
      </c>
      <c r="D96" s="393">
        <f>SUM(D83:D95)</f>
        <v>0</v>
      </c>
      <c r="E96" s="393">
        <f>'Sources and Uses Budget'!S96</f>
        <v>652994.35</v>
      </c>
      <c r="F96" s="399">
        <f>SUM(F84:F87,F89:F95)</f>
        <v>652994.35</v>
      </c>
      <c r="G96" s="399">
        <f>SUM(G84:G87,G89:G95)</f>
        <v>0</v>
      </c>
      <c r="H96" s="393">
        <f>'Sources and Uses Budget'!T96</f>
        <v>0</v>
      </c>
      <c r="I96" s="393">
        <f>SUM(I84:I87,I89:I95)</f>
        <v>0</v>
      </c>
      <c r="J96" s="393">
        <f>SUM(J84:J87,J89:J95)</f>
        <v>0</v>
      </c>
      <c r="K96" s="391"/>
    </row>
    <row r="97" spans="1:11" s="392" customFormat="1" ht="13">
      <c r="A97" s="397" t="s">
        <v>1090</v>
      </c>
      <c r="B97" s="393">
        <f>'Sources and Uses Budget'!C97</f>
        <v>9948663.8261108473</v>
      </c>
      <c r="C97" s="393">
        <f>SUM(C63+C70+C77+C81+C96)</f>
        <v>9948663.8261108473</v>
      </c>
      <c r="D97" s="393">
        <f>SUM(D63+D70+D77+D81+D96)</f>
        <v>0</v>
      </c>
      <c r="E97" s="393">
        <f>'Sources and Uses Budget'!S97</f>
        <v>8323391.9104170054</v>
      </c>
      <c r="F97" s="399">
        <f>SUM(+F63+F70+F81+F96)</f>
        <v>8323391.9104170054</v>
      </c>
      <c r="G97" s="399">
        <f>SUM(+G63+G70+G81+G96)</f>
        <v>0</v>
      </c>
      <c r="H97" s="393">
        <f>'Sources and Uses Budget'!T97</f>
        <v>0</v>
      </c>
      <c r="I97" s="399">
        <f>SUM(I63+I70+I81+I96)</f>
        <v>0</v>
      </c>
      <c r="J97" s="399">
        <f>SUM(J63+J70+J81+J96)</f>
        <v>0</v>
      </c>
      <c r="K97" s="391"/>
    </row>
    <row r="98" spans="1:11" s="392" customFormat="1" ht="13">
      <c r="A98" s="389" t="s">
        <v>800</v>
      </c>
      <c r="B98" s="390"/>
      <c r="C98" s="390"/>
      <c r="D98" s="390"/>
      <c r="E98" s="390"/>
      <c r="F98" s="390"/>
      <c r="G98" s="390"/>
      <c r="H98" s="390"/>
      <c r="I98" s="390"/>
      <c r="J98" s="390"/>
      <c r="K98" s="391"/>
    </row>
    <row r="99" spans="1:11" s="392" customFormat="1" ht="13">
      <c r="A99" s="145" t="s">
        <v>801</v>
      </c>
      <c r="B99" s="393">
        <f>'Sources and Uses Budget'!C99</f>
        <v>1664678.3820834011</v>
      </c>
      <c r="C99" s="394">
        <f t="shared" ref="C99" si="14">B99</f>
        <v>1664678.3820834011</v>
      </c>
      <c r="D99" s="394"/>
      <c r="E99" s="393">
        <f>'Sources and Uses Budget'!S99</f>
        <v>1664678.3820834011</v>
      </c>
      <c r="F99" s="394">
        <f>E99</f>
        <v>1664678.3820834011</v>
      </c>
      <c r="G99" s="394"/>
      <c r="H99" s="393">
        <f>'Sources and Uses Budget'!T99</f>
        <v>0</v>
      </c>
      <c r="I99" s="394"/>
      <c r="J99" s="394"/>
      <c r="K99" s="391"/>
    </row>
    <row r="100" spans="1:11" s="392" customFormat="1" ht="13">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803</v>
      </c>
      <c r="B104" s="393">
        <f>'Sources and Uses Budget'!C104</f>
        <v>1664678.3820834011</v>
      </c>
      <c r="C104" s="393">
        <f>SUM(C99:C103)</f>
        <v>1664678.3820834011</v>
      </c>
      <c r="D104" s="393">
        <f>SUM(D99:D103)</f>
        <v>0</v>
      </c>
      <c r="E104" s="393">
        <f>'Sources and Uses Budget'!S104</f>
        <v>1664678.3820834011</v>
      </c>
      <c r="F104" s="399">
        <f>SUM(F99:F103)</f>
        <v>1664678.3820834011</v>
      </c>
      <c r="G104" s="399">
        <f>SUM(G99:G103)</f>
        <v>0</v>
      </c>
      <c r="H104" s="393">
        <f>'Sources and Uses Budget'!T104</f>
        <v>0</v>
      </c>
      <c r="I104" s="399">
        <f>SUM(I99:I103)</f>
        <v>0</v>
      </c>
      <c r="J104" s="399">
        <f>SUM(J99:J103)</f>
        <v>0</v>
      </c>
      <c r="K104" s="391"/>
    </row>
    <row r="105" spans="1:11" s="392" customFormat="1" ht="13">
      <c r="A105" s="397" t="s">
        <v>1091</v>
      </c>
      <c r="B105" s="393">
        <f>'Sources and Uses Budget'!C105</f>
        <v>11613342.208194248</v>
      </c>
      <c r="C105" s="399">
        <f>SUM(C97+C104)</f>
        <v>11613342.208194248</v>
      </c>
      <c r="D105" s="399">
        <f>SUM(D97+D104)</f>
        <v>0</v>
      </c>
      <c r="E105" s="393">
        <f>'Sources and Uses Budget'!S105</f>
        <v>9988070.2925004065</v>
      </c>
      <c r="F105" s="399">
        <f>F97+F104</f>
        <v>9988070.2925004065</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9988070.2925004065</v>
      </c>
      <c r="F107" s="399">
        <f>F105+F106</f>
        <v>9988070.2925004065</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77"/>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7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101" zoomScaleNormal="100" zoomScaleSheetLayoutView="100" workbookViewId="0">
      <selection activeCell="O121" sqref="O121:R12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06" t="s">
        <v>1473</v>
      </c>
      <c r="B1" s="2106"/>
      <c r="C1" s="2106"/>
      <c r="D1" s="2106"/>
      <c r="E1" s="2106"/>
      <c r="F1" s="2106"/>
      <c r="G1" s="2106"/>
      <c r="H1" s="2106"/>
      <c r="I1" s="2106"/>
      <c r="J1" s="2106"/>
      <c r="K1" s="2106"/>
      <c r="L1" s="210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row>
    <row r="2" spans="1:42" s="571" customFormat="1" ht="12.75" customHeight="1" thickBot="1">
      <c r="A2" s="2107"/>
      <c r="B2" s="2107"/>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2" t="s">
        <v>1478</v>
      </c>
      <c r="AF7" s="1922"/>
      <c r="AG7" s="1922"/>
      <c r="AH7" s="1922"/>
      <c r="AI7" s="1922"/>
      <c r="AJ7" s="1922"/>
      <c r="AK7" s="1922"/>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0" t="s">
        <v>600</v>
      </c>
      <c r="C13" s="2100"/>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8"/>
      <c r="AH13" s="2108"/>
      <c r="AI13" s="2108"/>
      <c r="AJ13" s="21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0" t="s">
        <v>600</v>
      </c>
      <c r="C16" s="2100"/>
      <c r="D16" s="582"/>
      <c r="E16" s="2092" t="s">
        <v>1480</v>
      </c>
      <c r="F16" s="2093"/>
      <c r="G16" s="2093"/>
      <c r="H16" s="2093"/>
      <c r="I16" s="2093"/>
      <c r="J16" s="2093"/>
      <c r="K16" s="2093"/>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4"/>
      <c r="AK16" s="575"/>
      <c r="AL16" s="575"/>
      <c r="AM16" s="575"/>
      <c r="AN16" s="570"/>
      <c r="AO16" s="585">
        <f>IF($B25="yes",20,0)</f>
        <v>0</v>
      </c>
      <c r="AP16" s="14"/>
    </row>
    <row r="17" spans="1:42" s="571" customFormat="1" ht="12.75" customHeight="1">
      <c r="A17" s="575"/>
      <c r="B17" s="575"/>
      <c r="C17" s="575"/>
      <c r="D17" s="586"/>
      <c r="E17" s="2095"/>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7"/>
      <c r="AK17" s="575"/>
      <c r="AL17" s="575"/>
      <c r="AM17" s="575"/>
      <c r="AN17" s="570"/>
      <c r="AO17" s="571">
        <f>IF(SUM(AO13:AO16)&gt;20,20,(SUM(AO13:AO16)))</f>
        <v>0</v>
      </c>
      <c r="AP17" s="571" t="s">
        <v>1481</v>
      </c>
    </row>
    <row r="18" spans="1:42" s="571" customFormat="1" ht="12.75" customHeight="1">
      <c r="A18" s="575"/>
      <c r="B18" s="575"/>
      <c r="C18" s="575"/>
      <c r="D18" s="586"/>
      <c r="E18" s="2095"/>
      <c r="F18" s="2096"/>
      <c r="G18" s="2096"/>
      <c r="H18" s="2096"/>
      <c r="I18" s="2096"/>
      <c r="J18" s="2096"/>
      <c r="K18" s="2096"/>
      <c r="L18" s="2096"/>
      <c r="M18" s="2096"/>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7"/>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6"/>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0" t="s">
        <v>600</v>
      </c>
      <c r="C22" s="2100"/>
      <c r="D22" s="582"/>
      <c r="E22" s="2110" t="s">
        <v>1483</v>
      </c>
      <c r="F22" s="2111"/>
      <c r="G22" s="2111"/>
      <c r="H22" s="2111"/>
      <c r="I22" s="2111"/>
      <c r="J22" s="2111"/>
      <c r="K22" s="2111"/>
      <c r="L22" s="2111"/>
      <c r="M22" s="2111"/>
      <c r="N22" s="2111"/>
      <c r="O22" s="2111"/>
      <c r="P22" s="2111"/>
      <c r="Q22" s="2111"/>
      <c r="R22" s="2111"/>
      <c r="S22" s="2111"/>
      <c r="T22" s="2111"/>
      <c r="U22" s="2111"/>
      <c r="V22" s="2111"/>
      <c r="W22" s="2111"/>
      <c r="X22" s="2111"/>
      <c r="Y22" s="2111"/>
      <c r="Z22" s="2111"/>
      <c r="AA22" s="2111"/>
      <c r="AB22" s="2111"/>
      <c r="AC22" s="2111"/>
      <c r="AD22" s="2111"/>
      <c r="AE22" s="2111"/>
      <c r="AF22" s="2111"/>
      <c r="AG22" s="2111"/>
      <c r="AH22" s="2111"/>
      <c r="AI22" s="2111"/>
      <c r="AJ22" s="2112"/>
      <c r="AK22" s="575"/>
      <c r="AL22" s="575"/>
      <c r="AM22" s="575"/>
      <c r="AN22" s="570"/>
      <c r="AO22" s="571">
        <f>IF(SUM(AO20:AO21)&gt;14,14,SUM(AO20:AO21))</f>
        <v>0</v>
      </c>
      <c r="AP22" s="571" t="s">
        <v>1481</v>
      </c>
    </row>
    <row r="23" spans="1:42" s="571" customFormat="1" ht="12.75" customHeight="1">
      <c r="A23" s="575"/>
      <c r="B23" s="575"/>
      <c r="C23" s="575"/>
      <c r="D23" s="585"/>
      <c r="E23" s="2113"/>
      <c r="F23" s="2114"/>
      <c r="G23" s="2114"/>
      <c r="H23" s="2114"/>
      <c r="I23" s="2114"/>
      <c r="J23" s="2114"/>
      <c r="K23" s="2114"/>
      <c r="L23" s="2114"/>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0" t="s">
        <v>600</v>
      </c>
      <c r="C25" s="2100"/>
      <c r="D25" s="582"/>
      <c r="E25" s="2028" t="s">
        <v>2432</v>
      </c>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30"/>
      <c r="AK25" s="575"/>
      <c r="AL25" s="575"/>
      <c r="AM25" s="575"/>
      <c r="AN25" s="570"/>
      <c r="AO25" s="571">
        <f>IF(AO24&gt;6,6,AO24)</f>
        <v>0</v>
      </c>
      <c r="AP25" s="571" t="s">
        <v>1481</v>
      </c>
    </row>
    <row r="26" spans="1:42" s="571" customFormat="1" ht="12.75" customHeight="1">
      <c r="A26" s="575"/>
      <c r="B26" s="575"/>
      <c r="C26" s="575"/>
      <c r="D26" s="585"/>
      <c r="E26" s="2053"/>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100" t="s">
        <v>600</v>
      </c>
      <c r="C30" s="2100"/>
      <c r="D30" s="582"/>
      <c r="E30" s="2110" t="s">
        <v>2404</v>
      </c>
      <c r="F30" s="2111"/>
      <c r="G30" s="2111"/>
      <c r="H30" s="2111"/>
      <c r="I30" s="2111"/>
      <c r="J30" s="2111"/>
      <c r="K30" s="2111"/>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2"/>
      <c r="AK30" s="575"/>
      <c r="AL30" s="575"/>
      <c r="AM30" s="575"/>
      <c r="AN30" s="570"/>
      <c r="AO30" s="585"/>
    </row>
    <row r="31" spans="1:42" s="571" customFormat="1" ht="12.75" customHeight="1">
      <c r="A31" s="575"/>
      <c r="B31" s="575"/>
      <c r="C31" s="575"/>
      <c r="E31" s="2113"/>
      <c r="F31" s="2114"/>
      <c r="G31" s="2114"/>
      <c r="H31" s="2114"/>
      <c r="I31" s="2114"/>
      <c r="J31" s="2114"/>
      <c r="K31" s="2114"/>
      <c r="L31" s="211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00" t="s">
        <v>600</v>
      </c>
      <c r="C33" s="2100"/>
      <c r="D33" s="582"/>
      <c r="E33" s="2028" t="s">
        <v>2405</v>
      </c>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30"/>
      <c r="AK33" s="575"/>
      <c r="AL33" s="575"/>
      <c r="AM33" s="575"/>
      <c r="AN33" s="570"/>
    </row>
    <row r="34" spans="1:41" s="571" customFormat="1" ht="12.75" customHeight="1">
      <c r="A34" s="575"/>
      <c r="B34" s="575"/>
      <c r="C34" s="575"/>
      <c r="E34" s="2031"/>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3"/>
      <c r="AK34" s="575"/>
      <c r="AL34" s="575"/>
      <c r="AM34" s="575"/>
      <c r="AN34" s="570"/>
    </row>
    <row r="35" spans="1:41" s="571" customFormat="1" ht="12.75" customHeight="1">
      <c r="A35" s="575"/>
      <c r="B35" s="575"/>
      <c r="C35" s="575"/>
      <c r="E35" s="2053"/>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00" t="s">
        <v>600</v>
      </c>
      <c r="C39" s="2100"/>
      <c r="D39" s="1195"/>
      <c r="E39" s="2028" t="s">
        <v>2406</v>
      </c>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30"/>
      <c r="AK39" s="1195"/>
      <c r="AL39" s="575"/>
      <c r="AM39" s="575"/>
      <c r="AN39" s="570"/>
    </row>
    <row r="40" spans="1:41" s="571" customFormat="1" ht="12.75" customHeight="1">
      <c r="A40" s="575"/>
      <c r="B40" s="575"/>
      <c r="C40" s="575"/>
      <c r="E40" s="2031"/>
      <c r="F40" s="2032"/>
      <c r="G40" s="2032"/>
      <c r="H40" s="2032"/>
      <c r="I40" s="2032"/>
      <c r="J40" s="2032"/>
      <c r="K40" s="2032"/>
      <c r="L40" s="2032"/>
      <c r="M40" s="2032"/>
      <c r="N40" s="2032"/>
      <c r="O40" s="2032"/>
      <c r="P40" s="2032"/>
      <c r="Q40" s="2032"/>
      <c r="R40" s="2032"/>
      <c r="S40" s="2032"/>
      <c r="T40" s="2032"/>
      <c r="U40" s="2032"/>
      <c r="V40" s="2032"/>
      <c r="W40" s="2032"/>
      <c r="X40" s="2032"/>
      <c r="Y40" s="2032"/>
      <c r="Z40" s="2032"/>
      <c r="AA40" s="2032"/>
      <c r="AB40" s="2032"/>
      <c r="AC40" s="2032"/>
      <c r="AD40" s="2032"/>
      <c r="AE40" s="2032"/>
      <c r="AF40" s="2032"/>
      <c r="AG40" s="2032"/>
      <c r="AH40" s="2032"/>
      <c r="AI40" s="2032"/>
      <c r="AJ40" s="2033"/>
      <c r="AK40" s="575"/>
      <c r="AL40" s="575"/>
      <c r="AM40" s="575"/>
      <c r="AN40" s="570"/>
    </row>
    <row r="41" spans="1:41" s="571" customFormat="1" ht="12.75" customHeight="1">
      <c r="A41" s="575"/>
      <c r="D41" s="582"/>
      <c r="E41" s="2053"/>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0" t="s">
        <v>600</v>
      </c>
      <c r="C46" s="2100"/>
      <c r="D46" s="575"/>
      <c r="E46" s="2028" t="s">
        <v>2411</v>
      </c>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30"/>
      <c r="AK46" s="575"/>
      <c r="AL46" s="575"/>
      <c r="AM46" s="575"/>
      <c r="AN46" s="570"/>
      <c r="AO46" s="594"/>
    </row>
    <row r="47" spans="1:41" s="571" customFormat="1" ht="12.75" customHeight="1">
      <c r="A47" s="575"/>
      <c r="D47" s="582"/>
      <c r="E47" s="2031"/>
      <c r="F47" s="2032"/>
      <c r="G47" s="2032"/>
      <c r="H47" s="2032"/>
      <c r="I47" s="2032"/>
      <c r="J47" s="2032"/>
      <c r="K47" s="2032"/>
      <c r="L47" s="2032"/>
      <c r="M47" s="2032"/>
      <c r="N47" s="2032"/>
      <c r="O47" s="2032"/>
      <c r="P47" s="2032"/>
      <c r="Q47" s="2032"/>
      <c r="R47" s="2032"/>
      <c r="S47" s="2032"/>
      <c r="T47" s="2032"/>
      <c r="U47" s="2032"/>
      <c r="V47" s="2032"/>
      <c r="W47" s="2032"/>
      <c r="X47" s="2032"/>
      <c r="Y47" s="2032"/>
      <c r="Z47" s="2032"/>
      <c r="AA47" s="2032"/>
      <c r="AB47" s="2032"/>
      <c r="AC47" s="2032"/>
      <c r="AD47" s="2032"/>
      <c r="AE47" s="2032"/>
      <c r="AF47" s="2032"/>
      <c r="AG47" s="2032"/>
      <c r="AH47" s="2032"/>
      <c r="AI47" s="2032"/>
      <c r="AJ47" s="2033"/>
      <c r="AK47" s="575"/>
      <c r="AL47" s="575"/>
      <c r="AM47" s="575"/>
      <c r="AN47" s="570"/>
      <c r="AO47" s="594"/>
    </row>
    <row r="48" spans="1:41" s="571" customFormat="1" ht="12.75" customHeight="1">
      <c r="A48" s="575"/>
      <c r="D48" s="575"/>
      <c r="E48" s="2053"/>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0" t="s">
        <v>600</v>
      </c>
      <c r="C50" s="2100"/>
      <c r="D50" s="575"/>
      <c r="E50" s="2126" t="s">
        <v>2412</v>
      </c>
      <c r="F50" s="2127"/>
      <c r="G50" s="2127"/>
      <c r="H50" s="2127"/>
      <c r="I50" s="2127"/>
      <c r="J50" s="2127"/>
      <c r="K50" s="2127"/>
      <c r="L50" s="2127"/>
      <c r="M50" s="2127"/>
      <c r="N50" s="2127"/>
      <c r="O50" s="2127"/>
      <c r="P50" s="2127"/>
      <c r="Q50" s="2127"/>
      <c r="R50" s="2127"/>
      <c r="S50" s="2127"/>
      <c r="T50" s="2127"/>
      <c r="U50" s="2127"/>
      <c r="V50" s="2127"/>
      <c r="W50" s="2127"/>
      <c r="X50" s="2127"/>
      <c r="Y50" s="2127"/>
      <c r="Z50" s="2127"/>
      <c r="AA50" s="2127"/>
      <c r="AB50" s="2127"/>
      <c r="AC50" s="2127"/>
      <c r="AD50" s="2127"/>
      <c r="AE50" s="2127"/>
      <c r="AF50" s="2127"/>
      <c r="AG50" s="2127"/>
      <c r="AH50" s="2127"/>
      <c r="AI50" s="2127"/>
      <c r="AJ50" s="212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0" t="s">
        <v>600</v>
      </c>
      <c r="C52" s="2100"/>
      <c r="D52" s="575"/>
      <c r="E52" s="2028" t="s">
        <v>2413</v>
      </c>
      <c r="F52" s="2029"/>
      <c r="G52" s="2029"/>
      <c r="H52" s="2029"/>
      <c r="I52" s="2029"/>
      <c r="J52" s="2029"/>
      <c r="K52" s="2029"/>
      <c r="L52" s="2029"/>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30"/>
      <c r="AK52" s="575"/>
      <c r="AL52" s="575"/>
      <c r="AM52" s="575"/>
      <c r="AN52" s="570"/>
    </row>
    <row r="53" spans="1:50" s="571" customFormat="1" ht="12.75" customHeight="1">
      <c r="A53" s="575"/>
      <c r="B53" s="582"/>
      <c r="C53" s="582"/>
      <c r="D53" s="582"/>
      <c r="E53" s="2053"/>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74">
        <f>AO36</f>
        <v>0</v>
      </c>
      <c r="AL56" s="2075"/>
      <c r="AM56" s="207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2" t="s">
        <v>1487</v>
      </c>
      <c r="AF59" s="1922"/>
      <c r="AG59" s="1922"/>
      <c r="AH59" s="1922"/>
      <c r="AI59" s="1922"/>
      <c r="AJ59" s="1922"/>
      <c r="AK59" s="1922"/>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0" t="s">
        <v>600</v>
      </c>
      <c r="C62" s="2100"/>
      <c r="D62" s="582" t="s">
        <v>1488</v>
      </c>
      <c r="E62" s="2092" t="s">
        <v>2414</v>
      </c>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3"/>
      <c r="AB62" s="2093"/>
      <c r="AC62" s="2093"/>
      <c r="AD62" s="2093"/>
      <c r="AE62" s="2093"/>
      <c r="AF62" s="2093"/>
      <c r="AG62" s="2093"/>
      <c r="AH62" s="2093"/>
      <c r="AI62" s="2093"/>
      <c r="AJ62" s="2094"/>
      <c r="AK62" s="578"/>
      <c r="AL62" s="575"/>
      <c r="AM62" s="575"/>
      <c r="AN62" s="570"/>
      <c r="AO62" s="585">
        <f>IF($B62="yes",10,0)</f>
        <v>0</v>
      </c>
    </row>
    <row r="63" spans="1:50" s="571" customFormat="1" ht="12.75" customHeight="1">
      <c r="A63" s="573"/>
      <c r="B63" s="575"/>
      <c r="C63" s="575"/>
      <c r="D63" s="586"/>
      <c r="E63" s="2095"/>
      <c r="F63" s="2096"/>
      <c r="G63" s="2096"/>
      <c r="H63" s="2096"/>
      <c r="I63" s="2096"/>
      <c r="J63" s="2096"/>
      <c r="K63" s="2096"/>
      <c r="L63" s="2096"/>
      <c r="M63" s="2096"/>
      <c r="N63" s="2096"/>
      <c r="O63" s="2096"/>
      <c r="P63" s="2096"/>
      <c r="Q63" s="2096"/>
      <c r="R63" s="2096"/>
      <c r="S63" s="2096"/>
      <c r="T63" s="2096"/>
      <c r="U63" s="2096"/>
      <c r="V63" s="2096"/>
      <c r="W63" s="2096"/>
      <c r="X63" s="2096"/>
      <c r="Y63" s="2096"/>
      <c r="Z63" s="2096"/>
      <c r="AA63" s="2096"/>
      <c r="AB63" s="2096"/>
      <c r="AC63" s="2096"/>
      <c r="AD63" s="2096"/>
      <c r="AE63" s="2096"/>
      <c r="AF63" s="2096"/>
      <c r="AG63" s="2096"/>
      <c r="AH63" s="2096"/>
      <c r="AI63" s="2096"/>
      <c r="AJ63" s="2097"/>
      <c r="AK63" s="578"/>
      <c r="AL63" s="575"/>
      <c r="AM63" s="575"/>
      <c r="AN63" s="570"/>
      <c r="AO63" s="585">
        <f>IF($B68="yes",10,0)</f>
        <v>10</v>
      </c>
    </row>
    <row r="64" spans="1:50" s="571" customFormat="1" ht="12.75" customHeight="1">
      <c r="A64" s="573"/>
      <c r="B64" s="575"/>
      <c r="C64" s="575"/>
      <c r="D64" s="586"/>
      <c r="E64" s="2095"/>
      <c r="F64" s="2096"/>
      <c r="G64" s="2096"/>
      <c r="H64" s="2096"/>
      <c r="I64" s="2096"/>
      <c r="J64" s="2096"/>
      <c r="K64" s="2096"/>
      <c r="L64" s="2096"/>
      <c r="M64" s="2096"/>
      <c r="N64" s="2096"/>
      <c r="O64" s="2096"/>
      <c r="P64" s="2096"/>
      <c r="Q64" s="2096"/>
      <c r="R64" s="2096"/>
      <c r="S64" s="2096"/>
      <c r="T64" s="2096"/>
      <c r="U64" s="2096"/>
      <c r="V64" s="2096"/>
      <c r="W64" s="2096"/>
      <c r="X64" s="2096"/>
      <c r="Y64" s="2096"/>
      <c r="Z64" s="2096"/>
      <c r="AA64" s="2096"/>
      <c r="AB64" s="2096"/>
      <c r="AC64" s="2096"/>
      <c r="AD64" s="2096"/>
      <c r="AE64" s="2096"/>
      <c r="AF64" s="2096"/>
      <c r="AG64" s="2096"/>
      <c r="AH64" s="2096"/>
      <c r="AI64" s="2096"/>
      <c r="AJ64" s="2097"/>
      <c r="AK64" s="578"/>
      <c r="AL64" s="575"/>
      <c r="AM64" s="575"/>
      <c r="AN64" s="570"/>
      <c r="AO64" s="585">
        <f>IF($B75="yes",10,0)</f>
        <v>0</v>
      </c>
    </row>
    <row r="65" spans="1:42" s="571" customFormat="1" ht="12.75" customHeight="1">
      <c r="A65" s="573"/>
      <c r="B65" s="575"/>
      <c r="C65" s="575"/>
      <c r="D65" s="586"/>
      <c r="E65" s="2095"/>
      <c r="F65" s="2096"/>
      <c r="G65" s="2096"/>
      <c r="H65" s="2096"/>
      <c r="I65" s="2096"/>
      <c r="J65" s="2096"/>
      <c r="K65" s="2096"/>
      <c r="L65" s="2096"/>
      <c r="M65" s="2096"/>
      <c r="N65" s="2096"/>
      <c r="O65" s="2096"/>
      <c r="P65" s="2096"/>
      <c r="Q65" s="2096"/>
      <c r="R65" s="2096"/>
      <c r="S65" s="2096"/>
      <c r="T65" s="2096"/>
      <c r="U65" s="2096"/>
      <c r="V65" s="2096"/>
      <c r="W65" s="2096"/>
      <c r="X65" s="2096"/>
      <c r="Y65" s="2096"/>
      <c r="Z65" s="2096"/>
      <c r="AA65" s="2096"/>
      <c r="AB65" s="2096"/>
      <c r="AC65" s="2096"/>
      <c r="AD65" s="2096"/>
      <c r="AE65" s="2096"/>
      <c r="AF65" s="2096"/>
      <c r="AG65" s="2096"/>
      <c r="AH65" s="2096"/>
      <c r="AI65" s="2096"/>
      <c r="AJ65" s="2097"/>
      <c r="AK65" s="578"/>
      <c r="AL65" s="575"/>
      <c r="AM65" s="575"/>
      <c r="AN65" s="570"/>
      <c r="AO65" s="571">
        <f>IF(SUM(AO62:AO64)&gt;10,10,(SUM(AO62:AO64)))</f>
        <v>10</v>
      </c>
      <c r="AP65" s="609" t="s">
        <v>1489</v>
      </c>
    </row>
    <row r="66" spans="1:42" s="571" customFormat="1" ht="12.75" customHeight="1">
      <c r="A66" s="573"/>
      <c r="B66" s="575"/>
      <c r="C66" s="575"/>
      <c r="D66" s="586"/>
      <c r="E66" s="2122"/>
      <c r="F66" s="2123"/>
      <c r="G66" s="2123"/>
      <c r="H66" s="2123"/>
      <c r="I66" s="2123"/>
      <c r="J66" s="2123"/>
      <c r="K66" s="2123"/>
      <c r="L66" s="2123"/>
      <c r="M66" s="2123"/>
      <c r="N66" s="2123"/>
      <c r="O66" s="2123"/>
      <c r="P66" s="2123"/>
      <c r="Q66" s="2123"/>
      <c r="R66" s="2123"/>
      <c r="S66" s="2123"/>
      <c r="T66" s="2123"/>
      <c r="U66" s="2123"/>
      <c r="V66" s="2123"/>
      <c r="W66" s="2123"/>
      <c r="X66" s="2123"/>
      <c r="Y66" s="2123"/>
      <c r="Z66" s="2123"/>
      <c r="AA66" s="2123"/>
      <c r="AB66" s="2123"/>
      <c r="AC66" s="2123"/>
      <c r="AD66" s="2123"/>
      <c r="AE66" s="2123"/>
      <c r="AF66" s="2123"/>
      <c r="AG66" s="2123"/>
      <c r="AH66" s="2123"/>
      <c r="AI66" s="2123"/>
      <c r="AJ66" s="212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0" t="s">
        <v>554</v>
      </c>
      <c r="C68" s="2100"/>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5" t="s">
        <v>554</v>
      </c>
      <c r="F69" s="2100"/>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20" t="s">
        <v>600</v>
      </c>
      <c r="F70" s="2121"/>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20" t="s">
        <v>600</v>
      </c>
      <c r="F71" s="2121"/>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5" t="s">
        <v>554</v>
      </c>
      <c r="F73" s="2100"/>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0" t="s">
        <v>600</v>
      </c>
      <c r="C75" s="2100"/>
      <c r="D75" s="582" t="s">
        <v>1493</v>
      </c>
      <c r="E75" s="2028" t="s">
        <v>2001</v>
      </c>
      <c r="F75" s="2029"/>
      <c r="G75" s="2029"/>
      <c r="H75" s="2029"/>
      <c r="I75" s="2029"/>
      <c r="J75" s="2029"/>
      <c r="K75" s="2029"/>
      <c r="L75" s="2029"/>
      <c r="M75" s="2029"/>
      <c r="N75" s="2029"/>
      <c r="O75" s="2029"/>
      <c r="P75" s="2029"/>
      <c r="Q75" s="2029"/>
      <c r="R75" s="2029"/>
      <c r="S75" s="2029"/>
      <c r="T75" s="2029"/>
      <c r="U75" s="2029"/>
      <c r="V75" s="2029"/>
      <c r="W75" s="2029"/>
      <c r="X75" s="2029"/>
      <c r="Y75" s="2029"/>
      <c r="Z75" s="2029"/>
      <c r="AA75" s="2029"/>
      <c r="AB75" s="2029"/>
      <c r="AC75" s="2029"/>
      <c r="AD75" s="2029"/>
      <c r="AE75" s="2029"/>
      <c r="AF75" s="2029"/>
      <c r="AG75" s="2029"/>
      <c r="AH75" s="2029"/>
      <c r="AI75" s="2029"/>
      <c r="AJ75" s="2030"/>
      <c r="AK75" s="578"/>
      <c r="AL75" s="575"/>
      <c r="AM75" s="575"/>
      <c r="AN75" s="570"/>
    </row>
    <row r="76" spans="1:42" s="571" customFormat="1" ht="12.75" customHeight="1">
      <c r="A76" s="573"/>
      <c r="B76" s="575"/>
      <c r="C76" s="575"/>
      <c r="D76" s="585"/>
      <c r="E76" s="2053"/>
      <c r="F76" s="2054"/>
      <c r="G76" s="2054"/>
      <c r="H76" s="2054"/>
      <c r="I76" s="2054"/>
      <c r="J76" s="2054"/>
      <c r="K76" s="2054"/>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74">
        <f>IF(AK56&gt;0,0,AO65)</f>
        <v>10</v>
      </c>
      <c r="AL78" s="2075"/>
      <c r="AM78" s="207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2" t="s">
        <v>1478</v>
      </c>
      <c r="AF81" s="1922"/>
      <c r="AG81" s="1922"/>
      <c r="AH81" s="1922"/>
      <c r="AI81" s="1922"/>
      <c r="AJ81" s="1922"/>
      <c r="AK81" s="1922"/>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0" t="s">
        <v>600</v>
      </c>
      <c r="C84" s="2100"/>
      <c r="D84" s="582" t="s">
        <v>1488</v>
      </c>
      <c r="E84" s="2092" t="s">
        <v>1498</v>
      </c>
      <c r="F84" s="2093"/>
      <c r="G84" s="2093"/>
      <c r="H84" s="2093"/>
      <c r="I84" s="2093"/>
      <c r="J84" s="2093"/>
      <c r="K84" s="2093"/>
      <c r="L84" s="2093"/>
      <c r="M84" s="2093"/>
      <c r="N84" s="2093"/>
      <c r="O84" s="2093"/>
      <c r="P84" s="2093"/>
      <c r="Q84" s="2093"/>
      <c r="R84" s="2093"/>
      <c r="S84" s="2093"/>
      <c r="T84" s="2093"/>
      <c r="U84" s="2093"/>
      <c r="V84" s="2093"/>
      <c r="W84" s="2093"/>
      <c r="X84" s="2093"/>
      <c r="Y84" s="2093"/>
      <c r="Z84" s="2093"/>
      <c r="AA84" s="2093"/>
      <c r="AB84" s="2093"/>
      <c r="AC84" s="2093"/>
      <c r="AD84" s="2093"/>
      <c r="AE84" s="2093"/>
      <c r="AF84" s="2093"/>
      <c r="AG84" s="2093"/>
      <c r="AH84" s="2093"/>
      <c r="AI84" s="2093"/>
      <c r="AJ84" s="2094"/>
      <c r="AK84" s="578"/>
      <c r="AL84" s="575"/>
      <c r="AM84" s="575"/>
      <c r="AN84" s="570"/>
    </row>
    <row r="85" spans="1:43" s="571" customFormat="1" ht="12.75" customHeight="1">
      <c r="A85" s="573"/>
      <c r="B85" s="574"/>
      <c r="C85" s="574"/>
      <c r="D85" s="574"/>
      <c r="E85" s="2095"/>
      <c r="F85" s="2096"/>
      <c r="G85" s="2096"/>
      <c r="H85" s="2096"/>
      <c r="I85" s="2096"/>
      <c r="J85" s="2096"/>
      <c r="K85" s="2096"/>
      <c r="L85" s="2096"/>
      <c r="M85" s="2096"/>
      <c r="N85" s="2096"/>
      <c r="O85" s="2096"/>
      <c r="P85" s="2096"/>
      <c r="Q85" s="2096"/>
      <c r="R85" s="2096"/>
      <c r="S85" s="2096"/>
      <c r="T85" s="2096"/>
      <c r="U85" s="2096"/>
      <c r="V85" s="2096"/>
      <c r="W85" s="2096"/>
      <c r="X85" s="2096"/>
      <c r="Y85" s="2096"/>
      <c r="Z85" s="2096"/>
      <c r="AA85" s="2096"/>
      <c r="AB85" s="2096"/>
      <c r="AC85" s="2096"/>
      <c r="AD85" s="2096"/>
      <c r="AE85" s="2096"/>
      <c r="AF85" s="2096"/>
      <c r="AG85" s="2096"/>
      <c r="AH85" s="2096"/>
      <c r="AI85" s="2096"/>
      <c r="AJ85" s="209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8">
        <f>Application!AC739</f>
        <v>0.3</v>
      </c>
      <c r="F87" s="2089"/>
      <c r="G87" s="2089"/>
      <c r="H87" s="2089"/>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9">
        <f>0.6-ROUNDUP(E87,2)</f>
        <v>0.3</v>
      </c>
      <c r="F88" s="1896"/>
      <c r="G88" s="1896"/>
      <c r="H88" s="1896"/>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4">
        <f>IF(E88*200&gt;20,20,E88*200)</f>
        <v>20</v>
      </c>
      <c r="F89" s="2105"/>
      <c r="G89" s="2105"/>
      <c r="H89" s="2105"/>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0" t="s">
        <v>554</v>
      </c>
      <c r="C92" s="2100"/>
      <c r="D92" s="582" t="s">
        <v>1490</v>
      </c>
      <c r="E92" s="2092" t="s">
        <v>1986</v>
      </c>
      <c r="F92" s="2093"/>
      <c r="G92" s="2093"/>
      <c r="H92" s="2093"/>
      <c r="I92" s="2093"/>
      <c r="J92" s="2093"/>
      <c r="K92" s="2093"/>
      <c r="L92" s="2093"/>
      <c r="M92" s="2093"/>
      <c r="N92" s="2093"/>
      <c r="O92" s="2093"/>
      <c r="P92" s="2093"/>
      <c r="Q92" s="2093"/>
      <c r="R92" s="2093"/>
      <c r="S92" s="2093"/>
      <c r="T92" s="2093"/>
      <c r="U92" s="2093"/>
      <c r="V92" s="2093"/>
      <c r="W92" s="2093"/>
      <c r="X92" s="2093"/>
      <c r="Y92" s="2093"/>
      <c r="Z92" s="2093"/>
      <c r="AA92" s="2093"/>
      <c r="AB92" s="2093"/>
      <c r="AC92" s="2093"/>
      <c r="AD92" s="2093"/>
      <c r="AE92" s="2093"/>
      <c r="AF92" s="2093"/>
      <c r="AG92" s="2093"/>
      <c r="AH92" s="2093"/>
      <c r="AI92" s="2093"/>
      <c r="AJ92" s="2094"/>
      <c r="AK92" s="578"/>
      <c r="AL92" s="575"/>
      <c r="AM92" s="575"/>
      <c r="AN92" s="570"/>
    </row>
    <row r="93" spans="1:43" s="571" customFormat="1" ht="12.75" customHeight="1">
      <c r="A93" s="573"/>
      <c r="B93" s="574"/>
      <c r="C93" s="574"/>
      <c r="D93" s="574"/>
      <c r="E93" s="2095"/>
      <c r="F93" s="2096"/>
      <c r="G93" s="2096"/>
      <c r="H93" s="2096"/>
      <c r="I93" s="2096"/>
      <c r="J93" s="2096"/>
      <c r="K93" s="2096"/>
      <c r="L93" s="2096"/>
      <c r="M93" s="2096"/>
      <c r="N93" s="2096"/>
      <c r="O93" s="2096"/>
      <c r="P93" s="2096"/>
      <c r="Q93" s="2096"/>
      <c r="R93" s="2096"/>
      <c r="S93" s="2096"/>
      <c r="T93" s="2096"/>
      <c r="U93" s="2096"/>
      <c r="V93" s="2096"/>
      <c r="W93" s="2096"/>
      <c r="X93" s="2096"/>
      <c r="Y93" s="2096"/>
      <c r="Z93" s="2096"/>
      <c r="AA93" s="2096"/>
      <c r="AB93" s="2096"/>
      <c r="AC93" s="2096"/>
      <c r="AD93" s="2096"/>
      <c r="AE93" s="2096"/>
      <c r="AF93" s="2096"/>
      <c r="AG93" s="2096"/>
      <c r="AH93" s="2096"/>
      <c r="AI93" s="2096"/>
      <c r="AJ93" s="2097"/>
      <c r="AK93" s="578"/>
      <c r="AL93" s="575"/>
      <c r="AM93" s="575"/>
      <c r="AN93" s="570"/>
    </row>
    <row r="94" spans="1:43" s="571" customFormat="1" ht="12.75" customHeight="1">
      <c r="A94" s="573"/>
      <c r="B94" s="574"/>
      <c r="C94" s="574"/>
      <c r="D94" s="574"/>
      <c r="E94" s="2095"/>
      <c r="F94" s="2096"/>
      <c r="G94" s="2096"/>
      <c r="H94" s="2096"/>
      <c r="I94" s="2096"/>
      <c r="J94" s="2096"/>
      <c r="K94" s="2096"/>
      <c r="L94" s="2096"/>
      <c r="M94" s="2096"/>
      <c r="N94" s="2096"/>
      <c r="O94" s="2096"/>
      <c r="P94" s="2096"/>
      <c r="Q94" s="2096"/>
      <c r="R94" s="2096"/>
      <c r="S94" s="2096"/>
      <c r="T94" s="2096"/>
      <c r="U94" s="2096"/>
      <c r="V94" s="2096"/>
      <c r="W94" s="2096"/>
      <c r="X94" s="2096"/>
      <c r="Y94" s="2096"/>
      <c r="Z94" s="2096"/>
      <c r="AA94" s="2096"/>
      <c r="AB94" s="2096"/>
      <c r="AC94" s="2096"/>
      <c r="AD94" s="2096"/>
      <c r="AE94" s="2096"/>
      <c r="AF94" s="2096"/>
      <c r="AG94" s="2096"/>
      <c r="AH94" s="2096"/>
      <c r="AI94" s="2096"/>
      <c r="AJ94" s="2097"/>
      <c r="AK94" s="578"/>
      <c r="AL94" s="575"/>
      <c r="AM94" s="575"/>
      <c r="AN94" s="570"/>
    </row>
    <row r="95" spans="1:43" s="571" customFormat="1" ht="12.75" customHeight="1">
      <c r="A95" s="573"/>
      <c r="B95" s="574"/>
      <c r="C95" s="574"/>
      <c r="D95" s="574"/>
      <c r="E95" s="2095"/>
      <c r="F95" s="2096"/>
      <c r="G95" s="2096"/>
      <c r="H95" s="2096"/>
      <c r="I95" s="2096"/>
      <c r="J95" s="2096"/>
      <c r="K95" s="2096"/>
      <c r="L95" s="2096"/>
      <c r="M95" s="2096"/>
      <c r="N95" s="2096"/>
      <c r="O95" s="2096"/>
      <c r="P95" s="2096"/>
      <c r="Q95" s="2096"/>
      <c r="R95" s="2096"/>
      <c r="S95" s="2096"/>
      <c r="T95" s="2096"/>
      <c r="U95" s="2096"/>
      <c r="V95" s="2096"/>
      <c r="W95" s="2096"/>
      <c r="X95" s="2096"/>
      <c r="Y95" s="2096"/>
      <c r="Z95" s="2096"/>
      <c r="AA95" s="2096"/>
      <c r="AB95" s="2096"/>
      <c r="AC95" s="2096"/>
      <c r="AD95" s="2096"/>
      <c r="AE95" s="2096"/>
      <c r="AF95" s="2096"/>
      <c r="AG95" s="2096"/>
      <c r="AH95" s="2096"/>
      <c r="AI95" s="2096"/>
      <c r="AJ95" s="209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8">
        <f>Application!AC739</f>
        <v>0.3</v>
      </c>
      <c r="F97" s="2089"/>
      <c r="G97" s="2089"/>
      <c r="H97" s="2089"/>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8">
        <f ca="1">SUMIF(Application!AC714:AG738,0.2,Application!G714:J738)/Application!G739+SUMIF(Application!AC714:AG738,0.25,Application!G714:J738)/Application!G739+SUMIF(Application!AC714:AG738,0.3,Application!G714:J738)/Application!G739</f>
        <v>1</v>
      </c>
      <c r="F98" s="2089"/>
      <c r="G98" s="2089"/>
      <c r="H98" s="2089"/>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8">
        <f ca="1">SUMIF(Application!AC714:AG738,0.35,Application!G714:J738)/Application!G739+SUMIF(Application!AC714:AG738,0.4,Application!G714:J738)/Application!G739+SUMIF(Application!AC714:AG738,0.45,Application!G714:J738)/Application!G739+SUMIF(Application!AC714:AG738,0.5,Application!G714:J738)/Application!G739</f>
        <v>0</v>
      </c>
      <c r="F99" s="2089"/>
      <c r="G99" s="2089"/>
      <c r="H99" s="2089"/>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6">
        <f ca="1">IF(AND(E97&lt;=0.6,E98&gt;=0.1,OR(E99&gt;=0.1,E98&gt;=0.2)),20,0)</f>
        <v>20</v>
      </c>
      <c r="F100" s="2087"/>
      <c r="G100" s="2087"/>
      <c r="H100" s="2087"/>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74">
        <f ca="1">MAX(AP89,AP100)</f>
        <v>20</v>
      </c>
      <c r="AL103" s="2075"/>
      <c r="AM103" s="207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2" t="s">
        <v>1487</v>
      </c>
      <c r="AF106" s="1922"/>
      <c r="AG106" s="1922"/>
      <c r="AH106" s="1922"/>
      <c r="AI106" s="1922"/>
      <c r="AJ106" s="1922"/>
      <c r="AK106" s="1922"/>
      <c r="AL106" s="575"/>
      <c r="AM106" s="575"/>
      <c r="AN106" s="570"/>
      <c r="AO106" s="571" t="str">
        <f>Application!B714</f>
        <v>2 Bedrooms</v>
      </c>
      <c r="AQ106" s="571">
        <f>Application!O714</f>
        <v>653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653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f>Application!B716</f>
        <v>0</v>
      </c>
      <c r="AQ108" s="571">
        <f>Application!O716</f>
        <v>0</v>
      </c>
    </row>
    <row r="109" spans="1:49" s="571" customFormat="1" ht="12.75" customHeight="1">
      <c r="A109" s="575"/>
      <c r="B109" s="2100" t="s">
        <v>554</v>
      </c>
      <c r="C109" s="2100"/>
      <c r="D109" s="582" t="s">
        <v>1488</v>
      </c>
      <c r="E109" s="2092" t="s">
        <v>2121</v>
      </c>
      <c r="F109" s="2093"/>
      <c r="G109" s="2093"/>
      <c r="H109" s="2093"/>
      <c r="I109" s="2093"/>
      <c r="J109" s="2093"/>
      <c r="K109" s="2093"/>
      <c r="L109" s="2093"/>
      <c r="M109" s="2093"/>
      <c r="N109" s="2093"/>
      <c r="O109" s="2093"/>
      <c r="P109" s="2093"/>
      <c r="Q109" s="2093"/>
      <c r="R109" s="2093"/>
      <c r="S109" s="2093"/>
      <c r="T109" s="2093"/>
      <c r="U109" s="2093"/>
      <c r="V109" s="2093"/>
      <c r="W109" s="2093"/>
      <c r="X109" s="2093"/>
      <c r="Y109" s="2093"/>
      <c r="Z109" s="2093"/>
      <c r="AA109" s="2093"/>
      <c r="AB109" s="2093"/>
      <c r="AC109" s="2093"/>
      <c r="AD109" s="2093"/>
      <c r="AE109" s="2093"/>
      <c r="AF109" s="2093"/>
      <c r="AG109" s="2093"/>
      <c r="AH109" s="2093"/>
      <c r="AI109" s="2093"/>
      <c r="AJ109" s="2094"/>
      <c r="AK109" s="575"/>
      <c r="AL109" s="575"/>
      <c r="AM109" s="575"/>
      <c r="AN109" s="570"/>
      <c r="AO109" s="571">
        <f>Application!B717</f>
        <v>0</v>
      </c>
      <c r="AQ109" s="571">
        <f>Application!O717</f>
        <v>0</v>
      </c>
      <c r="AU109" s="571" t="s">
        <v>2103</v>
      </c>
      <c r="AV109" s="630" t="s">
        <v>2104</v>
      </c>
      <c r="AW109" s="571" t="s">
        <v>2105</v>
      </c>
    </row>
    <row r="110" spans="1:49" s="571" customFormat="1" ht="12.75" customHeight="1">
      <c r="A110" s="575"/>
      <c r="B110" s="574"/>
      <c r="C110" s="574"/>
      <c r="D110" s="574"/>
      <c r="E110" s="2095"/>
      <c r="F110" s="2096"/>
      <c r="G110" s="2096"/>
      <c r="H110" s="2096"/>
      <c r="I110" s="2096"/>
      <c r="J110" s="2096"/>
      <c r="K110" s="2096"/>
      <c r="L110" s="2096"/>
      <c r="M110" s="2096"/>
      <c r="N110" s="2096"/>
      <c r="O110" s="2096"/>
      <c r="P110" s="2096"/>
      <c r="Q110" s="2096"/>
      <c r="R110" s="2096"/>
      <c r="S110" s="2096"/>
      <c r="T110" s="2096"/>
      <c r="U110" s="2096"/>
      <c r="V110" s="2096"/>
      <c r="W110" s="2096"/>
      <c r="X110" s="2096"/>
      <c r="Y110" s="2096"/>
      <c r="Z110" s="2096"/>
      <c r="AA110" s="2096"/>
      <c r="AB110" s="2096"/>
      <c r="AC110" s="2096"/>
      <c r="AD110" s="2096"/>
      <c r="AE110" s="2096"/>
      <c r="AF110" s="2096"/>
      <c r="AG110" s="2096"/>
      <c r="AH110" s="2096"/>
      <c r="AI110" s="2096"/>
      <c r="AJ110" s="2097"/>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5"/>
      <c r="F111" s="2096"/>
      <c r="G111" s="2096"/>
      <c r="H111" s="2096"/>
      <c r="I111" s="2096"/>
      <c r="J111" s="2096"/>
      <c r="K111" s="2096"/>
      <c r="L111" s="2096"/>
      <c r="M111" s="2096"/>
      <c r="N111" s="2096"/>
      <c r="O111" s="2096"/>
      <c r="P111" s="2096"/>
      <c r="Q111" s="2096"/>
      <c r="R111" s="2096"/>
      <c r="S111" s="2096"/>
      <c r="T111" s="2096"/>
      <c r="U111" s="2096"/>
      <c r="V111" s="2096"/>
      <c r="W111" s="2096"/>
      <c r="X111" s="2096"/>
      <c r="Y111" s="2096"/>
      <c r="Z111" s="2096"/>
      <c r="AA111" s="2096"/>
      <c r="AB111" s="2096"/>
      <c r="AC111" s="2096"/>
      <c r="AD111" s="2096"/>
      <c r="AE111" s="2096"/>
      <c r="AF111" s="2096"/>
      <c r="AG111" s="2096"/>
      <c r="AH111" s="2096"/>
      <c r="AI111" s="2096"/>
      <c r="AJ111" s="2097"/>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95"/>
      <c r="F112" s="2096"/>
      <c r="G112" s="2096"/>
      <c r="H112" s="2096"/>
      <c r="I112" s="2096"/>
      <c r="J112" s="2096"/>
      <c r="K112" s="2096"/>
      <c r="L112" s="2096"/>
      <c r="M112" s="2096"/>
      <c r="N112" s="2096"/>
      <c r="O112" s="2096"/>
      <c r="P112" s="2096"/>
      <c r="Q112" s="2096"/>
      <c r="R112" s="2096"/>
      <c r="S112" s="2096"/>
      <c r="T112" s="2096"/>
      <c r="U112" s="2096"/>
      <c r="V112" s="2096"/>
      <c r="W112" s="2096"/>
      <c r="X112" s="2096"/>
      <c r="Y112" s="2096"/>
      <c r="Z112" s="2096"/>
      <c r="AA112" s="2096"/>
      <c r="AB112" s="2096"/>
      <c r="AC112" s="2096"/>
      <c r="AD112" s="2096"/>
      <c r="AE112" s="2096"/>
      <c r="AF112" s="2096"/>
      <c r="AG112" s="2096"/>
      <c r="AH112" s="2096"/>
      <c r="AI112" s="2096"/>
      <c r="AJ112" s="2097"/>
      <c r="AK112" s="575"/>
      <c r="AL112" s="575"/>
      <c r="AM112" s="575"/>
      <c r="AN112" s="570"/>
      <c r="AO112" s="571">
        <f>Application!B720</f>
        <v>0</v>
      </c>
      <c r="AQ112" s="571">
        <f>Application!O720</f>
        <v>0</v>
      </c>
      <c r="AU112" s="892" t="str">
        <f>O118</f>
        <v>2-bedroom</v>
      </c>
      <c r="AV112" s="571">
        <f t="array" ref="AV112">SUM(IF(Application!B714:F738="2 Bedrooms",Application!G714:J738))</f>
        <v>17</v>
      </c>
      <c r="AW112" s="1048">
        <f>AV112/AV116</f>
        <v>1</v>
      </c>
    </row>
    <row r="113" spans="1:52" s="571" customFormat="1" ht="12.75" customHeight="1">
      <c r="A113" s="575"/>
      <c r="B113" s="574"/>
      <c r="C113" s="574"/>
      <c r="D113" s="574"/>
      <c r="E113" s="2095"/>
      <c r="F113" s="2096"/>
      <c r="G113" s="2096"/>
      <c r="H113" s="2096"/>
      <c r="I113" s="2096"/>
      <c r="J113" s="2096"/>
      <c r="K113" s="2096"/>
      <c r="L113" s="2096"/>
      <c r="M113" s="2096"/>
      <c r="N113" s="2096"/>
      <c r="O113" s="2096"/>
      <c r="P113" s="2096"/>
      <c r="Q113" s="2096"/>
      <c r="R113" s="2096"/>
      <c r="S113" s="2096"/>
      <c r="T113" s="2096"/>
      <c r="U113" s="2096"/>
      <c r="V113" s="2096"/>
      <c r="W113" s="2096"/>
      <c r="X113" s="2096"/>
      <c r="Y113" s="2096"/>
      <c r="Z113" s="2096"/>
      <c r="AA113" s="2096"/>
      <c r="AB113" s="2096"/>
      <c r="AC113" s="2096"/>
      <c r="AD113" s="2096"/>
      <c r="AE113" s="2096"/>
      <c r="AF113" s="2096"/>
      <c r="AG113" s="2096"/>
      <c r="AH113" s="2096"/>
      <c r="AI113" s="2096"/>
      <c r="AJ113" s="2097"/>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95"/>
      <c r="F114" s="2096"/>
      <c r="G114" s="2096"/>
      <c r="H114" s="2096"/>
      <c r="I114" s="2096"/>
      <c r="J114" s="2096"/>
      <c r="K114" s="2096"/>
      <c r="L114" s="2096"/>
      <c r="M114" s="2096"/>
      <c r="N114" s="2096"/>
      <c r="O114" s="2096"/>
      <c r="P114" s="2096"/>
      <c r="Q114" s="2096"/>
      <c r="R114" s="2096"/>
      <c r="S114" s="2096"/>
      <c r="T114" s="2096"/>
      <c r="U114" s="2096"/>
      <c r="V114" s="2096"/>
      <c r="W114" s="2096"/>
      <c r="X114" s="2096"/>
      <c r="Y114" s="2096"/>
      <c r="Z114" s="2096"/>
      <c r="AA114" s="2096"/>
      <c r="AB114" s="2096"/>
      <c r="AC114" s="2096"/>
      <c r="AD114" s="2096"/>
      <c r="AE114" s="2096"/>
      <c r="AF114" s="2096"/>
      <c r="AG114" s="2096"/>
      <c r="AH114" s="2096"/>
      <c r="AI114" s="2096"/>
      <c r="AJ114" s="209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5"/>
      <c r="F115" s="2096"/>
      <c r="G115" s="2096"/>
      <c r="H115" s="2096"/>
      <c r="I115" s="2096"/>
      <c r="J115" s="2096"/>
      <c r="K115" s="2096"/>
      <c r="L115" s="2096"/>
      <c r="M115" s="2096"/>
      <c r="N115" s="2096"/>
      <c r="O115" s="2096"/>
      <c r="P115" s="2096"/>
      <c r="Q115" s="2096"/>
      <c r="R115" s="2096"/>
      <c r="S115" s="2096"/>
      <c r="T115" s="2096"/>
      <c r="U115" s="2096"/>
      <c r="V115" s="2096"/>
      <c r="W115" s="2096"/>
      <c r="X115" s="2096"/>
      <c r="Y115" s="2096"/>
      <c r="Z115" s="2096"/>
      <c r="AA115" s="2096"/>
      <c r="AB115" s="2096"/>
      <c r="AC115" s="2096"/>
      <c r="AD115" s="2096"/>
      <c r="AE115" s="2096"/>
      <c r="AF115" s="2096"/>
      <c r="AG115" s="2096"/>
      <c r="AH115" s="2096"/>
      <c r="AI115" s="2096"/>
      <c r="AJ115" s="209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5"/>
      <c r="F116" s="2096"/>
      <c r="G116" s="2096"/>
      <c r="H116" s="2096"/>
      <c r="I116" s="2096"/>
      <c r="J116" s="2096"/>
      <c r="K116" s="2096"/>
      <c r="L116" s="2096"/>
      <c r="M116" s="2096"/>
      <c r="N116" s="2096"/>
      <c r="O116" s="2096"/>
      <c r="P116" s="2096"/>
      <c r="Q116" s="2096"/>
      <c r="R116" s="2096"/>
      <c r="S116" s="2096"/>
      <c r="T116" s="2096"/>
      <c r="U116" s="2096"/>
      <c r="V116" s="2096"/>
      <c r="W116" s="2096"/>
      <c r="X116" s="2096"/>
      <c r="Y116" s="2096"/>
      <c r="Z116" s="2096"/>
      <c r="AA116" s="2096"/>
      <c r="AB116" s="2096"/>
      <c r="AC116" s="2096"/>
      <c r="AD116" s="2096"/>
      <c r="AE116" s="2096"/>
      <c r="AF116" s="2096"/>
      <c r="AG116" s="2096"/>
      <c r="AH116" s="2096"/>
      <c r="AI116" s="2096"/>
      <c r="AJ116" s="2097"/>
      <c r="AK116" s="575"/>
      <c r="AL116" s="575"/>
      <c r="AM116" s="575"/>
      <c r="AN116" s="570"/>
      <c r="AO116" s="571">
        <f>Application!B724</f>
        <v>0</v>
      </c>
      <c r="AQ116" s="571">
        <f>Application!O724</f>
        <v>0</v>
      </c>
      <c r="AV116" s="571">
        <f>SUM(AV110:AV115)</f>
        <v>17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8" t="s">
        <v>1766</v>
      </c>
      <c r="F118" s="2089"/>
      <c r="G118" s="2089"/>
      <c r="H118" s="2089"/>
      <c r="I118" s="612"/>
      <c r="J118" s="2089" t="s">
        <v>1811</v>
      </c>
      <c r="K118" s="2089"/>
      <c r="L118" s="2089"/>
      <c r="M118" s="2089"/>
      <c r="N118" s="612"/>
      <c r="O118" s="2089" t="s">
        <v>1812</v>
      </c>
      <c r="P118" s="2089"/>
      <c r="Q118" s="2089"/>
      <c r="R118" s="2089"/>
      <c r="S118" s="612"/>
      <c r="T118" s="2089" t="s">
        <v>1507</v>
      </c>
      <c r="U118" s="2089"/>
      <c r="V118" s="2089"/>
      <c r="W118" s="2089"/>
      <c r="X118" s="612"/>
      <c r="Y118" s="2089" t="s">
        <v>1813</v>
      </c>
      <c r="Z118" s="2089"/>
      <c r="AA118" s="2089"/>
      <c r="AB118" s="2089"/>
      <c r="AC118" s="612"/>
      <c r="AD118" s="2089" t="s">
        <v>1814</v>
      </c>
      <c r="AE118" s="2089"/>
      <c r="AF118" s="2089"/>
      <c r="AG118" s="208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90"/>
      <c r="F121" s="2091"/>
      <c r="G121" s="2091"/>
      <c r="H121" s="2091"/>
      <c r="I121" s="900"/>
      <c r="J121" s="2091"/>
      <c r="K121" s="2091"/>
      <c r="L121" s="2091"/>
      <c r="M121" s="2091"/>
      <c r="N121" s="900"/>
      <c r="O121" s="2091">
        <v>2355</v>
      </c>
      <c r="P121" s="2091"/>
      <c r="Q121" s="2091"/>
      <c r="R121" s="2091"/>
      <c r="S121" s="900"/>
      <c r="T121" s="2091"/>
      <c r="U121" s="2091"/>
      <c r="V121" s="2091"/>
      <c r="W121" s="2091"/>
      <c r="X121" s="900"/>
      <c r="Y121" s="2091"/>
      <c r="Z121" s="2091"/>
      <c r="AA121" s="2091"/>
      <c r="AB121" s="2091"/>
      <c r="AC121" s="900"/>
      <c r="AD121" s="2091"/>
      <c r="AE121" s="2091"/>
      <c r="AF121" s="2091"/>
      <c r="AG121" s="209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8">
        <f>Application!DX649</f>
        <v>0</v>
      </c>
      <c r="F124" s="2099"/>
      <c r="G124" s="2099"/>
      <c r="H124" s="2099"/>
      <c r="I124" s="900"/>
      <c r="J124" s="2099">
        <f>Application!EC649</f>
        <v>0</v>
      </c>
      <c r="K124" s="2099"/>
      <c r="L124" s="2099"/>
      <c r="M124" s="2099"/>
      <c r="N124" s="900"/>
      <c r="O124" s="2099">
        <f>Application!EH649</f>
        <v>653</v>
      </c>
      <c r="P124" s="2099"/>
      <c r="Q124" s="2099"/>
      <c r="R124" s="2099"/>
      <c r="S124" s="904"/>
      <c r="T124" s="2099">
        <f>Application!EM649</f>
        <v>0</v>
      </c>
      <c r="U124" s="2099"/>
      <c r="V124" s="2099"/>
      <c r="W124" s="2099"/>
      <c r="X124" s="904"/>
      <c r="Y124" s="2099">
        <f>Application!ER649</f>
        <v>0</v>
      </c>
      <c r="Z124" s="2099"/>
      <c r="AA124" s="2099"/>
      <c r="AB124" s="2099"/>
      <c r="AC124" s="904"/>
      <c r="AD124" s="2099">
        <f>Application!EW649</f>
        <v>0</v>
      </c>
      <c r="AE124" s="2099"/>
      <c r="AF124" s="2099"/>
      <c r="AG124" s="209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5" t="e">
        <f>(E121-E124)/E121</f>
        <v>#DIV/0!</v>
      </c>
      <c r="F127" s="1896"/>
      <c r="G127" s="1896"/>
      <c r="H127" s="1897"/>
      <c r="I127" s="612"/>
      <c r="J127" s="1895" t="e">
        <f>(J121-J124)/J121</f>
        <v>#DIV/0!</v>
      </c>
      <c r="K127" s="1896"/>
      <c r="L127" s="1896"/>
      <c r="M127" s="1897"/>
      <c r="N127" s="612"/>
      <c r="O127" s="1895">
        <f>(O121-O124)/O121</f>
        <v>0.72271762208067936</v>
      </c>
      <c r="P127" s="1896"/>
      <c r="Q127" s="1896"/>
      <c r="R127" s="1897"/>
      <c r="S127" s="612"/>
      <c r="T127" s="1895" t="e">
        <f>(T121-T124)/T121</f>
        <v>#DIV/0!</v>
      </c>
      <c r="U127" s="1896"/>
      <c r="V127" s="1896"/>
      <c r="W127" s="1897"/>
      <c r="X127" s="612"/>
      <c r="Y127" s="1895" t="e">
        <f>(Y121-Y124)/Y121</f>
        <v>#DIV/0!</v>
      </c>
      <c r="Z127" s="1896"/>
      <c r="AA127" s="1896"/>
      <c r="AB127" s="1897"/>
      <c r="AC127" s="612"/>
      <c r="AD127" s="1895" t="e">
        <f>(AD121-AD124)/AD121</f>
        <v>#DIV/0!</v>
      </c>
      <c r="AE127" s="1896"/>
      <c r="AF127" s="1896"/>
      <c r="AG127" s="189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1" t="e">
        <f>IF(((E127-0.1)*AW110)&gt;0,((E127-0.1)*AW110),0)</f>
        <v>#DIV/0!</v>
      </c>
      <c r="F130" s="2102"/>
      <c r="G130" s="2102"/>
      <c r="H130" s="2103"/>
      <c r="I130" s="612"/>
      <c r="J130" s="2101" t="e">
        <f>IF(((J127-0.1)*AW111)&gt;0,((J127-0.1)*AW111),0)</f>
        <v>#DIV/0!</v>
      </c>
      <c r="K130" s="2102"/>
      <c r="L130" s="2102"/>
      <c r="M130" s="2103"/>
      <c r="N130" s="612"/>
      <c r="O130" s="2101">
        <f>IF(((O127-0.1)*AW112)&gt;0,((O127-0.1)*AW112),0)</f>
        <v>0.62271762208067938</v>
      </c>
      <c r="P130" s="2102"/>
      <c r="Q130" s="2102"/>
      <c r="R130" s="2103"/>
      <c r="S130" s="612"/>
      <c r="T130" s="2101" t="e">
        <f>IF(((T127-0.1)*AW113)&gt;0,((T127-0.1)*AW113),0)</f>
        <v>#DIV/0!</v>
      </c>
      <c r="U130" s="2102"/>
      <c r="V130" s="2102"/>
      <c r="W130" s="2103"/>
      <c r="X130" s="612"/>
      <c r="Y130" s="2101" t="e">
        <f>IF(((Y127-0.1)*AW114)&gt;0,((Y127-0.1)*AW114),0)</f>
        <v>#DIV/0!</v>
      </c>
      <c r="Z130" s="2102"/>
      <c r="AA130" s="2102"/>
      <c r="AB130" s="2103"/>
      <c r="AC130" s="612"/>
      <c r="AD130" s="2101" t="e">
        <f>IF(((AD127-0.1)*AW115)&gt;0,((AD127-0.1)*AW115),0)</f>
        <v>#DIV/0!</v>
      </c>
      <c r="AE130" s="2102"/>
      <c r="AF130" s="2102"/>
      <c r="AG130" s="210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5">
        <f>ROUNDDOWN(SUMIF(E130:AG130,"&gt;0"),2)</f>
        <v>0.62</v>
      </c>
      <c r="F132" s="1896"/>
      <c r="G132" s="1896"/>
      <c r="H132" s="1897"/>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4">
        <f>IF((E132*100)&gt;10,10,E132*100)</f>
        <v>10</v>
      </c>
      <c r="F133" s="2075"/>
      <c r="G133" s="2075"/>
      <c r="H133" s="2076"/>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74">
        <f>E133</f>
        <v>10</v>
      </c>
      <c r="AL137" s="2075"/>
      <c r="AM137" s="207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22" t="s">
        <v>1487</v>
      </c>
      <c r="AF140" s="1922"/>
      <c r="AG140" s="1922"/>
      <c r="AH140" s="1922"/>
      <c r="AI140" s="1922"/>
      <c r="AJ140" s="1922"/>
      <c r="AK140" s="1922"/>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9" t="s">
        <v>1511</v>
      </c>
      <c r="AG142" s="1989"/>
      <c r="AH142" s="1989"/>
      <c r="AI142" s="1989"/>
      <c r="AJ142" s="1989"/>
      <c r="AK142" s="1989"/>
      <c r="AL142" s="1989"/>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9" t="s">
        <v>2625</v>
      </c>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80" t="s">
        <v>1514</v>
      </c>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24" t="s">
        <v>600</v>
      </c>
      <c r="AC149" s="202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80" t="s">
        <v>1516</v>
      </c>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9">
        <f>IF($AB$149="N/A",VLOOKUP($B$147,$AO$145:$AP$148,2,FALSE),VLOOKUP($B$152,$AO$150:$AP$153,2,FALSE))</f>
        <v>7</v>
      </c>
      <c r="AK155" s="194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9" t="s">
        <v>1525</v>
      </c>
      <c r="AG157" s="1989"/>
      <c r="AH157" s="1989"/>
      <c r="AI157" s="1989"/>
      <c r="AJ157" s="1989"/>
      <c r="AK157" s="1989"/>
      <c r="AL157" s="1989"/>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0" t="s">
        <v>1523</v>
      </c>
      <c r="D159" s="2080"/>
      <c r="E159" s="2080"/>
      <c r="F159" s="2080"/>
      <c r="G159" s="2080"/>
      <c r="H159" s="2080"/>
      <c r="I159" s="2080"/>
      <c r="J159" s="2080"/>
      <c r="K159" s="2080"/>
      <c r="L159" s="2080"/>
      <c r="M159" s="2080"/>
      <c r="N159" s="2080"/>
      <c r="O159" s="2080"/>
      <c r="P159" s="2080"/>
      <c r="Q159" s="2080"/>
      <c r="R159" s="2080"/>
      <c r="S159" s="2080"/>
      <c r="T159" s="2080"/>
      <c r="U159" s="2080"/>
      <c r="V159" s="2080"/>
      <c r="W159" s="2080"/>
      <c r="X159" s="2080"/>
      <c r="Y159" s="2080"/>
      <c r="Z159" s="2080"/>
      <c r="AA159" s="2080"/>
      <c r="AB159" s="2080"/>
      <c r="AC159" s="2080"/>
      <c r="AD159" s="2080"/>
      <c r="AE159" s="2080"/>
      <c r="AF159" s="2080"/>
      <c r="AG159" s="2080"/>
      <c r="AH159" s="2080"/>
      <c r="AI159" s="2080"/>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4" t="s">
        <v>600</v>
      </c>
      <c r="AD161" s="2024"/>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80" t="s">
        <v>1516</v>
      </c>
      <c r="D163" s="2080"/>
      <c r="E163" s="2080"/>
      <c r="F163" s="2080"/>
      <c r="G163" s="2080"/>
      <c r="H163" s="2080"/>
      <c r="I163" s="2080"/>
      <c r="J163" s="2080"/>
      <c r="K163" s="2080"/>
      <c r="L163" s="2080"/>
      <c r="M163" s="2080"/>
      <c r="N163" s="2080"/>
      <c r="O163" s="2080"/>
      <c r="P163" s="2080"/>
      <c r="Q163" s="2080"/>
      <c r="R163" s="2080"/>
      <c r="S163" s="2080"/>
      <c r="T163" s="2080"/>
      <c r="U163" s="2080"/>
      <c r="V163" s="2080"/>
      <c r="W163" s="2080"/>
      <c r="X163" s="2080"/>
      <c r="Y163" s="2080"/>
      <c r="Z163" s="2080"/>
      <c r="AA163" s="2080"/>
      <c r="AB163" s="2080"/>
      <c r="AC163" s="2080"/>
      <c r="AD163" s="2080"/>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9" t="s">
        <v>2754</v>
      </c>
      <c r="D167" s="2079"/>
      <c r="E167" s="2079"/>
      <c r="F167" s="2079"/>
      <c r="G167" s="2079"/>
      <c r="H167" s="2079"/>
      <c r="I167" s="2079"/>
      <c r="J167" s="2079"/>
      <c r="K167" s="2079"/>
      <c r="L167" s="2079"/>
      <c r="M167" s="2079"/>
      <c r="N167" s="2079"/>
      <c r="O167" s="2079"/>
      <c r="P167" s="2079"/>
      <c r="Q167" s="2079"/>
      <c r="R167" s="2079"/>
      <c r="S167" s="2079"/>
      <c r="T167" s="2079"/>
      <c r="U167" s="2079"/>
      <c r="V167" s="2079"/>
      <c r="W167" s="2079"/>
      <c r="X167" s="2079"/>
      <c r="Y167" s="2079"/>
      <c r="Z167" s="2079"/>
      <c r="AA167" s="2079"/>
      <c r="AB167" s="2079"/>
      <c r="AC167" s="2079"/>
      <c r="AD167" s="2079"/>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8">
        <f>IF($AC$161="N/A",VLOOKUP($C$159,$AO$159:$AP$162,2,FALSE),VLOOKUP($C$163,$AO$166:$AP$168,2,FALSE))</f>
        <v>3</v>
      </c>
      <c r="AK169" s="194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74">
        <f>$AJ$155+$AJ$169</f>
        <v>10</v>
      </c>
      <c r="AL172" s="2075"/>
      <c r="AM172" s="207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2" t="s">
        <v>1487</v>
      </c>
      <c r="AF175" s="1922"/>
      <c r="AG175" s="1922"/>
      <c r="AH175" s="1922"/>
      <c r="AI175" s="1922"/>
      <c r="AJ175" s="1922"/>
      <c r="AK175" s="1922"/>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7" t="s">
        <v>1542</v>
      </c>
      <c r="C177" s="2077"/>
      <c r="D177" s="2077"/>
      <c r="E177" s="2077"/>
      <c r="F177" s="2077"/>
      <c r="G177" s="2077"/>
      <c r="H177" s="2077"/>
      <c r="I177" s="2077"/>
      <c r="J177" s="2077"/>
      <c r="K177" s="2077"/>
      <c r="L177" s="2077"/>
      <c r="M177" s="2077"/>
      <c r="N177" s="2077"/>
      <c r="O177" s="2077"/>
      <c r="P177" s="2077"/>
      <c r="Q177" s="2077"/>
      <c r="R177" s="2077"/>
      <c r="S177" s="2077"/>
      <c r="T177" s="2077"/>
      <c r="U177" s="2077"/>
      <c r="V177" s="2077"/>
      <c r="W177" s="2077"/>
      <c r="X177" s="2077"/>
      <c r="Y177" s="2077"/>
      <c r="Z177" s="2077"/>
      <c r="AA177" s="2077"/>
      <c r="AB177" s="2077"/>
      <c r="AC177" s="2077"/>
      <c r="AD177" s="571"/>
      <c r="AE177" s="571"/>
      <c r="AF177" s="1989" t="s">
        <v>1536</v>
      </c>
      <c r="AG177" s="1989"/>
      <c r="AH177" s="1989"/>
      <c r="AI177" s="1989"/>
      <c r="AJ177" s="1989"/>
      <c r="AK177" s="1989"/>
      <c r="AL177" s="1989"/>
      <c r="AN177" s="632"/>
      <c r="AP177" s="585" t="s">
        <v>1104</v>
      </c>
      <c r="AQ177" s="585">
        <v>10</v>
      </c>
    </row>
    <row r="178" spans="1:45" s="585" customFormat="1" ht="12.75" customHeight="1">
      <c r="A178" s="571"/>
      <c r="B178" s="2078" t="s">
        <v>1987</v>
      </c>
      <c r="C178" s="2078"/>
      <c r="D178" s="2078"/>
      <c r="E178" s="2078"/>
      <c r="F178" s="2078"/>
      <c r="G178" s="2078"/>
      <c r="H178" s="2078"/>
      <c r="I178" s="2078"/>
      <c r="J178" s="2078"/>
      <c r="K178" s="2078"/>
      <c r="L178" s="2078"/>
      <c r="M178" s="2078"/>
      <c r="N178" s="2078"/>
      <c r="O178" s="2078"/>
      <c r="P178" s="2078"/>
      <c r="Q178" s="2078"/>
      <c r="R178" s="2078"/>
      <c r="S178" s="2078"/>
      <c r="T178" s="2079" t="s">
        <v>600</v>
      </c>
      <c r="U178" s="2079"/>
      <c r="V178" s="2079"/>
      <c r="W178" s="2079"/>
      <c r="X178" s="2079"/>
      <c r="Y178" s="2079"/>
      <c r="Z178" s="2079"/>
      <c r="AA178" s="2079"/>
      <c r="AB178" s="2079"/>
      <c r="AC178" s="2079"/>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16">
        <f>IF(AK78&gt;0,VLOOKUP($B$177,AP174:AQ180,2,FALSE),0)</f>
        <v>10</v>
      </c>
      <c r="AL180" s="1917"/>
      <c r="AM180" s="1918"/>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2" t="s">
        <v>1545</v>
      </c>
      <c r="AF183" s="1922"/>
      <c r="AG183" s="1922"/>
      <c r="AH183" s="1922"/>
      <c r="AI183" s="1922"/>
      <c r="AJ183" s="1922"/>
      <c r="AK183" s="192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1"/>
      <c r="C188" s="2071"/>
      <c r="D188" s="2071"/>
      <c r="E188" s="2071"/>
      <c r="F188" s="2071"/>
      <c r="G188" s="2071"/>
      <c r="H188" s="2071"/>
      <c r="I188" s="2071"/>
      <c r="J188" s="2071"/>
      <c r="K188" s="2071"/>
      <c r="L188" s="2071"/>
      <c r="M188" s="2071"/>
      <c r="N188" s="2071"/>
      <c r="O188" s="2071"/>
      <c r="P188" s="2071"/>
      <c r="Q188" s="2071"/>
      <c r="R188" s="2071"/>
      <c r="S188" s="2071"/>
      <c r="T188" s="2071"/>
      <c r="U188" s="2071"/>
      <c r="V188" s="2071"/>
      <c r="W188" s="2071"/>
      <c r="X188" s="2071"/>
      <c r="Y188" s="2071"/>
      <c r="Z188" s="2071"/>
      <c r="AA188" s="2071"/>
      <c r="AB188" s="2071"/>
      <c r="AC188" s="882"/>
      <c r="AD188" s="2061"/>
      <c r="AE188" s="2061"/>
      <c r="AF188" s="2061"/>
      <c r="AG188" s="2061"/>
      <c r="AH188" s="2061"/>
      <c r="AI188" s="2061"/>
      <c r="AJ188" s="2061"/>
      <c r="AK188" s="645"/>
    </row>
    <row r="189" spans="1:45">
      <c r="A189" s="640"/>
      <c r="B189" s="2071"/>
      <c r="C189" s="2071"/>
      <c r="D189" s="2071"/>
      <c r="E189" s="2071"/>
      <c r="F189" s="2071"/>
      <c r="G189" s="2071"/>
      <c r="H189" s="2071"/>
      <c r="I189" s="2071"/>
      <c r="J189" s="2071"/>
      <c r="K189" s="2071"/>
      <c r="L189" s="2071"/>
      <c r="M189" s="2071"/>
      <c r="N189" s="2071"/>
      <c r="O189" s="2071"/>
      <c r="P189" s="2071"/>
      <c r="Q189" s="2071"/>
      <c r="R189" s="2071"/>
      <c r="S189" s="2071"/>
      <c r="T189" s="2071"/>
      <c r="U189" s="2071"/>
      <c r="V189" s="2071"/>
      <c r="W189" s="2071"/>
      <c r="X189" s="2071"/>
      <c r="Y189" s="2071"/>
      <c r="Z189" s="2071"/>
      <c r="AA189" s="2071"/>
      <c r="AB189" s="2071"/>
      <c r="AC189" s="882"/>
      <c r="AD189" s="2061"/>
      <c r="AE189" s="2061"/>
      <c r="AF189" s="2061"/>
      <c r="AG189" s="2061"/>
      <c r="AH189" s="2061"/>
      <c r="AI189" s="2061"/>
      <c r="AJ189" s="2061"/>
      <c r="AK189" s="645"/>
    </row>
    <row r="190" spans="1:45">
      <c r="A190" s="640"/>
      <c r="B190" s="2071"/>
      <c r="C190" s="2071"/>
      <c r="D190" s="2071"/>
      <c r="E190" s="2071"/>
      <c r="F190" s="2071"/>
      <c r="G190" s="2071"/>
      <c r="H190" s="2071"/>
      <c r="I190" s="2071"/>
      <c r="J190" s="2071"/>
      <c r="K190" s="2071"/>
      <c r="L190" s="2071"/>
      <c r="M190" s="2071"/>
      <c r="N190" s="2071"/>
      <c r="O190" s="2071"/>
      <c r="P190" s="2071"/>
      <c r="Q190" s="2071"/>
      <c r="R190" s="2071"/>
      <c r="S190" s="2071"/>
      <c r="T190" s="2071"/>
      <c r="U190" s="2071"/>
      <c r="V190" s="2071"/>
      <c r="W190" s="2071"/>
      <c r="X190" s="2071"/>
      <c r="Y190" s="2071"/>
      <c r="Z190" s="2071"/>
      <c r="AA190" s="2071"/>
      <c r="AB190" s="2071"/>
      <c r="AC190" s="882"/>
      <c r="AD190" s="2061"/>
      <c r="AE190" s="2061"/>
      <c r="AF190" s="2061"/>
      <c r="AG190" s="2061"/>
      <c r="AH190" s="2061"/>
      <c r="AI190" s="2061"/>
      <c r="AJ190" s="2061"/>
      <c r="AK190" s="645"/>
    </row>
    <row r="191" spans="1:45">
      <c r="A191" s="640"/>
      <c r="B191" s="2071"/>
      <c r="C191" s="2071"/>
      <c r="D191" s="2071"/>
      <c r="E191" s="2071"/>
      <c r="F191" s="2071"/>
      <c r="G191" s="2071"/>
      <c r="H191" s="2071"/>
      <c r="I191" s="2071"/>
      <c r="J191" s="2071"/>
      <c r="K191" s="2071"/>
      <c r="L191" s="2071"/>
      <c r="M191" s="2071"/>
      <c r="N191" s="2071"/>
      <c r="O191" s="2071"/>
      <c r="P191" s="2071"/>
      <c r="Q191" s="2071"/>
      <c r="R191" s="2071"/>
      <c r="S191" s="2071"/>
      <c r="T191" s="2071"/>
      <c r="U191" s="2071"/>
      <c r="V191" s="2071"/>
      <c r="W191" s="2071"/>
      <c r="X191" s="2071"/>
      <c r="Y191" s="2071"/>
      <c r="Z191" s="2071"/>
      <c r="AA191" s="2071"/>
      <c r="AB191" s="2071"/>
      <c r="AC191" s="882"/>
      <c r="AD191" s="2061"/>
      <c r="AE191" s="2061"/>
      <c r="AF191" s="2061"/>
      <c r="AG191" s="2061"/>
      <c r="AH191" s="2061"/>
      <c r="AI191" s="2061"/>
      <c r="AJ191" s="2061"/>
      <c r="AK191" s="645"/>
    </row>
    <row r="192" spans="1:45">
      <c r="A192" s="640"/>
      <c r="B192" s="2071"/>
      <c r="C192" s="2071"/>
      <c r="D192" s="2071"/>
      <c r="E192" s="2071"/>
      <c r="F192" s="2071"/>
      <c r="G192" s="2071"/>
      <c r="H192" s="2071"/>
      <c r="I192" s="2071"/>
      <c r="J192" s="2071"/>
      <c r="K192" s="2071"/>
      <c r="L192" s="2071"/>
      <c r="M192" s="2071"/>
      <c r="N192" s="2071"/>
      <c r="O192" s="2071"/>
      <c r="P192" s="2071"/>
      <c r="Q192" s="2071"/>
      <c r="R192" s="2071"/>
      <c r="S192" s="2071"/>
      <c r="T192" s="2071"/>
      <c r="U192" s="2071"/>
      <c r="V192" s="2071"/>
      <c r="W192" s="2071"/>
      <c r="X192" s="2071"/>
      <c r="Y192" s="2071"/>
      <c r="Z192" s="2071"/>
      <c r="AA192" s="2071"/>
      <c r="AB192" s="2071"/>
      <c r="AC192" s="882"/>
      <c r="AD192" s="2061"/>
      <c r="AE192" s="2061"/>
      <c r="AF192" s="2061"/>
      <c r="AG192" s="2061"/>
      <c r="AH192" s="2061"/>
      <c r="AI192" s="2061"/>
      <c r="AJ192" s="2061"/>
      <c r="AK192" s="645"/>
    </row>
    <row r="193" spans="1:37">
      <c r="A193" s="640"/>
      <c r="B193" s="2071"/>
      <c r="C193" s="2071"/>
      <c r="D193" s="2071"/>
      <c r="E193" s="2071"/>
      <c r="F193" s="2071"/>
      <c r="G193" s="2071"/>
      <c r="H193" s="2071"/>
      <c r="I193" s="2071"/>
      <c r="J193" s="2071"/>
      <c r="K193" s="2071"/>
      <c r="L193" s="2071"/>
      <c r="M193" s="2071"/>
      <c r="N193" s="2071"/>
      <c r="O193" s="2071"/>
      <c r="P193" s="2071"/>
      <c r="Q193" s="2071"/>
      <c r="R193" s="2071"/>
      <c r="S193" s="2071"/>
      <c r="T193" s="2071"/>
      <c r="U193" s="2071"/>
      <c r="V193" s="2071"/>
      <c r="W193" s="2071"/>
      <c r="X193" s="2071"/>
      <c r="Y193" s="2071"/>
      <c r="Z193" s="2071"/>
      <c r="AA193" s="2071"/>
      <c r="AB193" s="2071"/>
      <c r="AC193" s="882"/>
      <c r="AD193" s="2061"/>
      <c r="AE193" s="2061"/>
      <c r="AF193" s="2061"/>
      <c r="AG193" s="2061"/>
      <c r="AH193" s="2061"/>
      <c r="AI193" s="2061"/>
      <c r="AJ193" s="2061"/>
      <c r="AK193" s="645"/>
    </row>
    <row r="194" spans="1:37">
      <c r="A194" s="640"/>
      <c r="B194" s="2071"/>
      <c r="C194" s="2071"/>
      <c r="D194" s="2071"/>
      <c r="E194" s="2071"/>
      <c r="F194" s="2071"/>
      <c r="G194" s="2071"/>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1"/>
      <c r="AC194" s="882"/>
      <c r="AD194" s="2061"/>
      <c r="AE194" s="2061"/>
      <c r="AF194" s="2061"/>
      <c r="AG194" s="2061"/>
      <c r="AH194" s="2061"/>
      <c r="AI194" s="2061"/>
      <c r="AJ194" s="2061"/>
      <c r="AK194" s="645"/>
    </row>
    <row r="195" spans="1:37">
      <c r="A195" s="640"/>
      <c r="B195" s="2071"/>
      <c r="C195" s="2071"/>
      <c r="D195" s="2071"/>
      <c r="E195" s="2071"/>
      <c r="F195" s="2071"/>
      <c r="G195" s="2071"/>
      <c r="H195" s="2071"/>
      <c r="I195" s="2071"/>
      <c r="J195" s="2071"/>
      <c r="K195" s="2071"/>
      <c r="L195" s="2071"/>
      <c r="M195" s="2071"/>
      <c r="N195" s="2071"/>
      <c r="O195" s="2071"/>
      <c r="P195" s="2071"/>
      <c r="Q195" s="2071"/>
      <c r="R195" s="2071"/>
      <c r="S195" s="2071"/>
      <c r="T195" s="2071"/>
      <c r="U195" s="2071"/>
      <c r="V195" s="2071"/>
      <c r="W195" s="2071"/>
      <c r="X195" s="2071"/>
      <c r="Y195" s="2071"/>
      <c r="Z195" s="2071"/>
      <c r="AA195" s="2071"/>
      <c r="AB195" s="2071"/>
      <c r="AC195" s="882"/>
      <c r="AD195" s="2061"/>
      <c r="AE195" s="2061"/>
      <c r="AF195" s="2061"/>
      <c r="AG195" s="2061"/>
      <c r="AH195" s="2061"/>
      <c r="AI195" s="2061"/>
      <c r="AJ195" s="2061"/>
      <c r="AK195" s="645"/>
    </row>
    <row r="196" spans="1:37">
      <c r="A196" s="640"/>
      <c r="B196" s="2071"/>
      <c r="C196" s="2071"/>
      <c r="D196" s="2071"/>
      <c r="E196" s="2071"/>
      <c r="F196" s="2071"/>
      <c r="G196" s="2071"/>
      <c r="H196" s="2071"/>
      <c r="I196" s="2071"/>
      <c r="J196" s="2071"/>
      <c r="K196" s="2071"/>
      <c r="L196" s="2071"/>
      <c r="M196" s="2071"/>
      <c r="N196" s="2071"/>
      <c r="O196" s="2071"/>
      <c r="P196" s="2071"/>
      <c r="Q196" s="2071"/>
      <c r="R196" s="2071"/>
      <c r="S196" s="2071"/>
      <c r="T196" s="2071"/>
      <c r="U196" s="2071"/>
      <c r="V196" s="2071"/>
      <c r="W196" s="2071"/>
      <c r="X196" s="2071"/>
      <c r="Y196" s="2071"/>
      <c r="Z196" s="2071"/>
      <c r="AA196" s="2071"/>
      <c r="AB196" s="2071"/>
      <c r="AC196" s="882"/>
      <c r="AD196" s="2061"/>
      <c r="AE196" s="2061"/>
      <c r="AF196" s="2061"/>
      <c r="AG196" s="2061"/>
      <c r="AH196" s="2061"/>
      <c r="AI196" s="2061"/>
      <c r="AJ196" s="2061"/>
      <c r="AK196" s="645"/>
    </row>
    <row r="197" spans="1:37">
      <c r="A197" s="640"/>
      <c r="B197" s="2071"/>
      <c r="C197" s="2071"/>
      <c r="D197" s="2071"/>
      <c r="E197" s="2071"/>
      <c r="F197" s="2071"/>
      <c r="G197" s="2071"/>
      <c r="H197" s="2071"/>
      <c r="I197" s="2071"/>
      <c r="J197" s="2071"/>
      <c r="K197" s="2071"/>
      <c r="L197" s="2071"/>
      <c r="M197" s="2071"/>
      <c r="N197" s="2071"/>
      <c r="O197" s="2071"/>
      <c r="P197" s="2071"/>
      <c r="Q197" s="2071"/>
      <c r="R197" s="2071"/>
      <c r="S197" s="2071"/>
      <c r="T197" s="2071"/>
      <c r="U197" s="2071"/>
      <c r="V197" s="2071"/>
      <c r="W197" s="2071"/>
      <c r="X197" s="2071"/>
      <c r="Y197" s="2071"/>
      <c r="Z197" s="2071"/>
      <c r="AA197" s="2071"/>
      <c r="AB197" s="2071"/>
      <c r="AC197" s="882"/>
      <c r="AD197" s="2061"/>
      <c r="AE197" s="2061"/>
      <c r="AF197" s="2061"/>
      <c r="AG197" s="2061"/>
      <c r="AH197" s="2061"/>
      <c r="AI197" s="2061"/>
      <c r="AJ197" s="2061"/>
      <c r="AK197" s="645"/>
    </row>
    <row r="198" spans="1:37">
      <c r="A198" s="640"/>
      <c r="B198" s="1936" t="s">
        <v>1805</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1"/>
      <c r="AD198" s="2059">
        <f>AB249</f>
        <v>1822625.2806993348</v>
      </c>
      <c r="AE198" s="2059"/>
      <c r="AF198" s="2059"/>
      <c r="AG198" s="2059"/>
      <c r="AH198" s="2059"/>
      <c r="AI198" s="2059"/>
      <c r="AJ198" s="2059"/>
      <c r="AK198" s="645"/>
    </row>
    <row r="199" spans="1:37">
      <c r="A199" s="640"/>
      <c r="B199" s="1934" t="s">
        <v>1768</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2"/>
      <c r="AD199" s="2060">
        <f>'Sources and Uses Budget'!B15</f>
        <v>0</v>
      </c>
      <c r="AE199" s="2060"/>
      <c r="AF199" s="2060"/>
      <c r="AG199" s="2060"/>
      <c r="AH199" s="2060"/>
      <c r="AI199" s="2060"/>
      <c r="AJ199" s="206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65">
        <f>SUM(AD188:AJ198)-AD199</f>
        <v>1822625.2806993348</v>
      </c>
      <c r="AE200" s="2065"/>
      <c r="AF200" s="2065"/>
      <c r="AG200" s="2065"/>
      <c r="AH200" s="2065"/>
      <c r="AI200" s="2065"/>
      <c r="AJ200" s="206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4" t="s">
        <v>1785</v>
      </c>
      <c r="J211" s="2084"/>
      <c r="K211" s="2084"/>
      <c r="L211" s="571"/>
      <c r="M211" s="571"/>
      <c r="N211" s="571"/>
      <c r="O211" s="571"/>
      <c r="P211" s="571"/>
      <c r="Q211" s="571"/>
      <c r="R211" s="571"/>
      <c r="S211" s="571"/>
      <c r="T211" s="1900" t="s">
        <v>1779</v>
      </c>
      <c r="U211" s="1900"/>
      <c r="V211" s="1900"/>
      <c r="W211" s="1900"/>
      <c r="X211" s="1900"/>
      <c r="Y211" s="1900"/>
      <c r="Z211" s="885"/>
      <c r="AA211" s="524"/>
      <c r="AB211" s="2081" t="s">
        <v>1780</v>
      </c>
      <c r="AC211" s="2081"/>
      <c r="AD211" s="2081"/>
      <c r="AE211" s="2081"/>
      <c r="AF211" s="2081"/>
      <c r="AG211" s="2081"/>
      <c r="AH211" s="863"/>
      <c r="AI211" s="863"/>
      <c r="AJ211" s="863"/>
      <c r="AK211" s="645"/>
    </row>
    <row r="212" spans="1:37">
      <c r="A212" s="640"/>
      <c r="B212" s="2082" t="s">
        <v>1765</v>
      </c>
      <c r="C212" s="2082"/>
      <c r="D212" s="2082"/>
      <c r="E212" s="2082"/>
      <c r="F212" s="2082"/>
      <c r="G212" s="2082"/>
      <c r="I212" s="2083" t="s">
        <v>1786</v>
      </c>
      <c r="J212" s="2083"/>
      <c r="K212" s="2083"/>
      <c r="L212" s="1045"/>
      <c r="N212" s="1935" t="s">
        <v>1781</v>
      </c>
      <c r="O212" s="1935"/>
      <c r="P212" s="1935"/>
      <c r="Q212" s="1935"/>
      <c r="R212" s="1935"/>
      <c r="T212" s="1935" t="s">
        <v>1782</v>
      </c>
      <c r="U212" s="1935"/>
      <c r="V212" s="1935"/>
      <c r="W212" s="1935"/>
      <c r="X212" s="1935"/>
      <c r="Y212" s="1935"/>
      <c r="Z212" s="886"/>
      <c r="AA212" s="524"/>
      <c r="AB212" s="1938" t="s">
        <v>1783</v>
      </c>
      <c r="AC212" s="1938"/>
      <c r="AD212" s="1938"/>
      <c r="AE212" s="1938"/>
      <c r="AF212" s="1938"/>
      <c r="AG212" s="1938"/>
      <c r="AH212" s="863"/>
      <c r="AI212" s="863"/>
      <c r="AJ212" s="863"/>
      <c r="AK212" s="645"/>
    </row>
    <row r="213" spans="1:37">
      <c r="A213" s="640"/>
      <c r="B213" s="1937" t="s">
        <v>2755</v>
      </c>
      <c r="C213" s="1937"/>
      <c r="D213" s="1937"/>
      <c r="E213" s="1937"/>
      <c r="F213" s="1937"/>
      <c r="G213" s="1937"/>
      <c r="H213" s="888"/>
      <c r="I213" s="1905">
        <v>17</v>
      </c>
      <c r="J213" s="1905"/>
      <c r="K213" s="1905"/>
      <c r="L213" s="1045"/>
      <c r="N213" s="1902">
        <v>892</v>
      </c>
      <c r="O213" s="1902"/>
      <c r="P213" s="1902"/>
      <c r="Q213" s="1902"/>
      <c r="R213" s="1902"/>
      <c r="T213" s="1901">
        <v>1852</v>
      </c>
      <c r="U213" s="1901"/>
      <c r="V213" s="1901"/>
      <c r="W213" s="1901"/>
      <c r="X213" s="1901"/>
      <c r="Y213" s="1901"/>
      <c r="Z213" s="887"/>
      <c r="AA213" s="887"/>
      <c r="AB213" s="1899">
        <f t="shared" ref="AB213:AB222" si="0">MAX(($T213-$N213)*$I213*12,0)</f>
        <v>195840</v>
      </c>
      <c r="AC213" s="1899"/>
      <c r="AD213" s="1899"/>
      <c r="AE213" s="1899"/>
      <c r="AF213" s="1899"/>
      <c r="AG213" s="1899"/>
      <c r="AH213" s="863"/>
      <c r="AI213" s="863"/>
      <c r="AJ213" s="863"/>
      <c r="AK213" s="645"/>
    </row>
    <row r="214" spans="1:37">
      <c r="A214" s="640"/>
      <c r="B214" s="1937" t="s">
        <v>1327</v>
      </c>
      <c r="C214" s="1937"/>
      <c r="D214" s="1937"/>
      <c r="E214" s="1937"/>
      <c r="F214" s="1937"/>
      <c r="G214" s="1937"/>
      <c r="I214" s="1905"/>
      <c r="J214" s="1905"/>
      <c r="K214" s="1905"/>
      <c r="L214" s="1045"/>
      <c r="N214" s="1902"/>
      <c r="O214" s="1902"/>
      <c r="P214" s="1902"/>
      <c r="Q214" s="1902"/>
      <c r="R214" s="1902"/>
      <c r="T214" s="1901"/>
      <c r="U214" s="1901"/>
      <c r="V214" s="1901"/>
      <c r="W214" s="1901"/>
      <c r="X214" s="1901"/>
      <c r="Y214" s="1901"/>
      <c r="Z214" s="887"/>
      <c r="AA214" s="887"/>
      <c r="AB214" s="1899">
        <f t="shared" si="0"/>
        <v>0</v>
      </c>
      <c r="AC214" s="1899"/>
      <c r="AD214" s="1899"/>
      <c r="AE214" s="1899"/>
      <c r="AF214" s="1899"/>
      <c r="AG214" s="1899"/>
      <c r="AH214" s="863"/>
      <c r="AI214" s="863"/>
      <c r="AJ214" s="863"/>
      <c r="AK214" s="645"/>
    </row>
    <row r="215" spans="1:37">
      <c r="A215" s="640"/>
      <c r="B215" s="1937" t="s">
        <v>1327</v>
      </c>
      <c r="C215" s="1937"/>
      <c r="D215" s="1937"/>
      <c r="E215" s="1937"/>
      <c r="F215" s="1937"/>
      <c r="G215" s="1937"/>
      <c r="I215" s="1905"/>
      <c r="J215" s="1905"/>
      <c r="K215" s="1905"/>
      <c r="L215" s="1045"/>
      <c r="N215" s="1902"/>
      <c r="O215" s="1902"/>
      <c r="P215" s="1902"/>
      <c r="Q215" s="1902"/>
      <c r="R215" s="1902"/>
      <c r="T215" s="1901"/>
      <c r="U215" s="1901"/>
      <c r="V215" s="1901"/>
      <c r="W215" s="1901"/>
      <c r="X215" s="1901"/>
      <c r="Y215" s="1901"/>
      <c r="Z215" s="887"/>
      <c r="AA215" s="887"/>
      <c r="AB215" s="1899">
        <f t="shared" si="0"/>
        <v>0</v>
      </c>
      <c r="AC215" s="1899"/>
      <c r="AD215" s="1899"/>
      <c r="AE215" s="1899"/>
      <c r="AF215" s="1899"/>
      <c r="AG215" s="1899"/>
      <c r="AH215" s="863"/>
      <c r="AI215" s="863"/>
      <c r="AJ215" s="863"/>
      <c r="AK215" s="645"/>
    </row>
    <row r="216" spans="1:37">
      <c r="A216" s="640"/>
      <c r="B216" s="1937" t="s">
        <v>1327</v>
      </c>
      <c r="C216" s="1937"/>
      <c r="D216" s="1937"/>
      <c r="E216" s="1937"/>
      <c r="F216" s="1937"/>
      <c r="G216" s="1937"/>
      <c r="I216" s="1905"/>
      <c r="J216" s="1905"/>
      <c r="K216" s="1905"/>
      <c r="L216" s="1045"/>
      <c r="N216" s="1902"/>
      <c r="O216" s="1902"/>
      <c r="P216" s="1902"/>
      <c r="Q216" s="1902"/>
      <c r="R216" s="1902"/>
      <c r="T216" s="1901"/>
      <c r="U216" s="1901"/>
      <c r="V216" s="1901"/>
      <c r="W216" s="1901"/>
      <c r="X216" s="1901"/>
      <c r="Y216" s="1901"/>
      <c r="Z216" s="887"/>
      <c r="AA216" s="887"/>
      <c r="AB216" s="1899">
        <f t="shared" si="0"/>
        <v>0</v>
      </c>
      <c r="AC216" s="1899"/>
      <c r="AD216" s="1899"/>
      <c r="AE216" s="1899"/>
      <c r="AF216" s="1899"/>
      <c r="AG216" s="1899"/>
      <c r="AH216" s="863"/>
      <c r="AI216" s="863"/>
      <c r="AJ216" s="863"/>
      <c r="AK216" s="645"/>
    </row>
    <row r="217" spans="1:37">
      <c r="A217" s="640"/>
      <c r="B217" s="1937" t="s">
        <v>1327</v>
      </c>
      <c r="C217" s="1937"/>
      <c r="D217" s="1937"/>
      <c r="E217" s="1937"/>
      <c r="F217" s="1937"/>
      <c r="G217" s="1937"/>
      <c r="I217" s="1905"/>
      <c r="J217" s="1905"/>
      <c r="K217" s="1905"/>
      <c r="L217" s="1052"/>
      <c r="N217" s="1902"/>
      <c r="O217" s="1902"/>
      <c r="P217" s="1902"/>
      <c r="Q217" s="1902"/>
      <c r="R217" s="1902"/>
      <c r="T217" s="1901"/>
      <c r="U217" s="1901"/>
      <c r="V217" s="1901"/>
      <c r="W217" s="1901"/>
      <c r="X217" s="1901"/>
      <c r="Y217" s="1901"/>
      <c r="Z217" s="887"/>
      <c r="AA217" s="887"/>
      <c r="AB217" s="1899">
        <f t="shared" si="0"/>
        <v>0</v>
      </c>
      <c r="AC217" s="1899"/>
      <c r="AD217" s="1899"/>
      <c r="AE217" s="1899"/>
      <c r="AF217" s="1899"/>
      <c r="AG217" s="1899"/>
      <c r="AH217" s="863"/>
      <c r="AI217" s="863"/>
      <c r="AJ217" s="863"/>
      <c r="AK217" s="645"/>
    </row>
    <row r="218" spans="1:37">
      <c r="A218" s="640"/>
      <c r="B218" s="1937" t="s">
        <v>1327</v>
      </c>
      <c r="C218" s="1937"/>
      <c r="D218" s="1937"/>
      <c r="E218" s="1937"/>
      <c r="F218" s="1937"/>
      <c r="G218" s="1937"/>
      <c r="I218" s="1905"/>
      <c r="J218" s="1905"/>
      <c r="K218" s="1905"/>
      <c r="L218" s="1052"/>
      <c r="N218" s="1902"/>
      <c r="O218" s="1902"/>
      <c r="P218" s="1902"/>
      <c r="Q218" s="1902"/>
      <c r="R218" s="1902"/>
      <c r="T218" s="1901"/>
      <c r="U218" s="1901"/>
      <c r="V218" s="1901"/>
      <c r="W218" s="1901"/>
      <c r="X218" s="1901"/>
      <c r="Y218" s="1901"/>
      <c r="Z218" s="887"/>
      <c r="AA218" s="887"/>
      <c r="AB218" s="1899">
        <f t="shared" si="0"/>
        <v>0</v>
      </c>
      <c r="AC218" s="1899"/>
      <c r="AD218" s="1899"/>
      <c r="AE218" s="1899"/>
      <c r="AF218" s="1899"/>
      <c r="AG218" s="1899"/>
      <c r="AH218" s="863"/>
      <c r="AI218" s="863"/>
      <c r="AJ218" s="863"/>
      <c r="AK218" s="645"/>
    </row>
    <row r="219" spans="1:37">
      <c r="A219" s="640"/>
      <c r="B219" s="1937" t="s">
        <v>1327</v>
      </c>
      <c r="C219" s="1937"/>
      <c r="D219" s="1937"/>
      <c r="E219" s="1937"/>
      <c r="F219" s="1937"/>
      <c r="G219" s="1937"/>
      <c r="I219" s="1905"/>
      <c r="J219" s="1905"/>
      <c r="K219" s="1905"/>
      <c r="L219" s="1052"/>
      <c r="N219" s="1902"/>
      <c r="O219" s="1902"/>
      <c r="P219" s="1902"/>
      <c r="Q219" s="1902"/>
      <c r="R219" s="1902"/>
      <c r="T219" s="1901"/>
      <c r="U219" s="1901"/>
      <c r="V219" s="1901"/>
      <c r="W219" s="1901"/>
      <c r="X219" s="1901"/>
      <c r="Y219" s="1901"/>
      <c r="Z219" s="887"/>
      <c r="AA219" s="887"/>
      <c r="AB219" s="1899">
        <f t="shared" si="0"/>
        <v>0</v>
      </c>
      <c r="AC219" s="1899"/>
      <c r="AD219" s="1899"/>
      <c r="AE219" s="1899"/>
      <c r="AF219" s="1899"/>
      <c r="AG219" s="1899"/>
      <c r="AH219" s="863"/>
      <c r="AI219" s="863"/>
      <c r="AJ219" s="863"/>
      <c r="AK219" s="645"/>
    </row>
    <row r="220" spans="1:37">
      <c r="A220" s="640"/>
      <c r="B220" s="1937" t="s">
        <v>1327</v>
      </c>
      <c r="C220" s="1937"/>
      <c r="D220" s="1937"/>
      <c r="E220" s="1937"/>
      <c r="F220" s="1937"/>
      <c r="G220" s="1937"/>
      <c r="I220" s="1905"/>
      <c r="J220" s="1905"/>
      <c r="K220" s="1905"/>
      <c r="L220" s="1052"/>
      <c r="N220" s="1902"/>
      <c r="O220" s="1902"/>
      <c r="P220" s="1902"/>
      <c r="Q220" s="1902"/>
      <c r="R220" s="1902"/>
      <c r="T220" s="1901"/>
      <c r="U220" s="1901"/>
      <c r="V220" s="1901"/>
      <c r="W220" s="1901"/>
      <c r="X220" s="1901"/>
      <c r="Y220" s="1901"/>
      <c r="Z220" s="887"/>
      <c r="AA220" s="887"/>
      <c r="AB220" s="1899">
        <f t="shared" si="0"/>
        <v>0</v>
      </c>
      <c r="AC220" s="1899"/>
      <c r="AD220" s="1899"/>
      <c r="AE220" s="1899"/>
      <c r="AF220" s="1899"/>
      <c r="AG220" s="1899"/>
      <c r="AH220" s="863"/>
      <c r="AI220" s="863"/>
      <c r="AJ220" s="863"/>
      <c r="AK220" s="645"/>
    </row>
    <row r="221" spans="1:37">
      <c r="A221" s="640"/>
      <c r="B221" s="1937" t="s">
        <v>1327</v>
      </c>
      <c r="C221" s="1937"/>
      <c r="D221" s="1937"/>
      <c r="E221" s="1937"/>
      <c r="F221" s="1937"/>
      <c r="G221" s="1937"/>
      <c r="I221" s="1905"/>
      <c r="J221" s="1905"/>
      <c r="K221" s="1905"/>
      <c r="L221" s="1052"/>
      <c r="N221" s="1902"/>
      <c r="O221" s="1902"/>
      <c r="P221" s="1902"/>
      <c r="Q221" s="1902"/>
      <c r="R221" s="1902"/>
      <c r="T221" s="1901"/>
      <c r="U221" s="1901"/>
      <c r="V221" s="1901"/>
      <c r="W221" s="1901"/>
      <c r="X221" s="1901"/>
      <c r="Y221" s="1901"/>
      <c r="Z221" s="887"/>
      <c r="AA221" s="887"/>
      <c r="AB221" s="1899">
        <f t="shared" si="0"/>
        <v>0</v>
      </c>
      <c r="AC221" s="1899"/>
      <c r="AD221" s="1899"/>
      <c r="AE221" s="1899"/>
      <c r="AF221" s="1899"/>
      <c r="AG221" s="1899"/>
      <c r="AH221" s="863"/>
      <c r="AI221" s="863"/>
      <c r="AJ221" s="863"/>
      <c r="AK221" s="645"/>
    </row>
    <row r="222" spans="1:37">
      <c r="A222" s="640"/>
      <c r="B222" s="1937" t="s">
        <v>1327</v>
      </c>
      <c r="C222" s="1937"/>
      <c r="D222" s="1937"/>
      <c r="E222" s="1937"/>
      <c r="F222" s="1937"/>
      <c r="G222" s="1937"/>
      <c r="I222" s="2085"/>
      <c r="J222" s="2085"/>
      <c r="K222" s="2085"/>
      <c r="L222" s="1052"/>
      <c r="N222" s="1902"/>
      <c r="O222" s="1902"/>
      <c r="P222" s="1902"/>
      <c r="Q222" s="1902"/>
      <c r="R222" s="1902"/>
      <c r="T222" s="1901"/>
      <c r="U222" s="1901"/>
      <c r="V222" s="1901"/>
      <c r="W222" s="1901"/>
      <c r="X222" s="1901"/>
      <c r="Y222" s="1901"/>
      <c r="Z222" s="887"/>
      <c r="AA222" s="887"/>
      <c r="AB222" s="1906">
        <f t="shared" si="0"/>
        <v>0</v>
      </c>
      <c r="AC222" s="1906"/>
      <c r="AD222" s="1906"/>
      <c r="AE222" s="1906"/>
      <c r="AF222" s="1906"/>
      <c r="AG222" s="190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9">
        <f>SUM(AB213:AB222)</f>
        <v>195840</v>
      </c>
      <c r="AC223" s="1899"/>
      <c r="AD223" s="1899"/>
      <c r="AE223" s="1899"/>
      <c r="AF223" s="1899"/>
      <c r="AG223" s="189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9"/>
      <c r="AC229" s="1939"/>
      <c r="AD229" s="1939"/>
      <c r="AE229" s="1939"/>
      <c r="AF229" s="1939"/>
      <c r="AG229" s="193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9"/>
      <c r="AC232" s="1939"/>
      <c r="AD232" s="1939"/>
      <c r="AE232" s="1939"/>
      <c r="AF232" s="1939"/>
      <c r="AG232" s="193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8"/>
      <c r="AC233" s="1898"/>
      <c r="AD233" s="1898"/>
      <c r="AE233" s="1898"/>
      <c r="AF233" s="1898"/>
      <c r="AG233" s="1898"/>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7">
        <f>IFERROR(AB232/AB233,0)</f>
        <v>0</v>
      </c>
      <c r="AC234" s="1907"/>
      <c r="AD234" s="1907"/>
      <c r="AE234" s="1907"/>
      <c r="AF234" s="1907"/>
      <c r="AG234" s="190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6">
        <f>MAX(AB229,AB234)</f>
        <v>0</v>
      </c>
      <c r="AC236" s="1906"/>
      <c r="AD236" s="1906"/>
      <c r="AE236" s="1906"/>
      <c r="AF236" s="1906"/>
      <c r="AG236" s="190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9">
        <f>AB223+AB236</f>
        <v>195840</v>
      </c>
      <c r="AC239" s="1899"/>
      <c r="AD239" s="1899"/>
      <c r="AE239" s="1899"/>
      <c r="AF239" s="1899"/>
      <c r="AG239" s="1899"/>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9">
        <v>0.05</v>
      </c>
      <c r="AC240" s="2069"/>
      <c r="AD240" s="2069"/>
      <c r="AE240" s="2069"/>
      <c r="AF240" s="2069"/>
      <c r="AG240" s="2069"/>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0">
        <f>AB239-(AB239*AB240)</f>
        <v>186048</v>
      </c>
      <c r="AC241" s="2070"/>
      <c r="AD241" s="2070"/>
      <c r="AE241" s="2070"/>
      <c r="AF241" s="2070"/>
      <c r="AG241" s="2070"/>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9">
        <f>AB241/AB247</f>
        <v>161780.86956521741</v>
      </c>
      <c r="AC243" s="1899"/>
      <c r="AD243" s="1899"/>
      <c r="AE243" s="1899"/>
      <c r="AF243" s="1899"/>
      <c r="AG243" s="189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1">
        <v>15</v>
      </c>
      <c r="AC245" s="2081"/>
      <c r="AD245" s="2081"/>
      <c r="AE245" s="2081"/>
      <c r="AF245" s="2081"/>
      <c r="AG245" s="2081"/>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2">
        <v>0.04</v>
      </c>
      <c r="AC246" s="2072"/>
      <c r="AD246" s="2072"/>
      <c r="AE246" s="2072"/>
      <c r="AF246" s="2072"/>
      <c r="AG246" s="2072"/>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3">
        <v>1.1499999999999999</v>
      </c>
      <c r="AC247" s="2073"/>
      <c r="AD247" s="2073"/>
      <c r="AE247" s="2073"/>
      <c r="AF247" s="2073"/>
      <c r="AG247" s="207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2">
        <f>PV(AB246/12,AB245*12,-AB243/12, ,0)</f>
        <v>1822625.2806993348</v>
      </c>
      <c r="AC249" s="2063"/>
      <c r="AD249" s="2063"/>
      <c r="AE249" s="2063"/>
      <c r="AF249" s="2063"/>
      <c r="AG249" s="206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6">
        <f>IFERROR(('Sources and Uses Budget'!D105/'Sources and Uses Budget'!B105),0)</f>
        <v>0</v>
      </c>
      <c r="AC255" s="2067"/>
      <c r="AD255" s="2067"/>
      <c r="AE255" s="2067"/>
      <c r="AF255" s="2067"/>
      <c r="AG255" s="206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3">
        <f>AD200*(1-AB255)</f>
        <v>1822625.2806993348</v>
      </c>
      <c r="AH257" s="1913"/>
      <c r="AI257" s="1913"/>
      <c r="AJ257" s="1913"/>
      <c r="AK257" s="1913"/>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3">
        <f>'Sources and Uses Budget'!C105</f>
        <v>11613342.208194248</v>
      </c>
      <c r="AH258" s="1913"/>
      <c r="AI258" s="1913"/>
      <c r="AJ258" s="1913"/>
      <c r="AK258" s="191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8">
        <f>ROUNDDOWN(IF(AND(C281="Yes",AK78=10),((AG257*2)/AG258),AG257/AG258),2)</f>
        <v>0.15</v>
      </c>
      <c r="AH259" s="2058"/>
      <c r="AI259" s="2058"/>
      <c r="AJ259" s="2058"/>
      <c r="AK259" s="2058"/>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7">
        <f>IFERROR(IF(AG259=0,0,IF((AG259*100)&gt;8,8,(AG259*100))),0)</f>
        <v>8</v>
      </c>
      <c r="AL262" s="2047"/>
      <c r="AM262" s="2048"/>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31" t="s">
        <v>554</v>
      </c>
      <c r="D267" s="1931"/>
      <c r="E267" s="582"/>
      <c r="F267" s="1882" t="s">
        <v>2423</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5"/>
      <c r="AF267" s="670"/>
      <c r="AG267" s="2056" t="s">
        <v>1536</v>
      </c>
      <c r="AH267" s="2056"/>
      <c r="AI267" s="2056"/>
      <c r="AJ267" s="2056"/>
      <c r="AK267" s="585"/>
      <c r="AL267" s="585"/>
      <c r="AM267" s="585"/>
      <c r="AO267" s="585"/>
    </row>
    <row r="268" spans="1:52" ht="13.75" customHeight="1">
      <c r="A268" s="585"/>
      <c r="B268" s="631"/>
      <c r="C268" s="671"/>
      <c r="D268" s="585"/>
      <c r="E268" s="582"/>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5"/>
      <c r="AF268" s="670"/>
      <c r="AG268" s="670"/>
      <c r="AH268" s="670"/>
      <c r="AI268" s="670"/>
      <c r="AJ268" s="585"/>
      <c r="AK268" s="585"/>
      <c r="AL268" s="585"/>
      <c r="AM268" s="585"/>
      <c r="AO268" s="585"/>
    </row>
    <row r="269" spans="1:52">
      <c r="A269" s="585"/>
      <c r="B269" s="631"/>
      <c r="C269" s="671"/>
      <c r="D269" s="585"/>
      <c r="E269" s="582"/>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5"/>
      <c r="AF269" s="670"/>
      <c r="AG269" s="670"/>
      <c r="AH269" s="670"/>
      <c r="AI269" s="670"/>
      <c r="AJ269" s="585"/>
      <c r="AK269" s="585"/>
      <c r="AL269" s="585"/>
      <c r="AM269" s="585"/>
      <c r="AO269" s="585"/>
      <c r="AP269" s="672"/>
    </row>
    <row r="270" spans="1:52">
      <c r="A270" s="585"/>
      <c r="B270" s="631"/>
      <c r="C270" s="671"/>
      <c r="D270" s="585"/>
      <c r="E270" s="582"/>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5"/>
      <c r="AF270" s="670"/>
      <c r="AG270" s="670"/>
      <c r="AH270" s="670"/>
      <c r="AI270" s="670"/>
      <c r="AJ270" s="585"/>
      <c r="AK270" s="585"/>
      <c r="AL270" s="585"/>
      <c r="AM270" s="585"/>
      <c r="AO270" s="585"/>
      <c r="AP270" s="672"/>
    </row>
    <row r="271" spans="1:52" ht="13.75" customHeight="1">
      <c r="A271" s="585"/>
      <c r="B271" s="631"/>
      <c r="C271" s="2057"/>
      <c r="D271" s="2057"/>
      <c r="E271" s="582"/>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5"/>
      <c r="AF271" s="670"/>
      <c r="AG271" s="2056"/>
      <c r="AH271" s="2056"/>
      <c r="AI271" s="2056"/>
      <c r="AJ271" s="2056"/>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7">
        <f>IF($C$267="yes",10,0)</f>
        <v>10</v>
      </c>
      <c r="AL274" s="2047"/>
      <c r="AM274" s="2048"/>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3" t="s">
        <v>1555</v>
      </c>
      <c r="B281" s="1623"/>
      <c r="C281" s="2024" t="s">
        <v>600</v>
      </c>
      <c r="D281" s="1931"/>
      <c r="E281" s="582"/>
      <c r="F281" s="2049" t="s">
        <v>1556</v>
      </c>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1"/>
      <c r="AE281" s="677"/>
      <c r="AF281" s="585"/>
      <c r="AG281" s="2052" t="s">
        <v>2416</v>
      </c>
      <c r="AH281" s="2052"/>
      <c r="AI281" s="2052"/>
      <c r="AJ281" s="2052"/>
      <c r="AK281" s="2052"/>
      <c r="AL281" s="585"/>
      <c r="AM281" s="585"/>
      <c r="AN281" s="73"/>
      <c r="AO281" s="14"/>
      <c r="AP281" s="30"/>
      <c r="AS281" s="605"/>
      <c r="AT281" s="605"/>
      <c r="AU281" s="605"/>
      <c r="AV281" s="32"/>
      <c r="AW281" s="32"/>
    </row>
    <row r="282" spans="1:49">
      <c r="A282" s="675"/>
      <c r="B282" s="631"/>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8" t="s">
        <v>2424</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8" t="s">
        <v>1557</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8" t="s">
        <v>1558</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4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3" t="s">
        <v>1559</v>
      </c>
      <c r="B291" s="1623"/>
      <c r="C291" s="1931" t="s">
        <v>554</v>
      </c>
      <c r="D291" s="1931"/>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31" t="s">
        <v>2418</v>
      </c>
      <c r="G292" s="2032"/>
      <c r="H292" s="2032"/>
      <c r="I292" s="2032"/>
      <c r="J292" s="2032"/>
      <c r="K292" s="2032"/>
      <c r="L292" s="2032"/>
      <c r="M292" s="2032"/>
      <c r="N292" s="2032"/>
      <c r="O292" s="2032"/>
      <c r="P292" s="2032"/>
      <c r="Q292" s="2032"/>
      <c r="R292" s="2032"/>
      <c r="S292" s="2032"/>
      <c r="T292" s="2032"/>
      <c r="U292" s="2032"/>
      <c r="V292" s="2032"/>
      <c r="W292" s="2032"/>
      <c r="X292" s="2032"/>
      <c r="Y292" s="2032"/>
      <c r="Z292" s="2032"/>
      <c r="AA292" s="2032"/>
      <c r="AB292" s="2032"/>
      <c r="AC292" s="2032"/>
      <c r="AD292" s="2033"/>
      <c r="AE292" s="586"/>
      <c r="AF292" s="586"/>
      <c r="AG292" s="586"/>
      <c r="AH292" s="586"/>
      <c r="AI292" s="586"/>
      <c r="AJ292" s="585"/>
      <c r="AK292" s="585"/>
      <c r="AL292" s="585"/>
      <c r="AM292" s="585"/>
      <c r="AR292" s="683"/>
    </row>
    <row r="293" spans="1:49" ht="15" customHeight="1">
      <c r="A293" s="585"/>
      <c r="B293" s="586"/>
      <c r="C293" s="585"/>
      <c r="D293" s="586"/>
      <c r="E293" s="585"/>
      <c r="F293" s="2031"/>
      <c r="G293" s="2032"/>
      <c r="H293" s="2032"/>
      <c r="I293" s="2032"/>
      <c r="J293" s="2032"/>
      <c r="K293" s="2032"/>
      <c r="L293" s="2032"/>
      <c r="M293" s="2032"/>
      <c r="N293" s="2032"/>
      <c r="O293" s="2032"/>
      <c r="P293" s="2032"/>
      <c r="Q293" s="2032"/>
      <c r="R293" s="2032"/>
      <c r="S293" s="2032"/>
      <c r="T293" s="2032"/>
      <c r="U293" s="2032"/>
      <c r="V293" s="2032"/>
      <c r="W293" s="2032"/>
      <c r="X293" s="2032"/>
      <c r="Y293" s="2032"/>
      <c r="Z293" s="2032"/>
      <c r="AA293" s="2032"/>
      <c r="AB293" s="2032"/>
      <c r="AC293" s="2032"/>
      <c r="AD293" s="2033"/>
      <c r="AE293" s="586"/>
      <c r="AF293" s="586"/>
      <c r="AG293" s="586"/>
      <c r="AH293" s="586"/>
      <c r="AI293" s="586"/>
      <c r="AJ293" s="585"/>
      <c r="AK293" s="585"/>
      <c r="AL293" s="585"/>
      <c r="AM293" s="585"/>
      <c r="AR293" s="683"/>
    </row>
    <row r="294" spans="1:49">
      <c r="A294" s="585"/>
      <c r="B294" s="586"/>
      <c r="C294" s="585"/>
      <c r="D294" s="586"/>
      <c r="E294" s="585"/>
      <c r="F294" s="2031"/>
      <c r="G294" s="2032"/>
      <c r="H294" s="2032"/>
      <c r="I294" s="2032"/>
      <c r="J294" s="2032"/>
      <c r="K294" s="2032"/>
      <c r="L294" s="2032"/>
      <c r="M294" s="2032"/>
      <c r="N294" s="2032"/>
      <c r="O294" s="2032"/>
      <c r="P294" s="2032"/>
      <c r="Q294" s="2032"/>
      <c r="R294" s="2032"/>
      <c r="S294" s="2032"/>
      <c r="T294" s="2032"/>
      <c r="U294" s="2032"/>
      <c r="V294" s="2032"/>
      <c r="W294" s="2032"/>
      <c r="X294" s="2032"/>
      <c r="Y294" s="2032"/>
      <c r="Z294" s="2032"/>
      <c r="AA294" s="2032"/>
      <c r="AB294" s="2032"/>
      <c r="AC294" s="2032"/>
      <c r="AD294" s="203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3"/>
      <c r="G295" s="2054"/>
      <c r="H295" s="2054"/>
      <c r="I295" s="2054"/>
      <c r="J295" s="2054"/>
      <c r="K295" s="2054"/>
      <c r="L295" s="2054"/>
      <c r="M295" s="2054"/>
      <c r="N295" s="2054"/>
      <c r="O295" s="2054"/>
      <c r="P295" s="2054"/>
      <c r="Q295" s="2054"/>
      <c r="R295" s="2054"/>
      <c r="S295" s="2054"/>
      <c r="T295" s="2054"/>
      <c r="U295" s="2054"/>
      <c r="V295" s="2054"/>
      <c r="W295" s="2054"/>
      <c r="X295" s="2054"/>
      <c r="Y295" s="2054"/>
      <c r="Z295" s="2054"/>
      <c r="AA295" s="2054"/>
      <c r="AB295" s="2054"/>
      <c r="AC295" s="2054"/>
      <c r="AD295" s="205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3" t="s">
        <v>1562</v>
      </c>
      <c r="B299" s="1623"/>
      <c r="C299" s="1931" t="s">
        <v>600</v>
      </c>
      <c r="D299" s="1931"/>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8" t="s">
        <v>2425</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6"/>
      <c r="AF300" s="586"/>
      <c r="AG300" s="574"/>
      <c r="AH300" s="586"/>
      <c r="AI300" s="586"/>
      <c r="AJ300" s="585"/>
      <c r="AK300" s="585"/>
      <c r="AL300" s="585"/>
      <c r="AM300" s="585"/>
      <c r="AN300" s="73"/>
      <c r="AO300" s="14"/>
      <c r="AP300" s="592" t="s">
        <v>1327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4" t="s">
        <v>1327</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7"/>
      <c r="AF305" s="677"/>
      <c r="AG305" s="677"/>
      <c r="AH305" s="677"/>
      <c r="AI305" s="677"/>
      <c r="AJ305" s="677"/>
      <c r="AK305" s="677"/>
      <c r="AL305" s="585"/>
      <c r="AM305" s="585"/>
      <c r="AN305" s="73"/>
      <c r="AO305" s="14"/>
      <c r="AP305" s="30"/>
    </row>
    <row r="306" spans="1:42" hidden="1">
      <c r="A306" s="585"/>
      <c r="B306" s="586"/>
      <c r="C306" s="765"/>
      <c r="D306" s="765"/>
      <c r="E306" s="582"/>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6"/>
      <c r="AF306" s="586"/>
      <c r="AG306" s="574"/>
      <c r="AH306" s="586"/>
      <c r="AI306" s="586"/>
      <c r="AJ306" s="585"/>
      <c r="AK306" s="585"/>
      <c r="AL306" s="585"/>
      <c r="AM306" s="585"/>
      <c r="AN306" s="73"/>
      <c r="AO306" s="14"/>
      <c r="AP306" s="30"/>
    </row>
    <row r="307" spans="1:42" hidden="1">
      <c r="A307" s="585"/>
      <c r="B307" s="586"/>
      <c r="C307" s="765"/>
      <c r="D307" s="765"/>
      <c r="E307" s="582"/>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6"/>
      <c r="AF307" s="586"/>
      <c r="AG307" s="574"/>
      <c r="AH307" s="586"/>
      <c r="AI307" s="586"/>
      <c r="AJ307" s="585"/>
      <c r="AK307" s="585"/>
      <c r="AL307" s="585"/>
      <c r="AM307" s="585"/>
      <c r="AN307" s="73"/>
      <c r="AO307" s="14"/>
      <c r="AP307" s="30"/>
    </row>
    <row r="308" spans="1:42" hidden="1">
      <c r="A308" s="585"/>
      <c r="B308" s="586"/>
      <c r="C308" s="765"/>
      <c r="D308" s="765"/>
      <c r="E308" s="582"/>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6"/>
      <c r="AF308" s="586"/>
      <c r="AG308" s="574"/>
      <c r="AH308" s="586"/>
      <c r="AI308" s="586"/>
      <c r="AJ308" s="585"/>
      <c r="AK308" s="585"/>
      <c r="AL308" s="585"/>
      <c r="AM308" s="585"/>
      <c r="AN308" s="73"/>
      <c r="AO308" s="14"/>
      <c r="AP308" s="30"/>
    </row>
    <row r="309" spans="1:42" hidden="1">
      <c r="A309" s="585"/>
      <c r="B309" s="586"/>
      <c r="C309" s="765"/>
      <c r="D309" s="765"/>
      <c r="E309" s="582"/>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40" t="s">
        <v>1327</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40" t="s">
        <v>1327</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3" t="s">
        <v>1565</v>
      </c>
      <c r="B322" s="1623"/>
      <c r="C322" s="1931" t="s">
        <v>600</v>
      </c>
      <c r="D322" s="1931"/>
      <c r="E322" s="582"/>
      <c r="F322" s="2028" t="s">
        <v>2426</v>
      </c>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c r="AA322" s="2029"/>
      <c r="AB322" s="2029"/>
      <c r="AC322" s="2029"/>
      <c r="AD322" s="2030"/>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31"/>
      <c r="G323" s="2032"/>
      <c r="H323" s="2032"/>
      <c r="I323" s="2032"/>
      <c r="J323" s="2032"/>
      <c r="K323" s="2032"/>
      <c r="L323" s="2032"/>
      <c r="M323" s="2032"/>
      <c r="N323" s="2032"/>
      <c r="O323" s="2032"/>
      <c r="P323" s="2032"/>
      <c r="Q323" s="2032"/>
      <c r="R323" s="2032"/>
      <c r="S323" s="2032"/>
      <c r="T323" s="2032"/>
      <c r="U323" s="2032"/>
      <c r="V323" s="2032"/>
      <c r="W323" s="2032"/>
      <c r="X323" s="2032"/>
      <c r="Y323" s="2032"/>
      <c r="Z323" s="2032"/>
      <c r="AA323" s="2032"/>
      <c r="AB323" s="2032"/>
      <c r="AC323" s="2032"/>
      <c r="AD323" s="2033"/>
      <c r="AE323" s="586"/>
      <c r="AF323" s="586"/>
      <c r="AG323" s="586"/>
      <c r="AH323" s="586"/>
      <c r="AI323" s="586"/>
      <c r="AJ323" s="585"/>
      <c r="AK323" s="585"/>
      <c r="AL323" s="585"/>
      <c r="AM323" s="585"/>
      <c r="AN323" s="73"/>
      <c r="AO323" s="14"/>
    </row>
    <row r="324" spans="1:44" ht="15" hidden="1" customHeight="1">
      <c r="A324" s="585"/>
      <c r="B324" s="586"/>
      <c r="C324" s="586"/>
      <c r="D324" s="586"/>
      <c r="E324" s="586"/>
      <c r="F324" s="2031"/>
      <c r="G324" s="2032"/>
      <c r="H324" s="2032"/>
      <c r="I324" s="2032"/>
      <c r="J324" s="2032"/>
      <c r="K324" s="2032"/>
      <c r="L324" s="2032"/>
      <c r="M324" s="2032"/>
      <c r="N324" s="2032"/>
      <c r="O324" s="2032"/>
      <c r="P324" s="2032"/>
      <c r="Q324" s="2032"/>
      <c r="R324" s="2032"/>
      <c r="S324" s="2032"/>
      <c r="T324" s="2032"/>
      <c r="U324" s="2032"/>
      <c r="V324" s="2032"/>
      <c r="W324" s="2032"/>
      <c r="X324" s="2032"/>
      <c r="Y324" s="2032"/>
      <c r="Z324" s="2032"/>
      <c r="AA324" s="2032"/>
      <c r="AB324" s="2032"/>
      <c r="AC324" s="2032"/>
      <c r="AD324" s="2033"/>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16">
        <f>IF(NOT(OR(Application!M354="Yes",Application!M355="Yes")),0,AP284)</f>
        <v>9</v>
      </c>
      <c r="AL327" s="1917"/>
      <c r="AM327" s="191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22" t="s">
        <v>1487</v>
      </c>
      <c r="AF330" s="1922"/>
      <c r="AG330" s="1922"/>
      <c r="AH330" s="1922"/>
      <c r="AI330" s="1922"/>
      <c r="AJ330" s="1922"/>
      <c r="AK330" s="192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6" t="s">
        <v>1627</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8"/>
      <c r="AL332" s="638"/>
      <c r="AM332" s="638"/>
      <c r="AN332" s="632"/>
    </row>
    <row r="333" spans="1:44" s="585" customFormat="1" ht="12.75" customHeight="1">
      <c r="A333" s="638"/>
      <c r="B333" s="64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8"/>
      <c r="AL333" s="638"/>
      <c r="AM333" s="638"/>
      <c r="AN333" s="632"/>
    </row>
    <row r="334" spans="1:44" s="585" customFormat="1" ht="12.75" customHeight="1">
      <c r="A334" s="638"/>
      <c r="B334" s="64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8"/>
      <c r="AL334" s="638"/>
      <c r="AM334" s="638"/>
      <c r="AN334" s="632"/>
      <c r="AQ334" s="605"/>
    </row>
    <row r="335" spans="1:44" s="585" customFormat="1" ht="12.75" customHeight="1">
      <c r="A335" s="638"/>
      <c r="B335" s="64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8"/>
      <c r="AL335" s="638"/>
      <c r="AM335" s="638"/>
      <c r="AN335" s="632"/>
      <c r="AQ335" s="605"/>
    </row>
    <row r="336" spans="1:44" s="585" customFormat="1" ht="12.5" customHeight="1">
      <c r="A336" s="638"/>
      <c r="B336" s="64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8"/>
      <c r="AL336" s="638"/>
      <c r="AM336" s="638"/>
      <c r="AN336" s="632"/>
      <c r="AQ336" s="605"/>
      <c r="AR336" s="605"/>
    </row>
    <row r="337" spans="1:46" s="585" customFormat="1" ht="45.75" customHeight="1">
      <c r="A337" s="638"/>
      <c r="B337" s="646"/>
      <c r="C337" s="1926" t="s">
        <v>2517</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6" t="s">
        <v>2128</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8"/>
      <c r="AL339" s="638"/>
      <c r="AM339" s="638"/>
      <c r="AN339" s="632"/>
      <c r="AQ339" s="605"/>
      <c r="AR339" s="605"/>
    </row>
    <row r="340" spans="1:46" s="585" customFormat="1" ht="30" customHeight="1">
      <c r="A340" s="638"/>
      <c r="B340" s="64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8"/>
      <c r="AL340" s="638"/>
      <c r="AM340" s="638"/>
      <c r="AN340" s="632"/>
      <c r="AR340" s="605"/>
    </row>
    <row r="341" spans="1:46" s="585" customFormat="1" ht="12.75" customHeight="1">
      <c r="A341" s="638"/>
      <c r="B341" s="64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8"/>
      <c r="AL341" s="638"/>
      <c r="AM341" s="638"/>
      <c r="AN341" s="632"/>
      <c r="AR341" s="605"/>
    </row>
    <row r="342" spans="1:46" s="585" customFormat="1" ht="12.75" customHeight="1">
      <c r="A342" s="638"/>
      <c r="B342" s="646"/>
      <c r="C342" s="1926" t="s">
        <v>1628</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8"/>
      <c r="AL342" s="638"/>
      <c r="AM342" s="638"/>
      <c r="AN342" s="632"/>
      <c r="AQ342" s="605"/>
      <c r="AR342" s="605"/>
    </row>
    <row r="343" spans="1:46" s="585" customFormat="1" ht="12.75" customHeight="1">
      <c r="A343" s="638"/>
      <c r="B343" s="64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8"/>
      <c r="AL343" s="638"/>
      <c r="AM343" s="638"/>
      <c r="AN343" s="632"/>
      <c r="AQ343" s="605"/>
      <c r="AR343" s="605"/>
    </row>
    <row r="344" spans="1:46" s="585" customFormat="1" ht="13.25" customHeight="1">
      <c r="A344" s="638"/>
      <c r="B344" s="64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8"/>
      <c r="AL344" s="638"/>
      <c r="AM344" s="638"/>
      <c r="AN344" s="632"/>
      <c r="AQ344" s="605"/>
      <c r="AR344" s="605"/>
    </row>
    <row r="345" spans="1:46" s="585" customFormat="1" ht="12.75" customHeight="1">
      <c r="A345" s="638"/>
      <c r="B345" s="64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8"/>
      <c r="AL345" s="638"/>
      <c r="AM345" s="638"/>
      <c r="AN345" s="632"/>
      <c r="AO345" s="729"/>
      <c r="AP345" s="729"/>
      <c r="AQ345" s="605"/>
    </row>
    <row r="346" spans="1:46" s="585" customFormat="1" ht="11.75" customHeight="1">
      <c r="A346" s="638"/>
      <c r="B346" s="64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8"/>
      <c r="AL346" s="638"/>
      <c r="AM346" s="638"/>
      <c r="AN346" s="632"/>
      <c r="AO346" s="730" t="s">
        <v>113</v>
      </c>
      <c r="AP346" s="731">
        <f>IF(C370="Yes",5,0)</f>
        <v>5</v>
      </c>
      <c r="AS346" s="574" t="s">
        <v>1629</v>
      </c>
    </row>
    <row r="347" spans="1:46" s="585" customFormat="1" ht="12.75" customHeight="1">
      <c r="A347" s="638"/>
      <c r="B347" s="64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8"/>
      <c r="AL347" s="638"/>
      <c r="AM347" s="638"/>
      <c r="AN347" s="632"/>
      <c r="AO347" s="730" t="s">
        <v>114</v>
      </c>
      <c r="AP347" s="731">
        <f>IF(C378="Yes",5,0)</f>
        <v>5</v>
      </c>
      <c r="AS347" s="1891">
        <f>IF(Application!D210="Non-Targeted",(SUM(AQ355+AQ364)),AS351)</f>
        <v>10</v>
      </c>
      <c r="AT347" s="1891"/>
    </row>
    <row r="348" spans="1:46" s="585" customFormat="1" ht="12.75" customHeight="1">
      <c r="A348" s="638"/>
      <c r="B348" s="64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8"/>
      <c r="AL348" s="638"/>
      <c r="AM348" s="638"/>
      <c r="AN348" s="632"/>
      <c r="AO348" s="730" t="s">
        <v>120</v>
      </c>
      <c r="AP348" s="731">
        <f>IF(C386="Yes",7,0)</f>
        <v>0</v>
      </c>
      <c r="AS348" s="574" t="s">
        <v>1630</v>
      </c>
    </row>
    <row r="349" spans="1:46" s="585" customFormat="1" ht="12.75" customHeight="1">
      <c r="A349" s="638"/>
      <c r="B349" s="64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8"/>
      <c r="AL349" s="638"/>
      <c r="AM349" s="638"/>
      <c r="AN349" s="632"/>
      <c r="AO349" s="632"/>
      <c r="AP349" s="731">
        <f>IF(C388="Yes",5,0)</f>
        <v>0</v>
      </c>
      <c r="AS349" s="1891">
        <f>IF(AND(AQ355&gt;0,AQ364&gt;0),(AQ355+AQ364)/2,0)</f>
        <v>0</v>
      </c>
      <c r="AT349" s="1891"/>
    </row>
    <row r="350" spans="1:46" s="585" customFormat="1" ht="12.75" customHeight="1">
      <c r="A350" s="638"/>
      <c r="B350" s="64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8"/>
      <c r="AL350" s="638"/>
      <c r="AM350" s="638"/>
      <c r="AN350" s="632"/>
      <c r="AO350" s="730" t="s">
        <v>590</v>
      </c>
      <c r="AP350" s="731">
        <f>IF(C396="Yes",5,0)</f>
        <v>0</v>
      </c>
      <c r="AS350" s="574" t="s">
        <v>2145</v>
      </c>
    </row>
    <row r="351" spans="1:46" s="585" customFormat="1" ht="12.75" customHeight="1">
      <c r="A351" s="638"/>
      <c r="B351" s="646"/>
      <c r="C351" s="2020" t="s">
        <v>1631</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8"/>
      <c r="AL351" s="638"/>
      <c r="AM351" s="638"/>
      <c r="AN351" s="632"/>
      <c r="AO351" s="632"/>
      <c r="AP351" s="731">
        <f>IF(C398="Yes",3,0)</f>
        <v>0</v>
      </c>
      <c r="AS351" s="1891">
        <f>IF(AQ355=0,AQ364,AQ355)</f>
        <v>10</v>
      </c>
      <c r="AT351" s="1891"/>
    </row>
    <row r="352" spans="1:46" s="585" customFormat="1" ht="12.75" customHeight="1">
      <c r="A352" s="638"/>
      <c r="B352" s="646"/>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8"/>
      <c r="AL352" s="638"/>
      <c r="AM352" s="638"/>
      <c r="AN352" s="632"/>
      <c r="AO352" s="730" t="s">
        <v>787</v>
      </c>
      <c r="AP352" s="731">
        <f>IF(C401="Yes",5,0)</f>
        <v>0</v>
      </c>
    </row>
    <row r="353" spans="1:81" s="585" customFormat="1" ht="12.75" customHeight="1">
      <c r="A353" s="638"/>
      <c r="B353" s="646"/>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8"/>
      <c r="AL353" s="638"/>
      <c r="AM353" s="638"/>
      <c r="AN353" s="632"/>
      <c r="AO353" s="730" t="s">
        <v>593</v>
      </c>
      <c r="AP353" s="731">
        <f>IF(C410="Yes",5,0)</f>
        <v>0</v>
      </c>
    </row>
    <row r="354" spans="1:81" s="585" customFormat="1" ht="11.75" customHeight="1">
      <c r="A354" s="638"/>
      <c r="B354" s="646"/>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8"/>
      <c r="AL354" s="638"/>
      <c r="AM354" s="638"/>
      <c r="AN354" s="632"/>
      <c r="AO354" s="732"/>
      <c r="AP354" s="733">
        <f>IF(C412="Yes",3,0)</f>
        <v>0</v>
      </c>
    </row>
    <row r="355" spans="1:81" s="585" customFormat="1" ht="12.5" customHeight="1">
      <c r="A355" s="638"/>
      <c r="B355" s="646"/>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8"/>
      <c r="AL355" s="638"/>
      <c r="AM355" s="638"/>
      <c r="AN355" s="632"/>
      <c r="AO355" s="734" t="s">
        <v>228</v>
      </c>
      <c r="AP355" s="735">
        <f>SUM(AP346:AP354)</f>
        <v>10</v>
      </c>
      <c r="AQ355" s="1929">
        <f>IF(AP355&gt;0,AP355,0)</f>
        <v>10</v>
      </c>
      <c r="AR355" s="1929"/>
    </row>
    <row r="356" spans="1:81" s="585" customFormat="1" ht="12.75" customHeight="1">
      <c r="A356" s="638"/>
      <c r="B356" s="646"/>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6" t="s">
        <v>1632</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8"/>
      <c r="AL358" s="638"/>
      <c r="AM358" s="638"/>
      <c r="AN358" s="632"/>
      <c r="AO358" s="730" t="s">
        <v>465</v>
      </c>
      <c r="AP358" s="731">
        <f>IF(C431="Yes",5,0)</f>
        <v>0</v>
      </c>
    </row>
    <row r="359" spans="1:81" s="585" customFormat="1" ht="12.75" customHeight="1">
      <c r="A359" s="638"/>
      <c r="B359" s="64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8"/>
      <c r="AL359" s="638"/>
      <c r="AM359" s="638"/>
      <c r="AN359" s="632"/>
      <c r="AO359" s="730" t="s">
        <v>470</v>
      </c>
      <c r="AP359" s="731">
        <f>IF(C438="Yes",5,0)</f>
        <v>0</v>
      </c>
    </row>
    <row r="360" spans="1:81" s="585" customFormat="1" ht="68" customHeight="1">
      <c r="A360" s="638"/>
      <c r="B360" s="64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8"/>
      <c r="AL360" s="638"/>
      <c r="AM360" s="638"/>
      <c r="AN360" s="632"/>
      <c r="AO360" s="730" t="s">
        <v>655</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7">
        <f>Application!CS649-U363</f>
        <v>34</v>
      </c>
      <c r="V362" s="1927"/>
      <c r="W362" s="1927"/>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8">
        <f>Application!AG742</f>
        <v>0</v>
      </c>
      <c r="V363" s="1928"/>
      <c r="W363" s="192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29">
        <f>IF(AP364&gt;0,AP364,0)</f>
        <v>0</v>
      </c>
      <c r="AR364" s="1929"/>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20" t="s">
        <v>1637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0" t="s">
        <v>554</v>
      </c>
      <c r="D370" s="1931"/>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9" t="s">
        <v>1639</v>
      </c>
      <c r="AG370" s="1919"/>
      <c r="AH370" s="1919"/>
      <c r="AI370" s="1919"/>
      <c r="AJ370" s="1919"/>
      <c r="AK370" s="1919"/>
      <c r="AL370" s="193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20" t="s">
        <v>1640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7"/>
      <c r="AN377" s="632"/>
      <c r="BS377" s="30"/>
      <c r="BT377" s="30"/>
      <c r="BU377" s="14"/>
      <c r="BV377" s="14"/>
      <c r="BW377" s="14"/>
      <c r="BX377" s="14"/>
      <c r="BY377" s="14"/>
      <c r="BZ377" s="14"/>
      <c r="CA377" s="14"/>
      <c r="CB377" s="14"/>
      <c r="CC377" s="14"/>
    </row>
    <row r="378" spans="1:81" s="585" customFormat="1" ht="12.75" customHeight="1">
      <c r="A378" s="571"/>
      <c r="B378" s="14"/>
      <c r="C378" s="1930" t="s">
        <v>554</v>
      </c>
      <c r="D378" s="1931"/>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9" t="s">
        <v>1639</v>
      </c>
      <c r="AG378" s="1919"/>
      <c r="AH378" s="1919"/>
      <c r="AI378" s="1919"/>
      <c r="AJ378" s="1919"/>
      <c r="AK378" s="1919"/>
      <c r="AL378" s="193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20" t="s">
        <v>1642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0" t="s">
        <v>600</v>
      </c>
      <c r="D386" s="1931"/>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9" t="s">
        <v>1644</v>
      </c>
      <c r="AG386" s="1919"/>
      <c r="AH386" s="1919"/>
      <c r="AI386" s="1919"/>
      <c r="AJ386" s="1919"/>
      <c r="AK386" s="1919"/>
      <c r="AL386" s="193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0" t="s">
        <v>600</v>
      </c>
      <c r="D388" s="1931"/>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9" t="s">
        <v>1639</v>
      </c>
      <c r="AG388" s="1919"/>
      <c r="AH388" s="1919"/>
      <c r="AI388" s="1919"/>
      <c r="AJ388" s="1919"/>
      <c r="AK388" s="1919"/>
      <c r="AL388" s="193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20" t="s">
        <v>1648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0" t="s">
        <v>600</v>
      </c>
      <c r="D396" s="1931"/>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9" t="s">
        <v>1639</v>
      </c>
      <c r="AG396" s="1919"/>
      <c r="AH396" s="1919"/>
      <c r="AI396" s="1919"/>
      <c r="AJ396" s="1919"/>
      <c r="AK396" s="1919"/>
      <c r="AL396" s="193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0" t="s">
        <v>600</v>
      </c>
      <c r="D398" s="1931"/>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9" t="s">
        <v>1651</v>
      </c>
      <c r="AG398" s="1919"/>
      <c r="AH398" s="1919"/>
      <c r="AI398" s="1919"/>
      <c r="AJ398" s="1919"/>
      <c r="AK398" s="1919"/>
      <c r="AL398" s="193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0" t="s">
        <v>600</v>
      </c>
      <c r="D401" s="1931"/>
      <c r="E401" s="750" t="s">
        <v>1652</v>
      </c>
      <c r="F401" s="1920" t="s">
        <v>1653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1639</v>
      </c>
      <c r="AG402" s="1989"/>
      <c r="AH402" s="1989"/>
      <c r="AI402" s="1989"/>
      <c r="AJ402" s="1989"/>
      <c r="AK402" s="1989"/>
      <c r="AL402" s="2019"/>
      <c r="AM402" s="605"/>
      <c r="AN402" s="632"/>
      <c r="BS402" s="605"/>
      <c r="BT402" s="605"/>
      <c r="BY402" s="605"/>
      <c r="BZ402" s="605"/>
      <c r="CA402" s="605"/>
      <c r="CB402" s="605"/>
      <c r="CC402" s="605"/>
    </row>
    <row r="403" spans="1:81" s="585" customFormat="1" ht="12.75" customHeight="1">
      <c r="A403" s="571"/>
      <c r="B403" s="14"/>
      <c r="C403" s="766"/>
      <c r="D403" s="14"/>
      <c r="E403" s="726"/>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20" t="s">
        <v>1655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2"/>
      <c r="AG406" s="782"/>
      <c r="AH406" s="782"/>
      <c r="AI406" s="782"/>
      <c r="AJ406" s="782"/>
      <c r="AK406" s="782"/>
      <c r="AL406" s="783"/>
      <c r="AM406" s="605"/>
    </row>
    <row r="407" spans="1:81">
      <c r="A407" s="571"/>
      <c r="C407" s="766"/>
      <c r="E407" s="726"/>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4"/>
      <c r="AG407" s="571"/>
      <c r="AH407" s="585"/>
      <c r="AI407" s="585"/>
      <c r="AJ407" s="585"/>
      <c r="AK407" s="585"/>
      <c r="AL407" s="767"/>
      <c r="AM407" s="605"/>
    </row>
    <row r="408" spans="1:81" s="585" customFormat="1" ht="12.75" customHeight="1">
      <c r="A408" s="571"/>
      <c r="B408" s="14"/>
      <c r="C408" s="766"/>
      <c r="D408" s="14"/>
      <c r="E408" s="726"/>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7"/>
      <c r="AM408" s="605"/>
      <c r="AN408" s="632"/>
    </row>
    <row r="409" spans="1:81" s="585" customFormat="1" ht="12.75" customHeight="1">
      <c r="A409" s="571"/>
      <c r="B409" s="14"/>
      <c r="C409" s="774"/>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7"/>
      <c r="AM409" s="605"/>
      <c r="AN409" s="632"/>
    </row>
    <row r="410" spans="1:81" s="585" customFormat="1" ht="12.75" customHeight="1">
      <c r="A410" s="571"/>
      <c r="B410" s="14"/>
      <c r="C410" s="1930" t="s">
        <v>600</v>
      </c>
      <c r="D410" s="1931"/>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9" t="s">
        <v>1639</v>
      </c>
      <c r="AG410" s="1989"/>
      <c r="AH410" s="1989"/>
      <c r="AI410" s="1989"/>
      <c r="AJ410" s="1989"/>
      <c r="AK410" s="1989"/>
      <c r="AL410" s="2019"/>
      <c r="AM410" s="605"/>
      <c r="AN410" s="632"/>
    </row>
    <row r="411" spans="1:81" s="585" customFormat="1" ht="12.75" customHeight="1">
      <c r="A411" s="571"/>
      <c r="B411" s="14"/>
      <c r="C411" s="774"/>
      <c r="AL411" s="767"/>
      <c r="AM411" s="605"/>
      <c r="AN411" s="632"/>
    </row>
    <row r="412" spans="1:81" s="585" customFormat="1" ht="12.75" customHeight="1">
      <c r="A412" s="571"/>
      <c r="B412" s="14"/>
      <c r="C412" s="1930" t="s">
        <v>600</v>
      </c>
      <c r="D412" s="1931"/>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9" t="s">
        <v>1651</v>
      </c>
      <c r="AG412" s="1989"/>
      <c r="AH412" s="1989"/>
      <c r="AI412" s="1989"/>
      <c r="AJ412" s="1989"/>
      <c r="AK412" s="1989"/>
      <c r="AL412" s="201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20" t="s">
        <v>1660</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9"/>
      <c r="AG416" s="749"/>
      <c r="AH416" s="749"/>
      <c r="AI416" s="749"/>
      <c r="AJ416" s="749"/>
      <c r="AK416" s="749"/>
      <c r="AL416" s="780"/>
      <c r="AM416" s="605"/>
      <c r="AN416" s="632"/>
    </row>
    <row r="417" spans="1:60" s="585" customFormat="1" ht="12.75" customHeight="1">
      <c r="A417" s="571"/>
      <c r="B417" s="14"/>
      <c r="C417" s="766"/>
      <c r="D417" s="14"/>
      <c r="E417" s="726"/>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4"/>
      <c r="AG417" s="571"/>
      <c r="AL417" s="767"/>
      <c r="AM417" s="605"/>
      <c r="AN417" s="632"/>
    </row>
    <row r="418" spans="1:60" s="585" customFormat="1" ht="12.5" customHeight="1">
      <c r="A418" s="571"/>
      <c r="B418" s="14"/>
      <c r="C418" s="766"/>
      <c r="D418" s="14"/>
      <c r="E418" s="726"/>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7"/>
      <c r="AM418" s="605"/>
      <c r="AN418" s="632"/>
    </row>
    <row r="419" spans="1:60" s="585" customFormat="1" ht="12.75" customHeight="1">
      <c r="A419" s="571"/>
      <c r="B419" s="14"/>
      <c r="C419" s="1930" t="s">
        <v>600</v>
      </c>
      <c r="D419" s="1931"/>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9" t="s">
        <v>1639</v>
      </c>
      <c r="AG419" s="1989"/>
      <c r="AH419" s="1989"/>
      <c r="AI419" s="1989"/>
      <c r="AJ419" s="1989"/>
      <c r="AK419" s="1989"/>
      <c r="AL419" s="201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1920" t="s">
        <v>1663</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2"/>
      <c r="AG422" s="782"/>
      <c r="AH422" s="782"/>
      <c r="AI422" s="782"/>
      <c r="AJ422" s="782"/>
      <c r="AK422" s="782"/>
      <c r="AL422" s="783"/>
      <c r="AM422" s="605"/>
      <c r="AO422" s="585"/>
      <c r="AP422" s="585"/>
      <c r="BD422" s="14"/>
      <c r="BE422" s="14"/>
      <c r="BF422" s="14"/>
      <c r="BG422" s="14"/>
      <c r="BH422" s="14"/>
    </row>
    <row r="423" spans="1:60">
      <c r="A423" s="571"/>
      <c r="C423" s="766"/>
      <c r="E423" s="726"/>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9"/>
      <c r="AG423" s="629"/>
      <c r="AH423" s="629"/>
      <c r="AI423" s="629"/>
      <c r="AJ423" s="629"/>
      <c r="AK423" s="629"/>
      <c r="AL423" s="786"/>
      <c r="AM423" s="605"/>
      <c r="AO423" s="585"/>
      <c r="AP423" s="585"/>
    </row>
    <row r="424" spans="1:60" s="585" customFormat="1" ht="12.75" customHeight="1">
      <c r="A424" s="571"/>
      <c r="B424" s="14"/>
      <c r="C424" s="766"/>
      <c r="D424" s="14"/>
      <c r="E424" s="726"/>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9"/>
      <c r="AG424" s="629"/>
      <c r="AH424" s="629"/>
      <c r="AI424" s="629"/>
      <c r="AJ424" s="629"/>
      <c r="AK424" s="629"/>
      <c r="AL424" s="786"/>
      <c r="AM424" s="605"/>
      <c r="AN424" s="632"/>
    </row>
    <row r="425" spans="1:60" s="585" customFormat="1" ht="12.75" customHeight="1">
      <c r="A425" s="571"/>
      <c r="B425" s="14"/>
      <c r="C425" s="787"/>
      <c r="D425" s="765"/>
      <c r="E425" s="754"/>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9"/>
      <c r="AG426" s="629"/>
      <c r="AH426" s="629"/>
      <c r="AI426" s="629"/>
      <c r="AJ426" s="629"/>
      <c r="AK426" s="629"/>
      <c r="AL426" s="786"/>
      <c r="AM426" s="605"/>
      <c r="AN426" s="632"/>
    </row>
    <row r="427" spans="1:60" s="585" customFormat="1" ht="12.75" customHeight="1">
      <c r="A427" s="571"/>
      <c r="B427" s="14"/>
      <c r="C427" s="787"/>
      <c r="D427" s="765"/>
      <c r="E427" s="754"/>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9"/>
      <c r="AG427" s="629"/>
      <c r="AH427" s="629"/>
      <c r="AI427" s="629"/>
      <c r="AJ427" s="629"/>
      <c r="AK427" s="629"/>
      <c r="AL427" s="786"/>
      <c r="AM427" s="605"/>
      <c r="AN427" s="632"/>
    </row>
    <row r="428" spans="1:60" s="585" customFormat="1" ht="12.75" customHeight="1">
      <c r="A428" s="571"/>
      <c r="B428" s="14"/>
      <c r="C428" s="787"/>
      <c r="D428" s="765"/>
      <c r="E428" s="754"/>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9"/>
      <c r="AG428" s="629"/>
      <c r="AH428" s="629"/>
      <c r="AI428" s="629"/>
      <c r="AJ428" s="629"/>
      <c r="AK428" s="629"/>
      <c r="AL428" s="786"/>
      <c r="AM428" s="605"/>
      <c r="AN428" s="632"/>
    </row>
    <row r="429" spans="1:60" s="585" customFormat="1" ht="12.75" customHeight="1">
      <c r="A429" s="571"/>
      <c r="B429" s="14"/>
      <c r="C429" s="787"/>
      <c r="D429" s="765"/>
      <c r="E429" s="754"/>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9"/>
      <c r="AG429" s="629"/>
      <c r="AH429" s="629"/>
      <c r="AI429" s="629"/>
      <c r="AJ429" s="629"/>
      <c r="AK429" s="629"/>
      <c r="AL429" s="786"/>
      <c r="AM429" s="605"/>
      <c r="AN429" s="632"/>
    </row>
    <row r="430" spans="1:60" s="585" customFormat="1" ht="17.25" customHeight="1">
      <c r="A430" s="571"/>
      <c r="B430" s="14"/>
      <c r="C430" s="787"/>
      <c r="D430" s="765"/>
      <c r="E430" s="754"/>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7"/>
      <c r="AM430" s="605"/>
      <c r="AN430" s="632"/>
    </row>
    <row r="431" spans="1:60" s="585" customFormat="1" ht="12.75" customHeight="1">
      <c r="A431" s="571"/>
      <c r="B431" s="14"/>
      <c r="C431" s="1930" t="s">
        <v>600</v>
      </c>
      <c r="D431" s="1931"/>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9" t="s">
        <v>1639</v>
      </c>
      <c r="AG431" s="1989"/>
      <c r="AH431" s="1989"/>
      <c r="AI431" s="1989"/>
      <c r="AJ431" s="1989"/>
      <c r="AK431" s="1989"/>
      <c r="AL431" s="201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20" t="s">
        <v>1666</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7"/>
      <c r="AM437" s="605"/>
      <c r="AN437" s="632"/>
      <c r="AO437" s="585" t="s">
        <v>1669</v>
      </c>
      <c r="AP437" s="585">
        <v>5</v>
      </c>
      <c r="AQ437" s="571"/>
    </row>
    <row r="438" spans="1:54" s="585" customFormat="1" ht="12.75" customHeight="1">
      <c r="A438" s="571"/>
      <c r="B438" s="14"/>
      <c r="C438" s="1930" t="s">
        <v>600</v>
      </c>
      <c r="D438" s="1931"/>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9" t="s">
        <v>1639</v>
      </c>
      <c r="AG438" s="1989"/>
      <c r="AH438" s="1989"/>
      <c r="AI438" s="1989"/>
      <c r="AJ438" s="1989"/>
      <c r="AK438" s="1989"/>
      <c r="AL438" s="2019"/>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44" t="s">
        <v>600</v>
      </c>
      <c r="D442" s="2045"/>
      <c r="E442" s="750" t="s">
        <v>1675</v>
      </c>
      <c r="F442" s="1920" t="s">
        <v>1676</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1639</v>
      </c>
      <c r="AG442" s="2015"/>
      <c r="AH442" s="2015"/>
      <c r="AI442" s="2015"/>
      <c r="AJ442" s="2015"/>
      <c r="AK442" s="2015"/>
      <c r="AL442" s="2016"/>
      <c r="AM442" s="605"/>
      <c r="AN442" s="789"/>
      <c r="AO442" s="585" t="s">
        <v>1677</v>
      </c>
      <c r="AP442" s="585">
        <v>1</v>
      </c>
    </row>
    <row r="443" spans="1:54" s="585" customFormat="1" ht="12.75" customHeight="1">
      <c r="A443" s="571"/>
      <c r="B443" s="14"/>
      <c r="C443" s="787"/>
      <c r="D443" s="765"/>
      <c r="E443" s="754"/>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30" t="s">
        <v>600</v>
      </c>
      <c r="D446" s="1931"/>
      <c r="E446" s="750" t="s">
        <v>1681</v>
      </c>
      <c r="F446" s="1920" t="s">
        <v>1682</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1639</v>
      </c>
      <c r="AG446" s="2015"/>
      <c r="AH446" s="2015"/>
      <c r="AI446" s="2015"/>
      <c r="AJ446" s="2015"/>
      <c r="AK446" s="2015"/>
      <c r="AL446" s="2016"/>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20" t="s">
        <v>1685</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9"/>
      <c r="AH451" s="749"/>
      <c r="AI451" s="749"/>
      <c r="AJ451" s="749"/>
      <c r="AK451" s="749"/>
      <c r="AL451" s="780"/>
      <c r="AM451" s="605"/>
      <c r="AN451" s="632"/>
    </row>
    <row r="452" spans="1:49" s="585" customFormat="1" ht="12.75" customHeight="1">
      <c r="A452" s="571"/>
      <c r="B452" s="14"/>
      <c r="C452" s="766"/>
      <c r="D452" s="14"/>
      <c r="E452" s="726"/>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7"/>
      <c r="AM452" s="605"/>
      <c r="AN452" s="632"/>
    </row>
    <row r="453" spans="1:49" s="585" customFormat="1" ht="12.75" customHeight="1">
      <c r="A453" s="571"/>
      <c r="B453" s="14"/>
      <c r="C453" s="774"/>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7"/>
      <c r="AM453" s="605"/>
      <c r="AN453" s="632"/>
    </row>
    <row r="454" spans="1:49" s="585" customFormat="1" ht="12.75" customHeight="1">
      <c r="A454" s="571"/>
      <c r="B454" s="14"/>
      <c r="C454" s="774"/>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7"/>
      <c r="AM454" s="605"/>
      <c r="AN454" s="632"/>
    </row>
    <row r="455" spans="1:49" s="585" customFormat="1" ht="12.75" customHeight="1">
      <c r="A455" s="571"/>
      <c r="B455" s="14"/>
      <c r="C455" s="1930" t="s">
        <v>600</v>
      </c>
      <c r="D455" s="1931"/>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9" t="s">
        <v>1639</v>
      </c>
      <c r="AG455" s="1919"/>
      <c r="AH455" s="1919"/>
      <c r="AI455" s="1919"/>
      <c r="AJ455" s="1919"/>
      <c r="AK455" s="1919"/>
      <c r="AL455" s="193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16">
        <f>IF(Application!D213="N/A",AS347,AS349)</f>
        <v>10</v>
      </c>
      <c r="AL458" s="1917"/>
      <c r="AM458" s="191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9" t="s">
        <v>1689</v>
      </c>
      <c r="AF461" s="1919"/>
      <c r="AG461" s="1919"/>
      <c r="AH461" s="1919"/>
      <c r="AI461" s="1919"/>
      <c r="AJ461" s="1919"/>
      <c r="AK461" s="191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96" t="s">
        <v>600</v>
      </c>
      <c r="D467" s="1997"/>
      <c r="E467" s="797" t="s">
        <v>516</v>
      </c>
      <c r="F467" s="2017" t="s">
        <v>1695</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6"/>
      <c r="AH468" s="586"/>
      <c r="AI468" s="586"/>
      <c r="AJ468" s="586"/>
      <c r="AK468" s="767"/>
      <c r="AN468" s="632"/>
      <c r="AO468" s="585" t="s">
        <v>1677</v>
      </c>
      <c r="AP468" s="585">
        <v>1</v>
      </c>
    </row>
    <row r="469" spans="1:50" s="585" customFormat="1" ht="12.75" hidden="1" customHeight="1">
      <c r="C469" s="800"/>
      <c r="D469" s="762"/>
      <c r="E469" s="801"/>
      <c r="F469" s="2012" t="s">
        <v>600</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3" t="s">
        <v>554</v>
      </c>
      <c r="D471" s="2014"/>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25" t="s">
        <v>600</v>
      </c>
      <c r="W474" s="1925"/>
      <c r="X474" s="1925"/>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25" t="s">
        <v>600</v>
      </c>
      <c r="W476" s="1925"/>
      <c r="X476" s="1925"/>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25" t="s">
        <v>600</v>
      </c>
      <c r="W481" s="1925"/>
      <c r="X481" s="1925"/>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9"/>
      <c r="E484" s="1999"/>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25" t="s">
        <v>600</v>
      </c>
      <c r="W485" s="1925"/>
      <c r="X485" s="1925"/>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25" t="s">
        <v>600</v>
      </c>
      <c r="W487" s="1925"/>
      <c r="X487" s="1925"/>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6" t="s">
        <v>600</v>
      </c>
      <c r="D490" s="1997"/>
      <c r="E490" s="797" t="s">
        <v>516</v>
      </c>
      <c r="F490" s="2017" t="s">
        <v>1695</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4" t="s">
        <v>600</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6" t="s">
        <v>600</v>
      </c>
      <c r="D494" s="1997"/>
      <c r="E494" s="797" t="s">
        <v>769</v>
      </c>
      <c r="F494" s="2005" t="s">
        <v>1717</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07" t="s">
        <v>600</v>
      </c>
      <c r="G497" s="2007"/>
      <c r="H497" s="200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96" t="s">
        <v>600</v>
      </c>
      <c r="D499" s="1997"/>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98"/>
      <c r="D501" s="1999"/>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00" t="s">
        <v>600</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1" t="s">
        <v>600</v>
      </c>
      <c r="D504" s="2002"/>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1" t="s">
        <v>600</v>
      </c>
      <c r="D508" s="2002"/>
      <c r="F508" s="831" t="s">
        <v>1725</v>
      </c>
      <c r="G508" s="1921" t="s">
        <v>1726</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8" t="s">
        <v>600</v>
      </c>
      <c r="D512" s="2009"/>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0" t="s">
        <v>600</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16">
        <f>SUM(AG468:AG513)</f>
        <v>0</v>
      </c>
      <c r="AL524" s="1917"/>
      <c r="AM524" s="191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2" t="s">
        <v>1738</v>
      </c>
      <c r="AF527" s="1922"/>
      <c r="AG527" s="1922"/>
      <c r="AH527" s="1922"/>
      <c r="AI527" s="1922"/>
      <c r="AJ527" s="1922"/>
      <c r="AK527" s="1922"/>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1" t="s">
        <v>554</v>
      </c>
      <c r="D530" s="1931"/>
      <c r="E530" s="586"/>
      <c r="F530" s="1990" t="s">
        <v>1739</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30"/>
      <c r="AN530" s="632"/>
    </row>
    <row r="531" spans="1:49" s="585" customFormat="1" ht="12.75" customHeight="1">
      <c r="A531" s="574"/>
      <c r="B531" s="574"/>
      <c r="C531" s="586"/>
      <c r="D531" s="586"/>
      <c r="E531" s="586"/>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1" t="s">
        <v>600</v>
      </c>
      <c r="D533" s="1931"/>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8" t="s">
        <v>1741</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30"/>
      <c r="AN534" s="632"/>
      <c r="AS534" s="906"/>
      <c r="AT534" s="906"/>
      <c r="AU534" s="906"/>
      <c r="AV534" s="906"/>
      <c r="AW534" s="906"/>
    </row>
    <row r="535" spans="1:49" s="585" customFormat="1" ht="12.75" customHeight="1">
      <c r="B535" s="842"/>
      <c r="C535" s="842"/>
      <c r="D535" s="842"/>
      <c r="E535" s="842"/>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8" t="s">
        <v>1742</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9"/>
      <c r="AM537" s="630"/>
      <c r="AN537" s="632"/>
    </row>
    <row r="538" spans="1:49" s="585" customFormat="1" ht="12.75" customHeight="1">
      <c r="B538" s="842"/>
      <c r="C538" s="842"/>
      <c r="D538" s="842"/>
      <c r="E538" s="842"/>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3">
        <f>Application!AJ961</f>
        <v>8229866</v>
      </c>
      <c r="AQ539" s="1903"/>
      <c r="AR539" s="1903"/>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3">
        <f>'Sources and Uses Budget'!S107+'Sources and Uses Budget'!T107</f>
        <v>9988070.2925004065</v>
      </c>
      <c r="AG540" s="1913"/>
      <c r="AH540" s="1913"/>
      <c r="AI540" s="1913"/>
      <c r="AJ540" s="1913"/>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4">
        <f>IFERROR(AP548,0)</f>
        <v>16459731.800000001</v>
      </c>
      <c r="AG541" s="1914"/>
      <c r="AH541" s="1914"/>
      <c r="AI541" s="1914"/>
      <c r="AJ541" s="1914"/>
      <c r="AK541" s="630"/>
      <c r="AL541" s="630"/>
      <c r="AM541" s="630"/>
      <c r="AN541" s="632"/>
      <c r="AP541" s="1903">
        <f>Application!AJ1010</f>
        <v>0</v>
      </c>
      <c r="AQ541" s="1903"/>
      <c r="AR541" s="190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5">
        <f>IFERROR(ROUNDDOWN(IF(C533="YES",((1-(AF540/AF541))*2),(1-(AF540/AF541))),2),0)</f>
        <v>0.39</v>
      </c>
      <c r="AG542" s="1915"/>
      <c r="AH542" s="1915"/>
      <c r="AI542" s="1915"/>
      <c r="AJ542" s="1915"/>
      <c r="AK542" s="630"/>
      <c r="AL542" s="630"/>
      <c r="AM542" s="630"/>
      <c r="AN542" s="632"/>
      <c r="AP542" s="1904">
        <f>Application!AJ1014</f>
        <v>16459732</v>
      </c>
      <c r="AQ542" s="1904"/>
      <c r="AR542" s="190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3">
        <f>IF(((AP541+AP542)/AP539)&gt;0.8,0.8,((AP541+AP542)/AP539))</f>
        <v>0.8</v>
      </c>
      <c r="AQ543" s="1923"/>
      <c r="AR543" s="1923"/>
    </row>
    <row r="544" spans="1:49" s="585" customFormat="1" ht="12.75" customHeight="1">
      <c r="A544" s="659"/>
      <c r="B544" s="1969" t="s">
        <v>2430</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30"/>
      <c r="AL544" s="630"/>
      <c r="AM544" s="630"/>
      <c r="AN544" s="632"/>
    </row>
    <row r="545" spans="1:44" s="585" customFormat="1" ht="12.75" customHeight="1">
      <c r="A545" s="659"/>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30"/>
      <c r="AL545" s="630"/>
      <c r="AM545" s="630"/>
      <c r="AN545" s="632"/>
      <c r="AP545" s="1903">
        <f>AP546-AP541-AP542</f>
        <v>9875839</v>
      </c>
      <c r="AQ545" s="1924"/>
      <c r="AR545" s="1924"/>
    </row>
    <row r="546" spans="1:44" s="585" customFormat="1" ht="12.75" customHeight="1">
      <c r="A546" s="659"/>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30"/>
      <c r="AL546" s="630"/>
      <c r="AM546" s="630"/>
      <c r="AN546" s="632"/>
      <c r="AP546" s="1903">
        <f>Application!AJ1018</f>
        <v>26335571</v>
      </c>
      <c r="AQ546" s="1903"/>
      <c r="AR546" s="190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8">
        <f>IFERROR(IF(AND(C530="N/A",C533="N/A"),0,IF(AF542=0,0,IF((AF542*100)&gt;12,12,(AF542*100)))),0)</f>
        <v>12</v>
      </c>
      <c r="AL548" s="1978"/>
      <c r="AM548" s="1979"/>
      <c r="AN548" s="632"/>
      <c r="AP548" s="1892">
        <f>AP545+(AP539*AP543)</f>
        <v>16459731.800000001</v>
      </c>
      <c r="AQ548" s="1893"/>
      <c r="AR548" s="189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2" t="s">
        <v>1487</v>
      </c>
      <c r="AF551" s="1922"/>
      <c r="AG551" s="1922"/>
      <c r="AH551" s="1922"/>
      <c r="AI551" s="1922"/>
      <c r="AJ551" s="1922"/>
      <c r="AK551" s="192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9" t="s">
        <v>2421</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7"/>
      <c r="AL553" s="608"/>
      <c r="AM553" s="638"/>
      <c r="AN553" s="632"/>
    </row>
    <row r="554" spans="1:44" s="585" customFormat="1" ht="12.75" customHeight="1">
      <c r="A554" s="638"/>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7"/>
      <c r="AL554" s="608"/>
      <c r="AM554" s="638"/>
      <c r="AN554" s="632"/>
    </row>
    <row r="555" spans="1:44" s="585" customFormat="1" ht="12.75" customHeight="1">
      <c r="A555" s="638"/>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7"/>
      <c r="AL555" s="608"/>
      <c r="AM555" s="638"/>
      <c r="AN555" s="632"/>
    </row>
    <row r="556" spans="1:44" s="585" customFormat="1" ht="12.75" customHeight="1">
      <c r="A556" s="638"/>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7"/>
      <c r="AL556" s="608"/>
      <c r="AM556" s="638"/>
      <c r="AN556" s="632"/>
    </row>
    <row r="557" spans="1:44" s="585" customFormat="1" ht="12.75" customHeight="1">
      <c r="A557" s="638"/>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7"/>
      <c r="AL557" s="608"/>
      <c r="AM557" s="638"/>
      <c r="AN557" s="632"/>
    </row>
    <row r="558" spans="1:44" s="585" customFormat="1" ht="12.75" customHeight="1">
      <c r="A558" s="638"/>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7"/>
      <c r="AL558" s="608"/>
      <c r="AM558" s="638"/>
      <c r="AN558" s="632"/>
    </row>
    <row r="559" spans="1:44" s="585" customFormat="1" ht="12.75" customHeight="1">
      <c r="A559" s="638"/>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7"/>
      <c r="AL559" s="608"/>
      <c r="AM559" s="638"/>
      <c r="AN559" s="632"/>
    </row>
    <row r="560" spans="1:44" ht="12.75" customHeight="1">
      <c r="A560" s="638"/>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7"/>
      <c r="AL560" s="608"/>
      <c r="AM560" s="638"/>
    </row>
    <row r="561" spans="1:42" s="585" customFormat="1" ht="12.75"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9" t="s">
        <v>1511</v>
      </c>
      <c r="AG567" s="1989"/>
      <c r="AH567" s="1989"/>
      <c r="AI567" s="1989"/>
      <c r="AJ567" s="1989"/>
      <c r="AK567" s="1989"/>
      <c r="AL567" s="1989"/>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9" t="s">
        <v>1569</v>
      </c>
      <c r="AG574" s="1989"/>
      <c r="AH574" s="1989"/>
      <c r="AI574" s="1989"/>
      <c r="AJ574" s="1989"/>
      <c r="AK574" s="1989"/>
      <c r="AL574" s="1989"/>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9" t="s">
        <v>1551</v>
      </c>
      <c r="AG580" s="1989"/>
      <c r="AH580" s="1989"/>
      <c r="AI580" s="1989"/>
      <c r="AJ580" s="1989"/>
      <c r="AK580" s="1989"/>
      <c r="AL580" s="1989"/>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9" t="s">
        <v>1572</v>
      </c>
      <c r="AG586" s="1989"/>
      <c r="AH586" s="1989"/>
      <c r="AI586" s="1989"/>
      <c r="AJ586" s="1989"/>
      <c r="AK586" s="1989"/>
      <c r="AL586" s="1989"/>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7" t="s">
        <v>1327</v>
      </c>
      <c r="P590" s="2027"/>
      <c r="Q590" s="2027"/>
      <c r="R590" s="2027"/>
      <c r="S590" s="2027"/>
      <c r="T590" s="2027"/>
      <c r="U590" s="2027"/>
      <c r="V590" s="2027"/>
      <c r="W590" s="2027"/>
      <c r="X590" s="2027"/>
      <c r="Y590" s="2027"/>
      <c r="Z590" s="2027"/>
      <c r="AA590" s="2027"/>
      <c r="AB590" s="202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9" t="s">
        <v>1525</v>
      </c>
      <c r="AG592" s="1989"/>
      <c r="AH592" s="1989"/>
      <c r="AI592" s="1989"/>
      <c r="AJ592" s="1989"/>
      <c r="AK592" s="1989"/>
      <c r="AL592" s="1989"/>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33" t="s">
        <v>279</v>
      </c>
      <c r="I595" s="193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24" t="s">
        <v>600</v>
      </c>
      <c r="C605" s="2024"/>
      <c r="D605" s="677"/>
      <c r="E605" s="1909" t="s">
        <v>1576</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7"/>
      <c r="AI605" s="677"/>
      <c r="AJ605" s="677"/>
      <c r="AK605" s="677"/>
      <c r="AL605" s="677"/>
      <c r="AN605" s="632"/>
    </row>
    <row r="606" spans="2:47" s="585" customFormat="1" ht="12.75" customHeight="1">
      <c r="B606" s="571"/>
      <c r="C606" s="970"/>
      <c r="D606" s="677"/>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7"/>
      <c r="AI606" s="677"/>
      <c r="AJ606" s="677"/>
      <c r="AK606" s="677"/>
      <c r="AL606" s="677"/>
      <c r="AN606" s="632"/>
    </row>
    <row r="607" spans="2:47" s="585" customFormat="1" ht="12.75" customHeight="1">
      <c r="B607" s="571"/>
      <c r="C607" s="970"/>
      <c r="D607" s="677"/>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7"/>
      <c r="AI607" s="677"/>
      <c r="AJ607" s="677"/>
      <c r="AK607" s="677"/>
      <c r="AL607" s="677"/>
      <c r="AN607" s="632"/>
    </row>
    <row r="608" spans="2:47" s="585" customFormat="1" ht="12.75" customHeight="1">
      <c r="B608" s="571"/>
      <c r="C608" s="970"/>
      <c r="D608" s="677"/>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16">
        <f>VLOOKUP($H$595,$AO$575:$AP$580,2,FALSE)+VLOOKUP($I$603,$AO$602:$AP$604,2,FALSE)</f>
        <v>5</v>
      </c>
      <c r="AK610" s="191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25" t="s">
        <v>1955</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4"/>
      <c r="AF614" s="1989" t="s">
        <v>1525</v>
      </c>
      <c r="AG614" s="1989"/>
      <c r="AH614" s="1989"/>
      <c r="AI614" s="1989"/>
      <c r="AJ614" s="1989"/>
      <c r="AK614" s="1989"/>
      <c r="AL614" s="1989"/>
      <c r="AM614" s="585"/>
      <c r="AN614" s="713"/>
    </row>
    <row r="615" spans="1:42" s="585" customFormat="1" ht="12.75" customHeight="1">
      <c r="A615" s="714"/>
      <c r="B615" s="571"/>
      <c r="C615" s="970"/>
      <c r="D615" s="698"/>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1"/>
      <c r="AF615" s="571"/>
      <c r="AG615" s="571"/>
      <c r="AH615" s="571"/>
      <c r="AI615" s="571"/>
      <c r="AJ615" s="571"/>
      <c r="AK615" s="571"/>
      <c r="AL615" s="571"/>
      <c r="AN615" s="632"/>
    </row>
    <row r="616" spans="1:42" s="585" customFormat="1" ht="12.75" customHeight="1">
      <c r="B616" s="571"/>
      <c r="C616" s="968"/>
      <c r="D616" s="698"/>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1"/>
      <c r="AF616" s="571"/>
      <c r="AG616" s="571"/>
      <c r="AH616" s="571"/>
      <c r="AI616" s="571"/>
      <c r="AJ616" s="571"/>
      <c r="AK616" s="571"/>
      <c r="AL616" s="571"/>
      <c r="AN616" s="632"/>
    </row>
    <row r="617" spans="1:42" s="585" customFormat="1" ht="12.75" customHeight="1">
      <c r="B617" s="571"/>
      <c r="C617" s="968"/>
      <c r="D617" s="698"/>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1"/>
      <c r="AF617" s="571"/>
      <c r="AG617" s="571"/>
      <c r="AH617" s="571"/>
      <c r="AI617" s="571"/>
      <c r="AJ617" s="571"/>
      <c r="AK617" s="571"/>
      <c r="AL617" s="571"/>
      <c r="AN617" s="632"/>
    </row>
    <row r="618" spans="1:42" s="585" customFormat="1" ht="12.75" customHeight="1">
      <c r="B618" s="571"/>
      <c r="C618" s="968"/>
      <c r="D618" s="698"/>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1"/>
      <c r="AF618" s="571"/>
      <c r="AG618" s="571"/>
      <c r="AH618" s="571"/>
      <c r="AI618" s="571"/>
      <c r="AJ618" s="571"/>
      <c r="AK618" s="571"/>
      <c r="AL618" s="571"/>
      <c r="AN618" s="632"/>
    </row>
    <row r="619" spans="1:42" s="585" customFormat="1" ht="12.75" customHeight="1">
      <c r="B619" s="571"/>
      <c r="C619" s="968"/>
      <c r="D619" s="698"/>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1"/>
      <c r="AF619" s="571"/>
      <c r="AG619" s="571"/>
      <c r="AH619" s="571"/>
      <c r="AI619" s="571"/>
      <c r="AJ619" s="571"/>
      <c r="AK619" s="571"/>
      <c r="AL619" s="571"/>
      <c r="AN619" s="632"/>
    </row>
    <row r="620" spans="1:42" s="585" customFormat="1" ht="12.75" customHeight="1">
      <c r="A620" s="672"/>
      <c r="B620" s="651"/>
      <c r="C620" s="977"/>
      <c r="D620" s="698"/>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1"/>
      <c r="AF620" s="651"/>
      <c r="AG620" s="651"/>
      <c r="AH620" s="651"/>
      <c r="AI620" s="651"/>
      <c r="AJ620" s="651"/>
      <c r="AK620" s="571"/>
      <c r="AL620" s="571"/>
      <c r="AN620" s="632"/>
    </row>
    <row r="621" spans="1:42" s="585" customFormat="1" ht="12.75" customHeight="1">
      <c r="B621" s="651"/>
      <c r="C621" s="977"/>
      <c r="D621" s="698"/>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24" t="s">
        <v>600</v>
      </c>
      <c r="Y623" s="202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9" t="s">
        <v>1581</v>
      </c>
      <c r="AG625" s="1989"/>
      <c r="AH625" s="1989"/>
      <c r="AI625" s="1989"/>
      <c r="AJ625" s="1989"/>
      <c r="AK625" s="1989"/>
      <c r="AL625" s="1989"/>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33" t="s">
        <v>697</v>
      </c>
      <c r="I627" s="193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16">
        <f>VLOOKUP($H$627,$AO$594:$AP$596,2,FALSE)</f>
        <v>3</v>
      </c>
      <c r="AK629" s="1918"/>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9" t="s">
        <v>2525</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1"/>
      <c r="AF633" s="1989" t="s">
        <v>1525</v>
      </c>
      <c r="AG633" s="1989"/>
      <c r="AH633" s="1989"/>
      <c r="AI633" s="1989"/>
      <c r="AJ633" s="1989"/>
      <c r="AK633" s="1989"/>
      <c r="AL633" s="1989"/>
      <c r="AN633" s="632"/>
    </row>
    <row r="634" spans="1:42" s="585" customFormat="1" ht="12.75" customHeight="1">
      <c r="B634" s="571"/>
      <c r="C634" s="571"/>
      <c r="D634" s="698"/>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9" t="s">
        <v>1581</v>
      </c>
      <c r="AG636" s="1989"/>
      <c r="AH636" s="1989"/>
      <c r="AI636" s="1989"/>
      <c r="AJ636" s="1989"/>
      <c r="AK636" s="1989"/>
      <c r="AL636" s="1989"/>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33" t="s">
        <v>518</v>
      </c>
      <c r="I639" s="193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16">
        <f>VLOOKUP(H639,AT594:AU596,2,FALSE)</f>
        <v>2</v>
      </c>
      <c r="AK641" s="1918"/>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9" t="s">
        <v>1591</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1"/>
      <c r="AE646" s="571"/>
      <c r="AF646" s="1989" t="s">
        <v>1551</v>
      </c>
      <c r="AG646" s="1989"/>
      <c r="AH646" s="1989"/>
      <c r="AI646" s="1989"/>
      <c r="AJ646" s="1989"/>
      <c r="AK646" s="1989"/>
      <c r="AL646" s="1989"/>
      <c r="AN646" s="632"/>
    </row>
    <row r="647" spans="1:42" s="585" customFormat="1" ht="12.75" customHeight="1">
      <c r="B647" s="571"/>
      <c r="C647" s="574"/>
      <c r="D647" s="571"/>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1"/>
      <c r="AE647" s="571"/>
      <c r="AF647" s="571"/>
      <c r="AG647" s="571"/>
      <c r="AH647" s="571"/>
      <c r="AI647" s="571"/>
      <c r="AJ647" s="571"/>
      <c r="AK647" s="571"/>
      <c r="AL647" s="571"/>
      <c r="AN647" s="632"/>
    </row>
    <row r="648" spans="1:42" s="585" customFormat="1" ht="12.75" customHeight="1">
      <c r="B648" s="571"/>
      <c r="C648" s="574"/>
      <c r="D648" s="698"/>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9" t="s">
        <v>1592</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1"/>
      <c r="AE650" s="571"/>
      <c r="AF650" s="1989" t="s">
        <v>1572</v>
      </c>
      <c r="AG650" s="1989"/>
      <c r="AH650" s="1989"/>
      <c r="AI650" s="1989"/>
      <c r="AJ650" s="1989"/>
      <c r="AK650" s="1989"/>
      <c r="AL650" s="1989"/>
      <c r="AN650" s="632"/>
    </row>
    <row r="651" spans="1:42" s="585" customFormat="1" ht="12.75" customHeight="1">
      <c r="B651" s="571"/>
      <c r="C651" s="574"/>
      <c r="D651" s="571"/>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1"/>
      <c r="AE651" s="571"/>
      <c r="AF651" s="571"/>
      <c r="AG651" s="571"/>
      <c r="AH651" s="571"/>
      <c r="AI651" s="571"/>
      <c r="AJ651" s="571"/>
      <c r="AK651" s="571"/>
      <c r="AL651" s="571"/>
      <c r="AN651" s="632"/>
    </row>
    <row r="652" spans="1:42" s="585" customFormat="1" ht="15" customHeight="1">
      <c r="B652" s="571"/>
      <c r="C652" s="574"/>
      <c r="D652" s="698"/>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9" t="s">
        <v>1593</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1"/>
      <c r="AE654" s="571"/>
      <c r="AF654" s="1989" t="s">
        <v>1525</v>
      </c>
      <c r="AG654" s="1989"/>
      <c r="AH654" s="1989"/>
      <c r="AI654" s="1989"/>
      <c r="AJ654" s="1989"/>
      <c r="AK654" s="1989"/>
      <c r="AL654" s="1989"/>
      <c r="AN654" s="632"/>
    </row>
    <row r="655" spans="1:42" s="585" customFormat="1" ht="12.75" customHeight="1">
      <c r="B655" s="571"/>
      <c r="C655" s="968"/>
      <c r="D655" s="571"/>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1"/>
      <c r="AE655" s="1989"/>
      <c r="AF655" s="1989"/>
      <c r="AG655" s="1989"/>
      <c r="AH655" s="1989"/>
      <c r="AI655" s="1989"/>
      <c r="AJ655" s="1989"/>
      <c r="AK655" s="1989"/>
      <c r="AL655" s="629"/>
      <c r="AN655" s="632"/>
      <c r="AO655" s="585" t="s">
        <v>600</v>
      </c>
      <c r="AP655" s="708">
        <v>0</v>
      </c>
    </row>
    <row r="656" spans="1:42" s="585" customFormat="1" ht="12.75" customHeight="1">
      <c r="A656" s="714"/>
      <c r="B656" s="571"/>
      <c r="C656" s="571"/>
      <c r="D656" s="698"/>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9" t="s">
        <v>1594</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1"/>
      <c r="AE658" s="571"/>
      <c r="AF658" s="1989" t="s">
        <v>1572</v>
      </c>
      <c r="AG658" s="1989"/>
      <c r="AH658" s="1989"/>
      <c r="AI658" s="1989"/>
      <c r="AJ658" s="1989"/>
      <c r="AK658" s="1989"/>
      <c r="AL658" s="1989"/>
      <c r="AN658" s="632"/>
    </row>
    <row r="659" spans="1:42" s="585" customFormat="1" ht="12.75" customHeight="1">
      <c r="A659" s="705"/>
      <c r="B659" s="571"/>
      <c r="C659" s="984"/>
      <c r="D659" s="698"/>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9" t="s">
        <v>1595</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1"/>
      <c r="AE662" s="571"/>
      <c r="AF662" s="1989" t="s">
        <v>1525</v>
      </c>
      <c r="AG662" s="1989"/>
      <c r="AH662" s="1989"/>
      <c r="AI662" s="1989"/>
      <c r="AJ662" s="1989"/>
      <c r="AK662" s="1989"/>
      <c r="AL662" s="1989"/>
      <c r="AM662" s="631"/>
      <c r="AN662" s="632"/>
    </row>
    <row r="663" spans="1:42" s="585" customFormat="1" ht="12.75" customHeight="1">
      <c r="B663" s="571"/>
      <c r="C663" s="968"/>
      <c r="D663" s="698"/>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1"/>
      <c r="AE663" s="571"/>
      <c r="AF663" s="571"/>
      <c r="AG663" s="571"/>
      <c r="AH663" s="571"/>
      <c r="AI663" s="571"/>
      <c r="AJ663" s="571"/>
      <c r="AK663" s="571"/>
      <c r="AL663" s="571"/>
      <c r="AM663" s="631"/>
      <c r="AN663" s="632"/>
    </row>
    <row r="664" spans="1:42" s="585" customFormat="1" ht="12.75" customHeight="1">
      <c r="B664" s="571"/>
      <c r="C664" s="968"/>
      <c r="D664" s="698"/>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9" t="s">
        <v>1596</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1"/>
      <c r="AE666" s="571"/>
      <c r="AF666" s="1989" t="s">
        <v>1581</v>
      </c>
      <c r="AG666" s="1989"/>
      <c r="AH666" s="1989"/>
      <c r="AI666" s="1989"/>
      <c r="AJ666" s="1989"/>
      <c r="AK666" s="1989"/>
      <c r="AL666" s="1989"/>
      <c r="AM666" s="631"/>
      <c r="AN666" s="632"/>
    </row>
    <row r="667" spans="1:42" s="585" customFormat="1" ht="12.75" customHeight="1">
      <c r="A667" s="714"/>
      <c r="B667" s="571"/>
      <c r="C667" s="968"/>
      <c r="D667" s="698"/>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9" t="s">
        <v>1597</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1"/>
      <c r="AE670" s="571"/>
      <c r="AF670" s="1989" t="s">
        <v>1598</v>
      </c>
      <c r="AG670" s="1989"/>
      <c r="AH670" s="1989"/>
      <c r="AI670" s="1989"/>
      <c r="AJ670" s="1989"/>
      <c r="AK670" s="1989"/>
      <c r="AL670" s="1989"/>
      <c r="AM670" s="631"/>
      <c r="AN670" s="632"/>
      <c r="AO670" s="646" t="s">
        <v>697</v>
      </c>
      <c r="AP670" s="585">
        <v>3</v>
      </c>
    </row>
    <row r="671" spans="1:42" s="585" customFormat="1" ht="12.75" customHeight="1">
      <c r="A671" s="714"/>
      <c r="B671" s="571"/>
      <c r="C671" s="968"/>
      <c r="D671" s="698"/>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33" t="s">
        <v>600</v>
      </c>
      <c r="I674" s="193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16">
        <f>VLOOKUP($H$674,$AO$622:$AP$629,2,FALSE)</f>
        <v>0</v>
      </c>
      <c r="AK676" s="191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9" t="s">
        <v>2562</v>
      </c>
      <c r="F680" s="1909"/>
      <c r="G680" s="1909"/>
      <c r="H680" s="1909"/>
      <c r="I680" s="1909"/>
      <c r="J680" s="1909"/>
      <c r="K680" s="1909"/>
      <c r="L680" s="1909"/>
      <c r="M680" s="1909"/>
      <c r="N680" s="1909"/>
      <c r="O680" s="1909"/>
      <c r="P680" s="1909"/>
      <c r="Q680" s="1909"/>
      <c r="R680" s="1909"/>
      <c r="S680" s="1909"/>
      <c r="T680" s="1909"/>
      <c r="U680" s="1909"/>
      <c r="V680" s="1909"/>
      <c r="W680" s="1909"/>
      <c r="X680" s="1909"/>
      <c r="Y680" s="1909"/>
      <c r="Z680" s="1909"/>
      <c r="AA680" s="1909"/>
      <c r="AB680" s="1909"/>
      <c r="AC680" s="571"/>
      <c r="AD680" s="571"/>
      <c r="AE680" s="571"/>
      <c r="AF680" s="1989" t="s">
        <v>1525</v>
      </c>
      <c r="AG680" s="1989"/>
      <c r="AH680" s="1989"/>
      <c r="AI680" s="1989"/>
      <c r="AJ680" s="1989"/>
      <c r="AK680" s="1989"/>
      <c r="AL680" s="1989"/>
      <c r="AN680" s="632"/>
    </row>
    <row r="681" spans="1:42" s="585" customFormat="1" ht="12.75" customHeight="1">
      <c r="B681" s="571"/>
      <c r="C681" s="977"/>
      <c r="D681" s="698"/>
      <c r="E681" s="1909"/>
      <c r="F681" s="1909"/>
      <c r="G681" s="1909"/>
      <c r="H681" s="1909"/>
      <c r="I681" s="1909"/>
      <c r="J681" s="1909"/>
      <c r="K681" s="1909"/>
      <c r="L681" s="1909"/>
      <c r="M681" s="1909"/>
      <c r="N681" s="1909"/>
      <c r="O681" s="1909"/>
      <c r="P681" s="1909"/>
      <c r="Q681" s="1909"/>
      <c r="R681" s="1909"/>
      <c r="S681" s="1909"/>
      <c r="T681" s="1909"/>
      <c r="U681" s="1909"/>
      <c r="V681" s="1909"/>
      <c r="W681" s="1909"/>
      <c r="X681" s="1909"/>
      <c r="Y681" s="1909"/>
      <c r="Z681" s="1909"/>
      <c r="AA681" s="1909"/>
      <c r="AB681" s="1909"/>
      <c r="AC681" s="571"/>
      <c r="AD681" s="571"/>
      <c r="AE681" s="651"/>
      <c r="AF681" s="571"/>
      <c r="AG681" s="571"/>
      <c r="AH681" s="571"/>
      <c r="AI681" s="571"/>
      <c r="AJ681" s="571"/>
      <c r="AK681" s="571"/>
      <c r="AL681" s="571"/>
      <c r="AN681" s="632"/>
      <c r="AO681" s="1924"/>
      <c r="AP681" s="1924"/>
    </row>
    <row r="682" spans="1:42" s="585" customFormat="1" ht="12.75" customHeight="1">
      <c r="B682" s="571"/>
      <c r="C682" s="977"/>
      <c r="D682" s="698"/>
      <c r="E682" s="1909"/>
      <c r="F682" s="1909"/>
      <c r="G682" s="1909"/>
      <c r="H682" s="1909"/>
      <c r="I682" s="1909"/>
      <c r="J682" s="1909"/>
      <c r="K682" s="1909"/>
      <c r="L682" s="1909"/>
      <c r="M682" s="1909"/>
      <c r="N682" s="1909"/>
      <c r="O682" s="1909"/>
      <c r="P682" s="1909"/>
      <c r="Q682" s="1909"/>
      <c r="R682" s="1909"/>
      <c r="S682" s="1909"/>
      <c r="T682" s="1909"/>
      <c r="U682" s="1909"/>
      <c r="V682" s="1909"/>
      <c r="W682" s="1909"/>
      <c r="X682" s="1909"/>
      <c r="Y682" s="1909"/>
      <c r="Z682" s="1909"/>
      <c r="AA682" s="1909"/>
      <c r="AB682" s="1909"/>
      <c r="AC682" s="571"/>
      <c r="AD682" s="571"/>
      <c r="AE682" s="651"/>
      <c r="AF682" s="651"/>
      <c r="AG682" s="651"/>
      <c r="AH682" s="651"/>
      <c r="AI682" s="651"/>
      <c r="AJ682" s="651"/>
      <c r="AK682" s="651"/>
      <c r="AL682" s="651"/>
      <c r="AN682" s="632"/>
    </row>
    <row r="683" spans="1:42" s="585" customFormat="1" ht="28.5" customHeight="1">
      <c r="B683" s="571"/>
      <c r="C683" s="977"/>
      <c r="D683" s="698"/>
      <c r="E683" s="1909"/>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9" t="s">
        <v>2563</v>
      </c>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1"/>
      <c r="AD685" s="571"/>
      <c r="AE685" s="571"/>
      <c r="AF685" s="1989" t="s">
        <v>1581</v>
      </c>
      <c r="AG685" s="1989"/>
      <c r="AH685" s="1989"/>
      <c r="AI685" s="1989"/>
      <c r="AJ685" s="1989"/>
      <c r="AK685" s="1989"/>
      <c r="AL685" s="1989"/>
      <c r="AN685" s="632"/>
      <c r="AO685" s="646" t="s">
        <v>518</v>
      </c>
      <c r="AP685" s="585">
        <v>1</v>
      </c>
    </row>
    <row r="686" spans="1:42" s="585" customFormat="1" ht="12" customHeight="1">
      <c r="B686" s="571"/>
      <c r="C686" s="968"/>
      <c r="D686" s="571"/>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1"/>
      <c r="AD686" s="571"/>
      <c r="AE686" s="651"/>
      <c r="AF686" s="571"/>
      <c r="AG686" s="571"/>
      <c r="AH686" s="571"/>
      <c r="AI686" s="571"/>
      <c r="AJ686" s="571"/>
      <c r="AK686" s="571"/>
      <c r="AL686" s="571"/>
      <c r="AN686" s="632"/>
    </row>
    <row r="687" spans="1:42" s="585" customFormat="1" ht="12" customHeight="1">
      <c r="B687" s="571"/>
      <c r="C687" s="968"/>
      <c r="D687" s="571"/>
      <c r="E687" s="1909"/>
      <c r="F687" s="1909"/>
      <c r="G687" s="1909"/>
      <c r="H687" s="1909"/>
      <c r="I687" s="1909"/>
      <c r="J687" s="1909"/>
      <c r="K687" s="1909"/>
      <c r="L687" s="1909"/>
      <c r="M687" s="1909"/>
      <c r="N687" s="1909"/>
      <c r="O687" s="1909"/>
      <c r="P687" s="1909"/>
      <c r="Q687" s="1909"/>
      <c r="R687" s="1909"/>
      <c r="S687" s="1909"/>
      <c r="T687" s="1909"/>
      <c r="U687" s="1909"/>
      <c r="V687" s="1909"/>
      <c r="W687" s="1909"/>
      <c r="X687" s="1909"/>
      <c r="Y687" s="1909"/>
      <c r="Z687" s="1909"/>
      <c r="AA687" s="1909"/>
      <c r="AB687" s="190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9"/>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9" t="s">
        <v>1954</v>
      </c>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33" t="s">
        <v>600</v>
      </c>
      <c r="I694" s="193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16">
        <f>VLOOKUP($H$694,$AO$641:$AP$643,2,FALSE)</f>
        <v>0</v>
      </c>
      <c r="AK696" s="1918"/>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22" t="s">
        <v>1956</v>
      </c>
      <c r="F700" s="2022"/>
      <c r="G700" s="2022"/>
      <c r="H700" s="2022"/>
      <c r="I700" s="2022"/>
      <c r="J700" s="2022"/>
      <c r="K700" s="2022"/>
      <c r="L700" s="2022"/>
      <c r="M700" s="2022"/>
      <c r="N700" s="2022"/>
      <c r="O700" s="2022"/>
      <c r="P700" s="2022"/>
      <c r="Q700" s="2022"/>
      <c r="R700" s="2022"/>
      <c r="S700" s="2022"/>
      <c r="T700" s="2022"/>
      <c r="U700" s="2022"/>
      <c r="V700" s="2022"/>
      <c r="W700" s="2022"/>
      <c r="X700" s="2022"/>
      <c r="Y700" s="2022"/>
      <c r="Z700" s="2022"/>
      <c r="AA700" s="2022"/>
      <c r="AB700" s="2022"/>
      <c r="AC700" s="571"/>
      <c r="AD700" s="571"/>
      <c r="AE700" s="571"/>
      <c r="AF700" s="1989" t="s">
        <v>1525</v>
      </c>
      <c r="AG700" s="1989"/>
      <c r="AH700" s="1989"/>
      <c r="AI700" s="1989"/>
      <c r="AJ700" s="1989"/>
      <c r="AK700" s="1989"/>
      <c r="AL700" s="1989"/>
      <c r="AM700" s="585"/>
      <c r="AN700" s="719"/>
      <c r="AP700" s="605" t="s">
        <v>1605</v>
      </c>
    </row>
    <row r="701" spans="1:42" s="605" customFormat="1" ht="11.75" customHeight="1">
      <c r="A701" s="585"/>
      <c r="B701" s="571"/>
      <c r="C701" s="970"/>
      <c r="D701" s="698"/>
      <c r="E701" s="2022"/>
      <c r="F701" s="2022"/>
      <c r="G701" s="2022"/>
      <c r="H701" s="2022"/>
      <c r="I701" s="2022"/>
      <c r="J701" s="2022"/>
      <c r="K701" s="2022"/>
      <c r="L701" s="2022"/>
      <c r="M701" s="2022"/>
      <c r="N701" s="2022"/>
      <c r="O701" s="2022"/>
      <c r="P701" s="2022"/>
      <c r="Q701" s="2022"/>
      <c r="R701" s="2022"/>
      <c r="S701" s="2022"/>
      <c r="T701" s="2022"/>
      <c r="U701" s="2022"/>
      <c r="V701" s="2022"/>
      <c r="W701" s="2022"/>
      <c r="X701" s="2022"/>
      <c r="Y701" s="2022"/>
      <c r="Z701" s="2022"/>
      <c r="AA701" s="2022"/>
      <c r="AB701" s="2022"/>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22"/>
      <c r="F702" s="2022"/>
      <c r="G702" s="2022"/>
      <c r="H702" s="2022"/>
      <c r="I702" s="2022"/>
      <c r="J702" s="2022"/>
      <c r="K702" s="2022"/>
      <c r="L702" s="2022"/>
      <c r="M702" s="2022"/>
      <c r="N702" s="2022"/>
      <c r="O702" s="2022"/>
      <c r="P702" s="2022"/>
      <c r="Q702" s="2022"/>
      <c r="R702" s="2022"/>
      <c r="S702" s="2022"/>
      <c r="T702" s="2022"/>
      <c r="U702" s="2022"/>
      <c r="V702" s="2022"/>
      <c r="W702" s="2022"/>
      <c r="X702" s="2022"/>
      <c r="Y702" s="2022"/>
      <c r="Z702" s="2022"/>
      <c r="AA702" s="2022"/>
      <c r="AB702" s="2022"/>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518</v>
      </c>
      <c r="E704" s="2023" t="s">
        <v>1608</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1"/>
      <c r="AD704" s="571"/>
      <c r="AE704" s="571"/>
      <c r="AF704" s="1989" t="s">
        <v>1581</v>
      </c>
      <c r="AG704" s="1989"/>
      <c r="AH704" s="1989"/>
      <c r="AI704" s="1989"/>
      <c r="AJ704" s="1989"/>
      <c r="AK704" s="1989"/>
      <c r="AL704" s="1989"/>
      <c r="AM704" s="585"/>
      <c r="AN704" s="720"/>
    </row>
    <row r="705" spans="1:52" s="605" customFormat="1" ht="12.75" customHeight="1">
      <c r="A705" s="585"/>
      <c r="B705" s="571"/>
      <c r="C705" s="970"/>
      <c r="D705" s="571"/>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1573</v>
      </c>
      <c r="E708" s="973"/>
      <c r="F708" s="973"/>
      <c r="G708" s="973"/>
      <c r="H708" s="1933" t="s">
        <v>600</v>
      </c>
      <c r="I708" s="193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16">
        <f>VLOOKUP($H$708,$AO$641:$AP$643,2,FALSE)</f>
        <v>0</v>
      </c>
      <c r="AK710" s="1918"/>
      <c r="AL710" s="630"/>
      <c r="AM710" s="585"/>
      <c r="AN710" s="719"/>
      <c r="AP710" s="1916"/>
      <c r="AQ710" s="191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9" t="s">
        <v>1957</v>
      </c>
      <c r="F714" s="1909"/>
      <c r="G714" s="1909"/>
      <c r="H714" s="1909"/>
      <c r="I714" s="1909"/>
      <c r="J714" s="1909"/>
      <c r="K714" s="1909"/>
      <c r="L714" s="1909"/>
      <c r="M714" s="1909"/>
      <c r="N714" s="1909"/>
      <c r="O714" s="1909"/>
      <c r="P714" s="1909"/>
      <c r="Q714" s="1909"/>
      <c r="R714" s="1909"/>
      <c r="S714" s="1909"/>
      <c r="T714" s="1909"/>
      <c r="U714" s="1909"/>
      <c r="V714" s="1909"/>
      <c r="W714" s="1909"/>
      <c r="X714" s="1909"/>
      <c r="Y714" s="1909"/>
      <c r="Z714" s="1909"/>
      <c r="AA714" s="1909"/>
      <c r="AB714" s="1909"/>
      <c r="AC714" s="571"/>
      <c r="AD714" s="571"/>
      <c r="AE714" s="571"/>
      <c r="AF714" s="1989" t="s">
        <v>1525</v>
      </c>
      <c r="AG714" s="1989"/>
      <c r="AH714" s="1989"/>
      <c r="AI714" s="1989"/>
      <c r="AJ714" s="1989"/>
      <c r="AK714" s="1989"/>
      <c r="AL714" s="1989"/>
      <c r="AM714" s="585"/>
      <c r="AN714" s="719"/>
      <c r="AT714" s="14"/>
      <c r="AU714" s="14"/>
      <c r="AV714" s="14"/>
      <c r="AW714" s="14"/>
      <c r="AX714" s="14"/>
      <c r="AY714" s="14"/>
      <c r="AZ714" s="14"/>
    </row>
    <row r="715" spans="1:52" s="605" customFormat="1">
      <c r="A715" s="585"/>
      <c r="B715" s="571"/>
      <c r="C715" s="970"/>
      <c r="D715" s="698"/>
      <c r="E715" s="1909"/>
      <c r="F715" s="1909"/>
      <c r="G715" s="1909"/>
      <c r="H715" s="1909"/>
      <c r="I715" s="1909"/>
      <c r="J715" s="1909"/>
      <c r="K715" s="1909"/>
      <c r="L715" s="1909"/>
      <c r="M715" s="1909"/>
      <c r="N715" s="1909"/>
      <c r="O715" s="1909"/>
      <c r="P715" s="1909"/>
      <c r="Q715" s="1909"/>
      <c r="R715" s="1909"/>
      <c r="S715" s="1909"/>
      <c r="T715" s="1909"/>
      <c r="U715" s="1909"/>
      <c r="V715" s="1909"/>
      <c r="W715" s="1909"/>
      <c r="X715" s="1909"/>
      <c r="Y715" s="1909"/>
      <c r="Z715" s="1909"/>
      <c r="AA715" s="1909"/>
      <c r="AB715" s="190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9" t="s">
        <v>1612</v>
      </c>
      <c r="F717" s="1909"/>
      <c r="G717" s="1909"/>
      <c r="H717" s="1909"/>
      <c r="I717" s="1909"/>
      <c r="J717" s="1909"/>
      <c r="K717" s="1909"/>
      <c r="L717" s="1909"/>
      <c r="M717" s="1909"/>
      <c r="N717" s="1909"/>
      <c r="O717" s="1909"/>
      <c r="P717" s="1909"/>
      <c r="Q717" s="1909"/>
      <c r="R717" s="1909"/>
      <c r="S717" s="1909"/>
      <c r="T717" s="1909"/>
      <c r="U717" s="1909"/>
      <c r="V717" s="1909"/>
      <c r="W717" s="1909"/>
      <c r="X717" s="1909"/>
      <c r="Y717" s="1909"/>
      <c r="Z717" s="1909"/>
      <c r="AA717" s="1909"/>
      <c r="AB717" s="1909"/>
      <c r="AC717" s="571"/>
      <c r="AD717" s="571"/>
      <c r="AE717" s="571"/>
      <c r="AF717" s="1989" t="s">
        <v>1581</v>
      </c>
      <c r="AG717" s="1989"/>
      <c r="AH717" s="1989"/>
      <c r="AI717" s="1989"/>
      <c r="AJ717" s="1989"/>
      <c r="AK717" s="1989"/>
      <c r="AL717" s="1989"/>
      <c r="AM717" s="585"/>
      <c r="AN717" s="719"/>
      <c r="AT717" s="14"/>
      <c r="AU717" s="14"/>
      <c r="AV717" s="14"/>
      <c r="AW717" s="14"/>
      <c r="AX717" s="14"/>
      <c r="AY717" s="14"/>
      <c r="AZ717" s="14"/>
    </row>
    <row r="718" spans="1:52" s="605" customFormat="1">
      <c r="A718" s="585"/>
      <c r="B718" s="571"/>
      <c r="C718" s="970"/>
      <c r="D718" s="571"/>
      <c r="E718" s="1909"/>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33" t="s">
        <v>697</v>
      </c>
      <c r="I720" s="193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16">
        <f>VLOOKUP($H$720,$AO$655:$AP$657,2,FALSE)</f>
        <v>3</v>
      </c>
      <c r="AK722" s="191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9" t="s">
        <v>1615</v>
      </c>
      <c r="F726" s="1909"/>
      <c r="G726" s="1909"/>
      <c r="H726" s="1909"/>
      <c r="I726" s="1909"/>
      <c r="J726" s="1909"/>
      <c r="K726" s="1909"/>
      <c r="L726" s="1909"/>
      <c r="M726" s="1909"/>
      <c r="N726" s="1909"/>
      <c r="O726" s="1909"/>
      <c r="P726" s="1909"/>
      <c r="Q726" s="1909"/>
      <c r="R726" s="1909"/>
      <c r="S726" s="1909"/>
      <c r="T726" s="1909"/>
      <c r="U726" s="1909"/>
      <c r="V726" s="1909"/>
      <c r="W726" s="1909"/>
      <c r="X726" s="1909"/>
      <c r="Y726" s="1909"/>
      <c r="Z726" s="1909"/>
      <c r="AA726" s="1909"/>
      <c r="AB726" s="1909"/>
      <c r="AC726" s="571"/>
      <c r="AD726" s="571"/>
      <c r="AE726" s="571"/>
      <c r="AF726" s="1989" t="s">
        <v>1525</v>
      </c>
      <c r="AG726" s="1989"/>
      <c r="AH726" s="1989"/>
      <c r="AI726" s="1989"/>
      <c r="AJ726" s="1989"/>
      <c r="AK726" s="1989"/>
      <c r="AL726" s="1989"/>
      <c r="AM726" s="585"/>
      <c r="AN726" s="719"/>
      <c r="AT726" s="14"/>
      <c r="AU726" s="14"/>
      <c r="AV726" s="14"/>
      <c r="AW726" s="14"/>
      <c r="AX726" s="14"/>
      <c r="AY726" s="14"/>
      <c r="AZ726" s="14"/>
    </row>
    <row r="727" spans="1:81" s="605" customFormat="1">
      <c r="A727" s="585"/>
      <c r="B727" s="571"/>
      <c r="C727" s="968"/>
      <c r="D727" s="698"/>
      <c r="E727" s="1909"/>
      <c r="F727" s="1909"/>
      <c r="G727" s="1909"/>
      <c r="H727" s="1909"/>
      <c r="I727" s="1909"/>
      <c r="J727" s="1909"/>
      <c r="K727" s="1909"/>
      <c r="L727" s="1909"/>
      <c r="M727" s="1909"/>
      <c r="N727" s="1909"/>
      <c r="O727" s="1909"/>
      <c r="P727" s="1909"/>
      <c r="Q727" s="1909"/>
      <c r="R727" s="1909"/>
      <c r="S727" s="1909"/>
      <c r="T727" s="1909"/>
      <c r="U727" s="1909"/>
      <c r="V727" s="1909"/>
      <c r="W727" s="1909"/>
      <c r="X727" s="1909"/>
      <c r="Y727" s="1909"/>
      <c r="Z727" s="1909"/>
      <c r="AA727" s="1909"/>
      <c r="AB727" s="190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9"/>
      <c r="F728" s="1909"/>
      <c r="G728" s="1909"/>
      <c r="H728" s="1909"/>
      <c r="I728" s="1909"/>
      <c r="J728" s="1909"/>
      <c r="K728" s="1909"/>
      <c r="L728" s="1909"/>
      <c r="M728" s="1909"/>
      <c r="N728" s="1909"/>
      <c r="O728" s="1909"/>
      <c r="P728" s="1909"/>
      <c r="Q728" s="1909"/>
      <c r="R728" s="1909"/>
      <c r="S728" s="1909"/>
      <c r="T728" s="1909"/>
      <c r="U728" s="1909"/>
      <c r="V728" s="1909"/>
      <c r="W728" s="1909"/>
      <c r="X728" s="1909"/>
      <c r="Y728" s="1909"/>
      <c r="Z728" s="1909"/>
      <c r="AA728" s="1909"/>
      <c r="AB728" s="190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9"/>
      <c r="F729" s="1909"/>
      <c r="G729" s="1909"/>
      <c r="H729" s="1909"/>
      <c r="I729" s="1909"/>
      <c r="J729" s="1909"/>
      <c r="K729" s="1909"/>
      <c r="L729" s="1909"/>
      <c r="M729" s="1909"/>
      <c r="N729" s="1909"/>
      <c r="O729" s="1909"/>
      <c r="P729" s="1909"/>
      <c r="Q729" s="1909"/>
      <c r="R729" s="1909"/>
      <c r="S729" s="1909"/>
      <c r="T729" s="1909"/>
      <c r="U729" s="1909"/>
      <c r="V729" s="1909"/>
      <c r="W729" s="1909"/>
      <c r="X729" s="1909"/>
      <c r="Y729" s="1909"/>
      <c r="Z729" s="1909"/>
      <c r="AA729" s="1909"/>
      <c r="AB729" s="190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9" t="s">
        <v>1616</v>
      </c>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610"/>
      <c r="AC731" s="571"/>
      <c r="AD731" s="571"/>
      <c r="AE731" s="571"/>
      <c r="AF731" s="1989" t="s">
        <v>1581</v>
      </c>
      <c r="AG731" s="1989"/>
      <c r="AH731" s="1989"/>
      <c r="AI731" s="1989"/>
      <c r="AJ731" s="1989"/>
      <c r="AK731" s="1989"/>
      <c r="AL731" s="1989"/>
      <c r="AM731" s="585"/>
      <c r="AN731" s="719"/>
      <c r="AO731" s="30"/>
      <c r="AP731" s="14"/>
    </row>
    <row r="732" spans="1:81" s="605" customFormat="1">
      <c r="A732" s="585"/>
      <c r="B732" s="571"/>
      <c r="C732" s="968"/>
      <c r="D732" s="698"/>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9"/>
      <c r="F734" s="1909"/>
      <c r="G734" s="1909"/>
      <c r="H734" s="1909"/>
      <c r="I734" s="1909"/>
      <c r="J734" s="1909"/>
      <c r="K734" s="1909"/>
      <c r="L734" s="1909"/>
      <c r="M734" s="1909"/>
      <c r="N734" s="1909"/>
      <c r="O734" s="1909"/>
      <c r="P734" s="1909"/>
      <c r="Q734" s="1909"/>
      <c r="R734" s="1909"/>
      <c r="S734" s="1909"/>
      <c r="T734" s="1909"/>
      <c r="U734" s="1909"/>
      <c r="V734" s="1909"/>
      <c r="W734" s="1909"/>
      <c r="X734" s="1909"/>
      <c r="Y734" s="1909"/>
      <c r="Z734" s="1909"/>
      <c r="AA734" s="190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33" t="s">
        <v>518</v>
      </c>
      <c r="I736" s="193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16">
        <f>VLOOKUP($H$736,$AO$669:$AP$671,2,FALSE)</f>
        <v>2</v>
      </c>
      <c r="AK738" s="191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9" t="s">
        <v>1618</v>
      </c>
      <c r="F742" s="1909"/>
      <c r="G742" s="1909"/>
      <c r="H742" s="1909"/>
      <c r="I742" s="1909"/>
      <c r="J742" s="1909"/>
      <c r="K742" s="1909"/>
      <c r="L742" s="1909"/>
      <c r="M742" s="1909"/>
      <c r="N742" s="1909"/>
      <c r="O742" s="1909"/>
      <c r="P742" s="1909"/>
      <c r="Q742" s="1909"/>
      <c r="R742" s="1909"/>
      <c r="S742" s="1909"/>
      <c r="T742" s="1909"/>
      <c r="U742" s="1909"/>
      <c r="V742" s="1909"/>
      <c r="W742" s="1909"/>
      <c r="X742" s="1909"/>
      <c r="Y742" s="1909"/>
      <c r="Z742" s="1909"/>
      <c r="AA742" s="1909"/>
      <c r="AB742" s="1909"/>
      <c r="AC742" s="571"/>
      <c r="AD742" s="571"/>
      <c r="AE742" s="571"/>
      <c r="AF742" s="1989" t="s">
        <v>1581</v>
      </c>
      <c r="AG742" s="1989"/>
      <c r="AH742" s="1989"/>
      <c r="AI742" s="1989"/>
      <c r="AJ742" s="1989"/>
      <c r="AK742" s="1989"/>
      <c r="AL742" s="198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9"/>
      <c r="F743" s="1909"/>
      <c r="G743" s="1909"/>
      <c r="H743" s="1909"/>
      <c r="I743" s="1909"/>
      <c r="J743" s="1909"/>
      <c r="K743" s="1909"/>
      <c r="L743" s="1909"/>
      <c r="M743" s="1909"/>
      <c r="N743" s="1909"/>
      <c r="O743" s="1909"/>
      <c r="P743" s="1909"/>
      <c r="Q743" s="1909"/>
      <c r="R743" s="1909"/>
      <c r="S743" s="1909"/>
      <c r="T743" s="1909"/>
      <c r="U743" s="1909"/>
      <c r="V743" s="1909"/>
      <c r="W743" s="1909"/>
      <c r="X743" s="1909"/>
      <c r="Y743" s="1909"/>
      <c r="Z743" s="1909"/>
      <c r="AA743" s="1909"/>
      <c r="AB743" s="190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9" t="s">
        <v>1619</v>
      </c>
      <c r="F745" s="1909"/>
      <c r="G745" s="1909"/>
      <c r="H745" s="1909"/>
      <c r="I745" s="1909"/>
      <c r="J745" s="1909"/>
      <c r="K745" s="1909"/>
      <c r="L745" s="1909"/>
      <c r="M745" s="1909"/>
      <c r="N745" s="1909"/>
      <c r="O745" s="1909"/>
      <c r="P745" s="1909"/>
      <c r="Q745" s="1909"/>
      <c r="R745" s="1909"/>
      <c r="S745" s="1909"/>
      <c r="T745" s="1909"/>
      <c r="U745" s="1909"/>
      <c r="V745" s="1909"/>
      <c r="W745" s="1909"/>
      <c r="X745" s="1909"/>
      <c r="Y745" s="1909"/>
      <c r="Z745" s="1909"/>
      <c r="AA745" s="1909"/>
      <c r="AB745" s="1909"/>
      <c r="AC745" s="571"/>
      <c r="AD745" s="571"/>
      <c r="AE745" s="571"/>
      <c r="AF745" s="1989" t="s">
        <v>1598</v>
      </c>
      <c r="AG745" s="1989"/>
      <c r="AH745" s="1989"/>
      <c r="AI745" s="1989"/>
      <c r="AJ745" s="1989"/>
      <c r="AK745" s="1989"/>
      <c r="AL745" s="198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9"/>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33" t="s">
        <v>518</v>
      </c>
      <c r="I748" s="193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16">
        <f>VLOOKUP($H$748,$AO$683:$AP$685,2,FALSE)</f>
        <v>1</v>
      </c>
      <c r="AK750" s="191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9" t="s">
        <v>1953</v>
      </c>
      <c r="F754" s="1909"/>
      <c r="G754" s="1909"/>
      <c r="H754" s="1909"/>
      <c r="I754" s="1909"/>
      <c r="J754" s="1909"/>
      <c r="K754" s="1909"/>
      <c r="L754" s="1909"/>
      <c r="M754" s="1909"/>
      <c r="N754" s="1909"/>
      <c r="O754" s="1909"/>
      <c r="P754" s="1909"/>
      <c r="Q754" s="1909"/>
      <c r="R754" s="1909"/>
      <c r="S754" s="1909"/>
      <c r="T754" s="1909"/>
      <c r="U754" s="1909"/>
      <c r="V754" s="1909"/>
      <c r="W754" s="1909"/>
      <c r="X754" s="1909"/>
      <c r="Y754" s="1909"/>
      <c r="Z754" s="1909"/>
      <c r="AA754" s="1909"/>
      <c r="AB754" s="1909"/>
      <c r="AC754" s="1909"/>
      <c r="AD754" s="1909"/>
      <c r="AE754" s="571"/>
      <c r="AF754" s="1989" t="s">
        <v>1581</v>
      </c>
      <c r="AG754" s="1989"/>
      <c r="AH754" s="1989"/>
      <c r="AI754" s="1989"/>
      <c r="AJ754" s="1989"/>
      <c r="AK754" s="1989"/>
      <c r="AL754" s="1989"/>
      <c r="AM754" s="648"/>
      <c r="AN754" s="719"/>
    </row>
    <row r="755" spans="1:81" s="605" customFormat="1" ht="13.75" customHeight="1">
      <c r="A755" s="585"/>
      <c r="B755" s="651"/>
      <c r="C755" s="977"/>
      <c r="D755" s="698"/>
      <c r="E755" s="1909"/>
      <c r="F755" s="1909"/>
      <c r="G755" s="1909"/>
      <c r="H755" s="1909"/>
      <c r="I755" s="1909"/>
      <c r="J755" s="1909"/>
      <c r="K755" s="1909"/>
      <c r="L755" s="1909"/>
      <c r="M755" s="1909"/>
      <c r="N755" s="1909"/>
      <c r="O755" s="1909"/>
      <c r="P755" s="1909"/>
      <c r="Q755" s="1909"/>
      <c r="R755" s="1909"/>
      <c r="S755" s="1909"/>
      <c r="T755" s="1909"/>
      <c r="U755" s="1909"/>
      <c r="V755" s="1909"/>
      <c r="W755" s="1909"/>
      <c r="X755" s="1909"/>
      <c r="Y755" s="1909"/>
      <c r="Z755" s="1909"/>
      <c r="AA755" s="1909"/>
      <c r="AB755" s="1909"/>
      <c r="AC755" s="1909"/>
      <c r="AD755" s="1909"/>
      <c r="AE755" s="571"/>
      <c r="AF755" s="629"/>
      <c r="AG755" s="629"/>
      <c r="AH755" s="629"/>
      <c r="AI755" s="629"/>
      <c r="AJ755" s="629"/>
      <c r="AK755" s="629"/>
      <c r="AL755" s="629"/>
      <c r="AM755" s="648"/>
      <c r="AN755" s="719"/>
    </row>
    <row r="756" spans="1:81" s="605" customFormat="1">
      <c r="A756" s="585"/>
      <c r="B756" s="651"/>
      <c r="C756" s="977"/>
      <c r="D756" s="698"/>
      <c r="E756" s="1909"/>
      <c r="F756" s="1909"/>
      <c r="G756" s="1909"/>
      <c r="H756" s="1909"/>
      <c r="I756" s="1909"/>
      <c r="J756" s="1909"/>
      <c r="K756" s="1909"/>
      <c r="L756" s="1909"/>
      <c r="M756" s="1909"/>
      <c r="N756" s="1909"/>
      <c r="O756" s="1909"/>
      <c r="P756" s="1909"/>
      <c r="Q756" s="1909"/>
      <c r="R756" s="1909"/>
      <c r="S756" s="1909"/>
      <c r="T756" s="1909"/>
      <c r="U756" s="1909"/>
      <c r="V756" s="1909"/>
      <c r="W756" s="1909"/>
      <c r="X756" s="1909"/>
      <c r="Y756" s="1909"/>
      <c r="Z756" s="1909"/>
      <c r="AA756" s="1909"/>
      <c r="AB756" s="1909"/>
      <c r="AC756" s="1909"/>
      <c r="AD756" s="190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09"/>
      <c r="F757" s="1909"/>
      <c r="G757" s="1909"/>
      <c r="H757" s="1909"/>
      <c r="I757" s="1909"/>
      <c r="J757" s="1909"/>
      <c r="K757" s="1909"/>
      <c r="L757" s="1909"/>
      <c r="M757" s="1909"/>
      <c r="N757" s="1909"/>
      <c r="O757" s="1909"/>
      <c r="P757" s="1909"/>
      <c r="Q757" s="1909"/>
      <c r="R757" s="1909"/>
      <c r="S757" s="1909"/>
      <c r="T757" s="1909"/>
      <c r="U757" s="1909"/>
      <c r="V757" s="1909"/>
      <c r="W757" s="1909"/>
      <c r="X757" s="1909"/>
      <c r="Y757" s="1909"/>
      <c r="Z757" s="1909"/>
      <c r="AA757" s="1909"/>
      <c r="AB757" s="1909"/>
      <c r="AC757" s="1909"/>
      <c r="AD757" s="190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21" t="s">
        <v>1958</v>
      </c>
      <c r="F759" s="2021"/>
      <c r="G759" s="2021"/>
      <c r="H759" s="2021"/>
      <c r="I759" s="2021"/>
      <c r="J759" s="2021"/>
      <c r="K759" s="2021"/>
      <c r="L759" s="2021"/>
      <c r="M759" s="2021"/>
      <c r="N759" s="2021"/>
      <c r="O759" s="2021"/>
      <c r="P759" s="2021"/>
      <c r="Q759" s="2021"/>
      <c r="R759" s="2021"/>
      <c r="S759" s="2021"/>
      <c r="T759" s="2021"/>
      <c r="U759" s="2021"/>
      <c r="V759" s="2021"/>
      <c r="W759" s="2021"/>
      <c r="X759" s="2021"/>
      <c r="Y759" s="2021"/>
      <c r="Z759" s="2021"/>
      <c r="AA759" s="2021"/>
      <c r="AB759" s="2021"/>
      <c r="AC759" s="2021"/>
      <c r="AD759" s="2021"/>
      <c r="AE759" s="571"/>
      <c r="AF759" s="1989" t="s">
        <v>1525</v>
      </c>
      <c r="AG759" s="1989"/>
      <c r="AH759" s="1989"/>
      <c r="AI759" s="1989"/>
      <c r="AJ759" s="1989"/>
      <c r="AK759" s="1989"/>
      <c r="AL759" s="1989"/>
      <c r="AM759" s="648"/>
      <c r="AN759" s="632"/>
    </row>
    <row r="760" spans="1:81" s="585" customFormat="1" ht="12.75" customHeight="1">
      <c r="B760" s="651"/>
      <c r="C760" s="977"/>
      <c r="D760" s="698"/>
      <c r="E760" s="2021"/>
      <c r="F760" s="2021"/>
      <c r="G760" s="2021"/>
      <c r="H760" s="2021"/>
      <c r="I760" s="2021"/>
      <c r="J760" s="2021"/>
      <c r="K760" s="2021"/>
      <c r="L760" s="2021"/>
      <c r="M760" s="2021"/>
      <c r="N760" s="2021"/>
      <c r="O760" s="2021"/>
      <c r="P760" s="2021"/>
      <c r="Q760" s="2021"/>
      <c r="R760" s="2021"/>
      <c r="S760" s="2021"/>
      <c r="T760" s="2021"/>
      <c r="U760" s="2021"/>
      <c r="V760" s="2021"/>
      <c r="W760" s="2021"/>
      <c r="X760" s="2021"/>
      <c r="Y760" s="2021"/>
      <c r="Z760" s="2021"/>
      <c r="AA760" s="2021"/>
      <c r="AB760" s="2021"/>
      <c r="AC760" s="2021"/>
      <c r="AD760" s="2021"/>
      <c r="AE760" s="629"/>
      <c r="AF760" s="629"/>
      <c r="AG760" s="629"/>
      <c r="AH760" s="629"/>
      <c r="AI760" s="629"/>
      <c r="AJ760" s="629"/>
      <c r="AK760" s="629"/>
      <c r="AL760" s="629"/>
      <c r="AM760" s="648"/>
      <c r="AN760" s="632"/>
    </row>
    <row r="761" spans="1:81" s="585" customFormat="1" ht="12.75" customHeight="1">
      <c r="B761" s="651"/>
      <c r="C761" s="977"/>
      <c r="D761" s="698"/>
      <c r="E761" s="2021"/>
      <c r="F761" s="2021"/>
      <c r="G761" s="2021"/>
      <c r="H761" s="2021"/>
      <c r="I761" s="2021"/>
      <c r="J761" s="2021"/>
      <c r="K761" s="2021"/>
      <c r="L761" s="2021"/>
      <c r="M761" s="2021"/>
      <c r="N761" s="2021"/>
      <c r="O761" s="2021"/>
      <c r="P761" s="2021"/>
      <c r="Q761" s="2021"/>
      <c r="R761" s="2021"/>
      <c r="S761" s="2021"/>
      <c r="T761" s="2021"/>
      <c r="U761" s="2021"/>
      <c r="V761" s="2021"/>
      <c r="W761" s="2021"/>
      <c r="X761" s="2021"/>
      <c r="Y761" s="2021"/>
      <c r="Z761" s="2021"/>
      <c r="AA761" s="2021"/>
      <c r="AB761" s="2021"/>
      <c r="AC761" s="2021"/>
      <c r="AD761" s="2021"/>
      <c r="AE761" s="629"/>
      <c r="AF761" s="629"/>
      <c r="AG761" s="629"/>
      <c r="AH761" s="629"/>
      <c r="AI761" s="629"/>
      <c r="AJ761" s="629"/>
      <c r="AK761" s="629"/>
      <c r="AL761" s="629"/>
      <c r="AM761" s="648"/>
      <c r="AN761" s="632"/>
    </row>
    <row r="762" spans="1:81" s="585" customFormat="1" ht="12.75" customHeight="1">
      <c r="B762" s="651"/>
      <c r="C762" s="977"/>
      <c r="D762" s="698"/>
      <c r="E762" s="2021"/>
      <c r="F762" s="2021"/>
      <c r="G762" s="2021"/>
      <c r="H762" s="2021"/>
      <c r="I762" s="2021"/>
      <c r="J762" s="2021"/>
      <c r="K762" s="2021"/>
      <c r="L762" s="2021"/>
      <c r="M762" s="2021"/>
      <c r="N762" s="2021"/>
      <c r="O762" s="2021"/>
      <c r="P762" s="2021"/>
      <c r="Q762" s="2021"/>
      <c r="R762" s="2021"/>
      <c r="S762" s="2021"/>
      <c r="T762" s="2021"/>
      <c r="U762" s="2021"/>
      <c r="V762" s="2021"/>
      <c r="W762" s="2021"/>
      <c r="X762" s="2021"/>
      <c r="Y762" s="2021"/>
      <c r="Z762" s="2021"/>
      <c r="AA762" s="2021"/>
      <c r="AB762" s="2021"/>
      <c r="AC762" s="2021"/>
      <c r="AD762" s="202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33" t="s">
        <v>600</v>
      </c>
      <c r="I764" s="193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16">
        <f>VLOOKUP($H$764,$AP$705:$AQ$707,2,FALSE)</f>
        <v>0</v>
      </c>
      <c r="AK766" s="191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9" t="s">
        <v>2431</v>
      </c>
      <c r="F770" s="1909"/>
      <c r="G770" s="1909"/>
      <c r="H770" s="1909"/>
      <c r="I770" s="1909"/>
      <c r="J770" s="1909"/>
      <c r="K770" s="1909"/>
      <c r="L770" s="1909"/>
      <c r="M770" s="1909"/>
      <c r="N770" s="1909"/>
      <c r="O770" s="1909"/>
      <c r="P770" s="1909"/>
      <c r="Q770" s="1909"/>
      <c r="R770" s="1909"/>
      <c r="S770" s="1909"/>
      <c r="T770" s="1909"/>
      <c r="U770" s="1909"/>
      <c r="V770" s="1909"/>
      <c r="W770" s="1909"/>
      <c r="X770" s="1909"/>
      <c r="Y770" s="1909"/>
      <c r="Z770" s="1909"/>
      <c r="AA770" s="1909"/>
      <c r="AB770" s="1909"/>
      <c r="AC770" s="1909"/>
      <c r="AD770" s="1909"/>
      <c r="AE770" s="571"/>
      <c r="AF770" s="1989" t="s">
        <v>1525</v>
      </c>
      <c r="AG770" s="1989"/>
      <c r="AH770" s="1989"/>
      <c r="AI770" s="1989"/>
      <c r="AJ770" s="1989"/>
      <c r="AK770" s="1989"/>
      <c r="AL770" s="1989"/>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9"/>
      <c r="F771" s="1909"/>
      <c r="G771" s="1909"/>
      <c r="H771" s="1909"/>
      <c r="I771" s="1909"/>
      <c r="J771" s="1909"/>
      <c r="K771" s="1909"/>
      <c r="L771" s="1909"/>
      <c r="M771" s="1909"/>
      <c r="N771" s="1909"/>
      <c r="O771" s="1909"/>
      <c r="P771" s="1909"/>
      <c r="Q771" s="1909"/>
      <c r="R771" s="1909"/>
      <c r="S771" s="1909"/>
      <c r="T771" s="1909"/>
      <c r="U771" s="1909"/>
      <c r="V771" s="1909"/>
      <c r="W771" s="1909"/>
      <c r="X771" s="1909"/>
      <c r="Y771" s="1909"/>
      <c r="Z771" s="1909"/>
      <c r="AA771" s="1909"/>
      <c r="AB771" s="1909"/>
      <c r="AC771" s="1909"/>
      <c r="AD771" s="190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9"/>
      <c r="F772" s="1909"/>
      <c r="G772" s="1909"/>
      <c r="H772" s="1909"/>
      <c r="I772" s="1909"/>
      <c r="J772" s="1909"/>
      <c r="K772" s="1909"/>
      <c r="L772" s="1909"/>
      <c r="M772" s="1909"/>
      <c r="N772" s="1909"/>
      <c r="O772" s="1909"/>
      <c r="P772" s="1909"/>
      <c r="Q772" s="1909"/>
      <c r="R772" s="1909"/>
      <c r="S772" s="1909"/>
      <c r="T772" s="1909"/>
      <c r="U772" s="1909"/>
      <c r="V772" s="1909"/>
      <c r="W772" s="1909"/>
      <c r="X772" s="1909"/>
      <c r="Y772" s="1909"/>
      <c r="Z772" s="1909"/>
      <c r="AA772" s="1909"/>
      <c r="AB772" s="1909"/>
      <c r="AC772" s="1909"/>
      <c r="AD772" s="190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9"/>
      <c r="F773" s="1909"/>
      <c r="G773" s="1909"/>
      <c r="H773" s="1909"/>
      <c r="I773" s="1909"/>
      <c r="J773" s="1909"/>
      <c r="K773" s="1909"/>
      <c r="L773" s="1909"/>
      <c r="M773" s="1909"/>
      <c r="N773" s="1909"/>
      <c r="O773" s="1909"/>
      <c r="P773" s="1909"/>
      <c r="Q773" s="1909"/>
      <c r="R773" s="1909"/>
      <c r="S773" s="1909"/>
      <c r="T773" s="1909"/>
      <c r="U773" s="1909"/>
      <c r="V773" s="1909"/>
      <c r="W773" s="1909"/>
      <c r="X773" s="1909"/>
      <c r="Y773" s="1909"/>
      <c r="Z773" s="1909"/>
      <c r="AA773" s="1909"/>
      <c r="AB773" s="1909"/>
      <c r="AC773" s="1909"/>
      <c r="AD773" s="190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33" t="s">
        <v>600</v>
      </c>
      <c r="I775" s="193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16">
        <f>VLOOKUP($H$775,$AO$769:$AP$770,2,FALSE)</f>
        <v>0</v>
      </c>
      <c r="AK777" s="191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16">
        <f>IF(($AJ$610+$AJ$629+$AJ$641+$AJ$676+$AJ$696+$AJ$710+$AJ$722+$AJ$738+$AJ$750+$AJ$766+AJ777)&gt;10,10,($AJ$610+$AJ$629+$AJ$641+$AJ$676+$AJ$696+$AJ$710+$AJ$722+$AJ$738+$AJ$750+$AJ$766+AJ777))</f>
        <v>10</v>
      </c>
      <c r="AL779" s="1917"/>
      <c r="AM779" s="191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0" t="s">
        <v>1746</v>
      </c>
      <c r="B782" s="1981"/>
      <c r="C782" s="1981"/>
      <c r="D782" s="1981"/>
      <c r="E782" s="1981"/>
      <c r="F782" s="1981"/>
      <c r="G782" s="1981"/>
      <c r="H782" s="1981"/>
      <c r="I782" s="1981"/>
      <c r="J782" s="1981"/>
      <c r="K782" s="1981"/>
      <c r="L782" s="1981"/>
      <c r="M782" s="1981"/>
      <c r="N782" s="1981"/>
      <c r="O782" s="1981"/>
      <c r="P782" s="1981"/>
      <c r="Q782" s="1981"/>
      <c r="R782" s="1981"/>
      <c r="S782" s="1981"/>
      <c r="T782" s="1981"/>
      <c r="U782" s="1981"/>
      <c r="V782" s="1981"/>
      <c r="W782" s="1981"/>
      <c r="X782" s="1981"/>
      <c r="Y782" s="1981"/>
      <c r="Z782" s="1981"/>
      <c r="AA782" s="1981"/>
      <c r="AB782" s="1981"/>
      <c r="AC782" s="1981"/>
      <c r="AD782" s="1981"/>
      <c r="AE782" s="1981"/>
      <c r="AF782" s="1981"/>
      <c r="AG782" s="1981"/>
      <c r="AH782" s="1981"/>
      <c r="AI782" s="1981"/>
      <c r="AJ782" s="1981"/>
      <c r="AK782" s="1981"/>
      <c r="AL782" s="1981"/>
      <c r="AM782" s="1981"/>
    </row>
    <row r="783" spans="1:81">
      <c r="A783" s="1982"/>
      <c r="B783" s="1982"/>
      <c r="C783" s="1982"/>
      <c r="D783" s="1982"/>
      <c r="E783" s="1982"/>
      <c r="F783" s="1982"/>
      <c r="G783" s="1982"/>
      <c r="H783" s="1982"/>
      <c r="I783" s="1982"/>
      <c r="J783" s="1982"/>
      <c r="K783" s="1982"/>
      <c r="L783" s="1982"/>
      <c r="M783" s="1982"/>
      <c r="N783" s="1982"/>
      <c r="O783" s="1982"/>
      <c r="P783" s="1982"/>
      <c r="Q783" s="1982"/>
      <c r="R783" s="1982"/>
      <c r="S783" s="1982"/>
      <c r="T783" s="1982"/>
      <c r="U783" s="1982"/>
      <c r="V783" s="1982"/>
      <c r="W783" s="1982"/>
      <c r="X783" s="1982"/>
      <c r="Y783" s="1982"/>
      <c r="Z783" s="1982"/>
      <c r="AA783" s="1982"/>
      <c r="AB783" s="1982"/>
      <c r="AC783" s="1982"/>
      <c r="AD783" s="1982"/>
      <c r="AE783" s="1982"/>
      <c r="AF783" s="1982"/>
      <c r="AG783" s="1982"/>
      <c r="AH783" s="1982"/>
      <c r="AI783" s="1982"/>
      <c r="AJ783" s="1982"/>
      <c r="AK783" s="1982"/>
      <c r="AL783" s="1982"/>
      <c r="AM783" s="198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9"/>
      <c r="B785" s="1919"/>
      <c r="C785" s="1919"/>
      <c r="D785" s="1919"/>
      <c r="E785" s="1919"/>
      <c r="F785" s="1919"/>
      <c r="G785" s="1919"/>
      <c r="H785" s="1919"/>
      <c r="I785" s="1919"/>
      <c r="J785" s="1919"/>
      <c r="K785" s="1919"/>
      <c r="L785" s="1919"/>
      <c r="M785" s="1919"/>
      <c r="N785" s="1919"/>
      <c r="O785" s="1919"/>
      <c r="P785" s="1919"/>
      <c r="Q785" s="1919"/>
      <c r="R785" s="1919"/>
      <c r="S785" s="1919"/>
      <c r="T785" s="1919"/>
      <c r="U785" s="1919"/>
      <c r="V785" s="1919"/>
      <c r="W785" s="1919"/>
      <c r="X785" s="1919"/>
      <c r="Y785" s="1919"/>
      <c r="Z785" s="1919"/>
      <c r="AA785" s="1919"/>
      <c r="AB785" s="1919"/>
      <c r="AC785" s="1919"/>
      <c r="AD785" s="1919"/>
      <c r="AE785" s="1919"/>
      <c r="AF785" s="1919"/>
      <c r="AG785" s="1919"/>
      <c r="AH785" s="1919"/>
      <c r="AI785" s="1919"/>
      <c r="AJ785" s="1919"/>
      <c r="AK785" s="1919"/>
      <c r="AL785" s="1919"/>
      <c r="AM785" s="1919"/>
      <c r="AP785" s="852"/>
      <c r="AQ785" s="852"/>
    </row>
    <row r="786" spans="1:81">
      <c r="A786" s="1919"/>
      <c r="B786" s="1919"/>
      <c r="C786" s="1919"/>
      <c r="D786" s="1919"/>
      <c r="E786" s="1919"/>
      <c r="F786" s="1919"/>
      <c r="G786" s="1919"/>
      <c r="H786" s="1919"/>
      <c r="I786" s="1919"/>
      <c r="J786" s="1919"/>
      <c r="K786" s="1919"/>
      <c r="L786" s="1919"/>
      <c r="M786" s="1919"/>
      <c r="N786" s="1919"/>
      <c r="O786" s="1919"/>
      <c r="P786" s="1919"/>
      <c r="Q786" s="1919"/>
      <c r="R786" s="1919"/>
      <c r="S786" s="1919"/>
      <c r="T786" s="1919"/>
      <c r="U786" s="1919"/>
      <c r="V786" s="1919"/>
      <c r="W786" s="1919"/>
      <c r="X786" s="1919"/>
      <c r="Y786" s="1919"/>
      <c r="Z786" s="1919"/>
      <c r="AA786" s="1919"/>
      <c r="AB786" s="1919"/>
      <c r="AC786" s="1919"/>
      <c r="AD786" s="1919"/>
      <c r="AE786" s="1919"/>
      <c r="AF786" s="1919"/>
      <c r="AG786" s="1919"/>
      <c r="AH786" s="1919"/>
      <c r="AI786" s="1919"/>
      <c r="AJ786" s="1919"/>
      <c r="AK786" s="1919"/>
      <c r="AL786" s="1919"/>
      <c r="AM786" s="191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3" t="s">
        <v>1747</v>
      </c>
      <c r="U787" s="1984"/>
      <c r="V787" s="1984"/>
      <c r="W787" s="1984"/>
      <c r="X787" s="1984"/>
      <c r="Y787" s="1985"/>
      <c r="Z787" s="1983" t="s">
        <v>1748</v>
      </c>
      <c r="AA787" s="1984"/>
      <c r="AB787" s="1984"/>
      <c r="AC787" s="1984"/>
      <c r="AD787" s="1984"/>
      <c r="AE787" s="1985"/>
      <c r="AF787" s="1983" t="s">
        <v>1749</v>
      </c>
      <c r="AG787" s="1984"/>
      <c r="AH787" s="1984"/>
      <c r="AI787" s="1984"/>
      <c r="AJ787" s="1984"/>
      <c r="AK787" s="198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6"/>
      <c r="U788" s="1987"/>
      <c r="V788" s="1987"/>
      <c r="W788" s="1987"/>
      <c r="X788" s="1987"/>
      <c r="Y788" s="1988"/>
      <c r="Z788" s="1986"/>
      <c r="AA788" s="1987"/>
      <c r="AB788" s="1987"/>
      <c r="AC788" s="1987"/>
      <c r="AD788" s="1987"/>
      <c r="AE788" s="1988"/>
      <c r="AF788" s="1986"/>
      <c r="AG788" s="1987"/>
      <c r="AH788" s="1987"/>
      <c r="AI788" s="1987"/>
      <c r="AJ788" s="1987"/>
      <c r="AK788" s="1988"/>
      <c r="AL788" s="854"/>
      <c r="AM788" s="631"/>
      <c r="AO788" s="852"/>
      <c r="AP788" s="852"/>
      <c r="AQ788" s="852"/>
    </row>
    <row r="789" spans="1:81">
      <c r="A789" s="855" t="s">
        <v>769</v>
      </c>
      <c r="B789" s="1940" t="s">
        <v>1477</v>
      </c>
      <c r="C789" s="1940"/>
      <c r="D789" s="1940"/>
      <c r="E789" s="1940"/>
      <c r="F789" s="1940"/>
      <c r="G789" s="1940"/>
      <c r="H789" s="1940"/>
      <c r="I789" s="1940"/>
      <c r="J789" s="1940"/>
      <c r="K789" s="1940"/>
      <c r="L789" s="1940"/>
      <c r="M789" s="1940"/>
      <c r="N789" s="1940"/>
      <c r="O789" s="1940"/>
      <c r="P789" s="1940"/>
      <c r="Q789" s="1940"/>
      <c r="R789" s="1940"/>
      <c r="S789" s="1941"/>
      <c r="T789" s="1968">
        <f>AK56</f>
        <v>0</v>
      </c>
      <c r="U789" s="1944"/>
      <c r="V789" s="1944"/>
      <c r="W789" s="1944"/>
      <c r="X789" s="1944"/>
      <c r="Y789" s="1945"/>
      <c r="Z789" s="1943">
        <v>20</v>
      </c>
      <c r="AA789" s="1944"/>
      <c r="AB789" s="1944"/>
      <c r="AC789" s="1944"/>
      <c r="AD789" s="1944"/>
      <c r="AE789" s="1945"/>
      <c r="AF789" s="1929">
        <f>IF(T789&gt;Z789,Z789,T789)</f>
        <v>0</v>
      </c>
      <c r="AG789" s="1929"/>
      <c r="AH789" s="1929"/>
      <c r="AI789" s="1929"/>
      <c r="AJ789" s="1929"/>
      <c r="AK789" s="1929"/>
      <c r="AL789" s="854"/>
      <c r="AM789" s="631"/>
      <c r="AO789" s="852"/>
      <c r="AP789" s="852"/>
      <c r="AQ789" s="852"/>
    </row>
    <row r="790" spans="1:81">
      <c r="A790" s="855" t="s">
        <v>1719</v>
      </c>
      <c r="B790" s="1940" t="s">
        <v>1486</v>
      </c>
      <c r="C790" s="1940"/>
      <c r="D790" s="1940"/>
      <c r="E790" s="1940"/>
      <c r="F790" s="1940"/>
      <c r="G790" s="1940"/>
      <c r="H790" s="1940"/>
      <c r="I790" s="1940"/>
      <c r="J790" s="1940"/>
      <c r="K790" s="1940"/>
      <c r="L790" s="1940"/>
      <c r="M790" s="1940"/>
      <c r="N790" s="1940"/>
      <c r="O790" s="1940"/>
      <c r="P790" s="1940"/>
      <c r="Q790" s="1940"/>
      <c r="R790" s="1940"/>
      <c r="S790" s="1941"/>
      <c r="T790" s="1968">
        <f>AK78</f>
        <v>10</v>
      </c>
      <c r="U790" s="1944"/>
      <c r="V790" s="1944"/>
      <c r="W790" s="1944"/>
      <c r="X790" s="1944"/>
      <c r="Y790" s="1945"/>
      <c r="Z790" s="1943">
        <v>10</v>
      </c>
      <c r="AA790" s="1944"/>
      <c r="AB790" s="1944"/>
      <c r="AC790" s="1944"/>
      <c r="AD790" s="1944"/>
      <c r="AE790" s="1945"/>
      <c r="AF790" s="1929">
        <f>IF(T790&gt;Z790,Z790,T790)</f>
        <v>10</v>
      </c>
      <c r="AG790" s="1929"/>
      <c r="AH790" s="1929"/>
      <c r="AI790" s="1929"/>
      <c r="AJ790" s="1929"/>
      <c r="AK790" s="1929"/>
      <c r="AL790" s="854"/>
      <c r="AM790" s="631"/>
      <c r="AO790" s="852"/>
      <c r="AP790" s="852"/>
      <c r="AQ790" s="852"/>
    </row>
    <row r="791" spans="1:81">
      <c r="A791" s="855" t="s">
        <v>1728</v>
      </c>
      <c r="B791" s="1940" t="s">
        <v>1496</v>
      </c>
      <c r="C791" s="1940"/>
      <c r="D791" s="1940"/>
      <c r="E791" s="1940"/>
      <c r="F791" s="1940"/>
      <c r="G791" s="1940"/>
      <c r="H791" s="1940"/>
      <c r="I791" s="1940"/>
      <c r="J791" s="1940"/>
      <c r="K791" s="1940"/>
      <c r="L791" s="1940"/>
      <c r="M791" s="1940"/>
      <c r="N791" s="1940"/>
      <c r="O791" s="1940"/>
      <c r="P791" s="1940"/>
      <c r="Q791" s="1940"/>
      <c r="R791" s="1940"/>
      <c r="S791" s="1941"/>
      <c r="T791" s="1968">
        <f ca="1">AK103</f>
        <v>20</v>
      </c>
      <c r="U791" s="1944"/>
      <c r="V791" s="1944"/>
      <c r="W791" s="1944"/>
      <c r="X791" s="1944"/>
      <c r="Y791" s="1945"/>
      <c r="Z791" s="1943">
        <v>20</v>
      </c>
      <c r="AA791" s="1944"/>
      <c r="AB791" s="1944"/>
      <c r="AC791" s="1944"/>
      <c r="AD791" s="1944"/>
      <c r="AE791" s="1945"/>
      <c r="AF791" s="1929">
        <f ca="1">IF(T791&gt;Z791,Z791,T791)</f>
        <v>20</v>
      </c>
      <c r="AG791" s="1929"/>
      <c r="AH791" s="1929"/>
      <c r="AI791" s="1929"/>
      <c r="AJ791" s="1929"/>
      <c r="AK791" s="1929"/>
      <c r="AL791" s="854"/>
      <c r="AM791" s="631"/>
      <c r="AO791" s="852"/>
      <c r="AP791" s="852"/>
      <c r="AQ791" s="852"/>
    </row>
    <row r="792" spans="1:81">
      <c r="A792" s="855" t="s">
        <v>1750</v>
      </c>
      <c r="B792" s="1940" t="s">
        <v>1506</v>
      </c>
      <c r="C792" s="1940"/>
      <c r="D792" s="1940"/>
      <c r="E792" s="1940"/>
      <c r="F792" s="1940"/>
      <c r="G792" s="1940"/>
      <c r="H792" s="1940"/>
      <c r="I792" s="1940"/>
      <c r="J792" s="1940"/>
      <c r="K792" s="1940"/>
      <c r="L792" s="1940"/>
      <c r="M792" s="1940"/>
      <c r="N792" s="1940"/>
      <c r="O792" s="1940"/>
      <c r="P792" s="1940"/>
      <c r="Q792" s="1940"/>
      <c r="R792" s="1940"/>
      <c r="S792" s="1941"/>
      <c r="T792" s="1968">
        <f>AK137</f>
        <v>10</v>
      </c>
      <c r="U792" s="1944"/>
      <c r="V792" s="1944"/>
      <c r="W792" s="1944"/>
      <c r="X792" s="1944"/>
      <c r="Y792" s="1945"/>
      <c r="Z792" s="1943">
        <v>10</v>
      </c>
      <c r="AA792" s="1944"/>
      <c r="AB792" s="1944"/>
      <c r="AC792" s="1944"/>
      <c r="AD792" s="1944"/>
      <c r="AE792" s="1945"/>
      <c r="AF792" s="1929">
        <f>IF(T792&gt;Z792,Z792,T792)</f>
        <v>10</v>
      </c>
      <c r="AG792" s="1929"/>
      <c r="AH792" s="1929"/>
      <c r="AI792" s="1929"/>
      <c r="AJ792" s="1929"/>
      <c r="AK792" s="1929"/>
      <c r="AL792" s="854"/>
      <c r="AM792" s="631"/>
      <c r="AO792" s="852"/>
      <c r="AP792" s="852"/>
      <c r="AQ792" s="852"/>
    </row>
    <row r="793" spans="1:81">
      <c r="A793" s="856" t="s">
        <v>1751</v>
      </c>
      <c r="B793" s="1940" t="s">
        <v>1752</v>
      </c>
      <c r="C793" s="1940"/>
      <c r="D793" s="1940"/>
      <c r="E793" s="1940"/>
      <c r="F793" s="1940"/>
      <c r="G793" s="1940"/>
      <c r="H793" s="1940"/>
      <c r="I793" s="1940"/>
      <c r="J793" s="1940"/>
      <c r="K793" s="1940"/>
      <c r="L793" s="1940"/>
      <c r="M793" s="1940"/>
      <c r="N793" s="1940"/>
      <c r="O793" s="1940"/>
      <c r="P793" s="1940"/>
      <c r="Q793" s="1940"/>
      <c r="R793" s="1940"/>
      <c r="S793" s="1941"/>
      <c r="T793" s="1942">
        <f>SUM(T794:Y795)</f>
        <v>10</v>
      </c>
      <c r="U793" s="1942"/>
      <c r="V793" s="1942"/>
      <c r="W793" s="1942"/>
      <c r="X793" s="1942"/>
      <c r="Y793" s="1942"/>
      <c r="Z793" s="1929">
        <v>10</v>
      </c>
      <c r="AA793" s="1929"/>
      <c r="AB793" s="1929"/>
      <c r="AC793" s="1929"/>
      <c r="AD793" s="1929"/>
      <c r="AE793" s="1929"/>
      <c r="AF793" s="1929">
        <f>IF(T793&gt;Z793,Z793,T793)</f>
        <v>10</v>
      </c>
      <c r="AG793" s="1929"/>
      <c r="AH793" s="1929"/>
      <c r="AI793" s="1929"/>
      <c r="AJ793" s="1929"/>
      <c r="AK793" s="1929"/>
      <c r="AL793" s="854"/>
      <c r="AM793" s="631"/>
    </row>
    <row r="794" spans="1:81">
      <c r="A794" s="570"/>
      <c r="B794" s="636"/>
      <c r="C794" s="1946" t="s">
        <v>1753</v>
      </c>
      <c r="D794" s="1946"/>
      <c r="E794" s="1946"/>
      <c r="F794" s="1946"/>
      <c r="G794" s="1946"/>
      <c r="H794" s="1946"/>
      <c r="I794" s="1946"/>
      <c r="J794" s="1946"/>
      <c r="K794" s="1946"/>
      <c r="L794" s="1946"/>
      <c r="M794" s="1946"/>
      <c r="N794" s="1946"/>
      <c r="O794" s="1946"/>
      <c r="P794" s="1946"/>
      <c r="Q794" s="1946"/>
      <c r="R794" s="1946"/>
      <c r="S794" s="1947"/>
      <c r="T794" s="1948">
        <f>AJ155</f>
        <v>7</v>
      </c>
      <c r="U794" s="1948"/>
      <c r="V794" s="1948"/>
      <c r="W794" s="1948"/>
      <c r="X794" s="1948"/>
      <c r="Y794" s="1948"/>
      <c r="Z794" s="1949">
        <v>7</v>
      </c>
      <c r="AA794" s="1949"/>
      <c r="AB794" s="1949"/>
      <c r="AC794" s="1949"/>
      <c r="AD794" s="1949"/>
      <c r="AE794" s="1949"/>
      <c r="AF794" s="1950"/>
      <c r="AG794" s="1950"/>
      <c r="AH794" s="1950"/>
      <c r="AI794" s="1950"/>
      <c r="AJ794" s="1950"/>
      <c r="AK794" s="1950"/>
      <c r="AL794" s="854"/>
      <c r="AM794" s="631"/>
    </row>
    <row r="795" spans="1:81">
      <c r="A795" s="635"/>
      <c r="B795" s="636"/>
      <c r="C795" s="1946" t="s">
        <v>1754</v>
      </c>
      <c r="D795" s="1946"/>
      <c r="E795" s="1946"/>
      <c r="F795" s="1946"/>
      <c r="G795" s="1946"/>
      <c r="H795" s="1946"/>
      <c r="I795" s="1946"/>
      <c r="J795" s="1946"/>
      <c r="K795" s="1946"/>
      <c r="L795" s="1946"/>
      <c r="M795" s="1946"/>
      <c r="N795" s="1946"/>
      <c r="O795" s="1946"/>
      <c r="P795" s="1946"/>
      <c r="Q795" s="1946"/>
      <c r="R795" s="1946"/>
      <c r="S795" s="1947"/>
      <c r="T795" s="1948">
        <f>AJ169</f>
        <v>3</v>
      </c>
      <c r="U795" s="1948"/>
      <c r="V795" s="1948"/>
      <c r="W795" s="1948"/>
      <c r="X795" s="1948"/>
      <c r="Y795" s="1948"/>
      <c r="Z795" s="1949">
        <v>3</v>
      </c>
      <c r="AA795" s="1949"/>
      <c r="AB795" s="1949"/>
      <c r="AC795" s="1949"/>
      <c r="AD795" s="1949"/>
      <c r="AE795" s="1949"/>
      <c r="AF795" s="1950"/>
      <c r="AG795" s="1950"/>
      <c r="AH795" s="1950"/>
      <c r="AI795" s="1950"/>
      <c r="AJ795" s="1950"/>
      <c r="AK795" s="1950"/>
      <c r="AL795" s="854"/>
      <c r="AM795" s="631"/>
      <c r="AO795" s="585"/>
    </row>
    <row r="796" spans="1:81">
      <c r="A796" s="856" t="s">
        <v>1534</v>
      </c>
      <c r="B796" s="1940" t="s">
        <v>1755</v>
      </c>
      <c r="C796" s="1940"/>
      <c r="D796" s="1940"/>
      <c r="E796" s="1940"/>
      <c r="F796" s="1940"/>
      <c r="G796" s="1940"/>
      <c r="H796" s="1940"/>
      <c r="I796" s="1940"/>
      <c r="J796" s="1940"/>
      <c r="K796" s="1940"/>
      <c r="L796" s="1940"/>
      <c r="M796" s="1940"/>
      <c r="N796" s="1940"/>
      <c r="O796" s="1940"/>
      <c r="P796" s="1940"/>
      <c r="Q796" s="1940"/>
      <c r="R796" s="1940"/>
      <c r="S796" s="1941"/>
      <c r="T796" s="1942">
        <f>AK180</f>
        <v>10</v>
      </c>
      <c r="U796" s="1942"/>
      <c r="V796" s="1942"/>
      <c r="W796" s="1942"/>
      <c r="X796" s="1942"/>
      <c r="Y796" s="1942"/>
      <c r="Z796" s="1929">
        <v>10</v>
      </c>
      <c r="AA796" s="1929"/>
      <c r="AB796" s="1929"/>
      <c r="AC796" s="1929"/>
      <c r="AD796" s="1929"/>
      <c r="AE796" s="1929"/>
      <c r="AF796" s="1929">
        <f>IF(T796&gt;Z796,Z796,T796)</f>
        <v>10</v>
      </c>
      <c r="AG796" s="1929"/>
      <c r="AH796" s="1929"/>
      <c r="AI796" s="1929"/>
      <c r="AJ796" s="1929"/>
      <c r="AK796" s="1929"/>
      <c r="AL796" s="854"/>
      <c r="AM796" s="631"/>
    </row>
    <row r="797" spans="1:81">
      <c r="A797" s="855" t="s">
        <v>1543</v>
      </c>
      <c r="B797" s="1940" t="s">
        <v>1544</v>
      </c>
      <c r="C797" s="1940"/>
      <c r="D797" s="1940"/>
      <c r="E797" s="1940"/>
      <c r="F797" s="1940"/>
      <c r="G797" s="1940"/>
      <c r="H797" s="1940"/>
      <c r="I797" s="1940"/>
      <c r="J797" s="1940"/>
      <c r="K797" s="1940"/>
      <c r="L797" s="1940"/>
      <c r="M797" s="1940"/>
      <c r="N797" s="1940"/>
      <c r="O797" s="1940"/>
      <c r="P797" s="1940"/>
      <c r="Q797" s="1940"/>
      <c r="R797" s="1940"/>
      <c r="S797" s="1941"/>
      <c r="T797" s="1942">
        <f>AK262</f>
        <v>8</v>
      </c>
      <c r="U797" s="1942"/>
      <c r="V797" s="1942"/>
      <c r="W797" s="1942"/>
      <c r="X797" s="1942"/>
      <c r="Y797" s="1942"/>
      <c r="Z797" s="1943">
        <v>8</v>
      </c>
      <c r="AA797" s="1944"/>
      <c r="AB797" s="1944"/>
      <c r="AC797" s="1944"/>
      <c r="AD797" s="1944"/>
      <c r="AE797" s="1945"/>
      <c r="AF797" s="1929">
        <f>IF(T797&gt;Z797,Z797,T797)</f>
        <v>8</v>
      </c>
      <c r="AG797" s="1929"/>
      <c r="AH797" s="1929"/>
      <c r="AI797" s="1929"/>
      <c r="AJ797" s="1929"/>
      <c r="AK797" s="1929"/>
      <c r="AL797" s="854"/>
      <c r="AM797" s="631"/>
    </row>
    <row r="798" spans="1:81" s="569" customFormat="1" hidden="1">
      <c r="A798" s="856" t="s">
        <v>598</v>
      </c>
      <c r="B798" s="1940" t="s">
        <v>1756</v>
      </c>
      <c r="C798" s="1940"/>
      <c r="D798" s="1940"/>
      <c r="E798" s="1940"/>
      <c r="F798" s="1940"/>
      <c r="G798" s="1940"/>
      <c r="H798" s="1940"/>
      <c r="I798" s="1940"/>
      <c r="J798" s="1940"/>
      <c r="K798" s="1940"/>
      <c r="L798" s="1940"/>
      <c r="M798" s="1940"/>
      <c r="N798" s="1940"/>
      <c r="O798" s="1940"/>
      <c r="P798" s="1940"/>
      <c r="Q798" s="1940"/>
      <c r="R798" s="1940"/>
      <c r="S798" s="1941"/>
      <c r="T798" s="1942">
        <f>IF(AK524&gt;5,5,AK524)</f>
        <v>0</v>
      </c>
      <c r="U798" s="1942"/>
      <c r="V798" s="1942"/>
      <c r="W798" s="1942"/>
      <c r="X798" s="1942"/>
      <c r="Y798" s="1942"/>
      <c r="Z798" s="1929">
        <v>5</v>
      </c>
      <c r="AA798" s="1929"/>
      <c r="AB798" s="1929"/>
      <c r="AC798" s="1929"/>
      <c r="AD798" s="1929"/>
      <c r="AE798" s="1929"/>
      <c r="AF798" s="1929">
        <f>IF(T798&gt;Z798,5,T798)</f>
        <v>0</v>
      </c>
      <c r="AG798" s="1929"/>
      <c r="AH798" s="1929"/>
      <c r="AI798" s="1929"/>
      <c r="AJ798" s="1929"/>
      <c r="AK798" s="192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40" t="s">
        <v>1757</v>
      </c>
      <c r="C799" s="1940"/>
      <c r="D799" s="1940"/>
      <c r="E799" s="1940"/>
      <c r="F799" s="1940"/>
      <c r="G799" s="1940"/>
      <c r="H799" s="1940"/>
      <c r="I799" s="1940"/>
      <c r="J799" s="1940"/>
      <c r="K799" s="1940"/>
      <c r="L799" s="1940"/>
      <c r="M799" s="1940"/>
      <c r="N799" s="1940"/>
      <c r="O799" s="1940"/>
      <c r="P799" s="1940"/>
      <c r="Q799" s="1940"/>
      <c r="R799" s="1940"/>
      <c r="S799" s="1941"/>
      <c r="T799" s="1942">
        <f>AK274</f>
        <v>10</v>
      </c>
      <c r="U799" s="1942"/>
      <c r="V799" s="1942"/>
      <c r="W799" s="1942"/>
      <c r="X799" s="1942"/>
      <c r="Y799" s="1942"/>
      <c r="Z799" s="1929">
        <v>10</v>
      </c>
      <c r="AA799" s="1929"/>
      <c r="AB799" s="1929"/>
      <c r="AC799" s="1929"/>
      <c r="AD799" s="1929"/>
      <c r="AE799" s="1929"/>
      <c r="AF799" s="1951">
        <f>IF(T799&gt;Z799,Z799,T799)</f>
        <v>10</v>
      </c>
      <c r="AG799" s="1952"/>
      <c r="AH799" s="1952"/>
      <c r="AI799" s="1952"/>
      <c r="AJ799" s="1952"/>
      <c r="AK799" s="195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40" t="s">
        <v>1554</v>
      </c>
      <c r="C800" s="1940"/>
      <c r="D800" s="1940"/>
      <c r="E800" s="1940"/>
      <c r="F800" s="1940"/>
      <c r="G800" s="1940"/>
      <c r="H800" s="1940"/>
      <c r="I800" s="1940"/>
      <c r="J800" s="1940"/>
      <c r="K800" s="1940"/>
      <c r="L800" s="1940"/>
      <c r="M800" s="1940"/>
      <c r="N800" s="1940"/>
      <c r="O800" s="1940"/>
      <c r="P800" s="1940"/>
      <c r="Q800" s="1940"/>
      <c r="R800" s="1940"/>
      <c r="S800" s="1941"/>
      <c r="T800" s="1942">
        <f>AK327</f>
        <v>9</v>
      </c>
      <c r="U800" s="1942"/>
      <c r="V800" s="1942"/>
      <c r="W800" s="1942"/>
      <c r="X800" s="1942"/>
      <c r="Y800" s="1942"/>
      <c r="Z800" s="1951">
        <v>10</v>
      </c>
      <c r="AA800" s="1952"/>
      <c r="AB800" s="1952"/>
      <c r="AC800" s="1952"/>
      <c r="AD800" s="1952"/>
      <c r="AE800" s="1953"/>
      <c r="AF800" s="1951">
        <f>IF(T800&gt;Z800,Z800,T800)</f>
        <v>9</v>
      </c>
      <c r="AG800" s="1952"/>
      <c r="AH800" s="1952"/>
      <c r="AI800" s="1952"/>
      <c r="AJ800" s="1952"/>
      <c r="AK800" s="195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8">
        <f>AK327</f>
        <v>9</v>
      </c>
      <c r="U801" s="1948"/>
      <c r="V801" s="1948"/>
      <c r="W801" s="1948"/>
      <c r="X801" s="1948"/>
      <c r="Y801" s="1948"/>
      <c r="Z801" s="1916">
        <v>20</v>
      </c>
      <c r="AA801" s="1917"/>
      <c r="AB801" s="1917"/>
      <c r="AC801" s="1917"/>
      <c r="AD801" s="1917"/>
      <c r="AE801" s="1918"/>
      <c r="AF801" s="1950"/>
      <c r="AG801" s="1950"/>
      <c r="AH801" s="1950"/>
      <c r="AI801" s="1950"/>
      <c r="AJ801" s="1950"/>
      <c r="AK801" s="195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40" t="s">
        <v>873</v>
      </c>
      <c r="C802" s="1940"/>
      <c r="D802" s="1940"/>
      <c r="E802" s="1940"/>
      <c r="F802" s="1940"/>
      <c r="G802" s="1940"/>
      <c r="H802" s="1940"/>
      <c r="I802" s="1940"/>
      <c r="J802" s="1940"/>
      <c r="K802" s="1940"/>
      <c r="L802" s="1940"/>
      <c r="M802" s="1940"/>
      <c r="N802" s="1940"/>
      <c r="O802" s="1940"/>
      <c r="P802" s="1940"/>
      <c r="Q802" s="1940"/>
      <c r="R802" s="1940"/>
      <c r="S802" s="1941"/>
      <c r="T802" s="1942">
        <f>AK458</f>
        <v>10</v>
      </c>
      <c r="U802" s="1942"/>
      <c r="V802" s="1942"/>
      <c r="W802" s="1942"/>
      <c r="X802" s="1942"/>
      <c r="Y802" s="1942"/>
      <c r="Z802" s="1951">
        <v>10</v>
      </c>
      <c r="AA802" s="1952"/>
      <c r="AB802" s="1952"/>
      <c r="AC802" s="1952"/>
      <c r="AD802" s="1952"/>
      <c r="AE802" s="1953"/>
      <c r="AF802" s="1929">
        <f>IF(T802&gt;Z802,Z802,T802)</f>
        <v>10</v>
      </c>
      <c r="AG802" s="1929"/>
      <c r="AH802" s="1929"/>
      <c r="AI802" s="1929"/>
      <c r="AJ802" s="1929"/>
      <c r="AK802" s="192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40" t="s">
        <v>1737</v>
      </c>
      <c r="C803" s="1940"/>
      <c r="D803" s="1940"/>
      <c r="E803" s="1940"/>
      <c r="F803" s="1940"/>
      <c r="G803" s="1940"/>
      <c r="H803" s="1940"/>
      <c r="I803" s="1940"/>
      <c r="J803" s="1940"/>
      <c r="K803" s="1940"/>
      <c r="L803" s="1940"/>
      <c r="M803" s="1940"/>
      <c r="N803" s="1940"/>
      <c r="O803" s="1940"/>
      <c r="P803" s="1940"/>
      <c r="Q803" s="1940"/>
      <c r="R803" s="1940"/>
      <c r="S803" s="1941"/>
      <c r="T803" s="1942">
        <f>AK548</f>
        <v>12</v>
      </c>
      <c r="U803" s="1942"/>
      <c r="V803" s="1942"/>
      <c r="W803" s="1942"/>
      <c r="X803" s="1942"/>
      <c r="Y803" s="1942"/>
      <c r="Z803" s="1951">
        <v>12</v>
      </c>
      <c r="AA803" s="1952"/>
      <c r="AB803" s="1952"/>
      <c r="AC803" s="1952"/>
      <c r="AD803" s="1952"/>
      <c r="AE803" s="1953"/>
      <c r="AF803" s="1929">
        <f>IF(T803&gt;Z803,Z803,T803)</f>
        <v>12</v>
      </c>
      <c r="AG803" s="1929"/>
      <c r="AH803" s="1929"/>
      <c r="AI803" s="1929"/>
      <c r="AJ803" s="1929"/>
      <c r="AK803" s="192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40" t="s">
        <v>1759</v>
      </c>
      <c r="C804" s="1940"/>
      <c r="D804" s="1940"/>
      <c r="E804" s="1940"/>
      <c r="F804" s="1940"/>
      <c r="G804" s="1940"/>
      <c r="H804" s="1940"/>
      <c r="I804" s="1940"/>
      <c r="J804" s="1940"/>
      <c r="K804" s="1940"/>
      <c r="L804" s="1940"/>
      <c r="M804" s="1940"/>
      <c r="N804" s="1940"/>
      <c r="O804" s="1940"/>
      <c r="P804" s="1940"/>
      <c r="Q804" s="1940"/>
      <c r="R804" s="1940"/>
      <c r="S804" s="1941"/>
      <c r="T804" s="1942">
        <f>AK779</f>
        <v>10</v>
      </c>
      <c r="U804" s="1942"/>
      <c r="V804" s="1942"/>
      <c r="W804" s="1942"/>
      <c r="X804" s="1942"/>
      <c r="Y804" s="1942"/>
      <c r="Z804" s="1951">
        <v>10</v>
      </c>
      <c r="AA804" s="1952"/>
      <c r="AB804" s="1952"/>
      <c r="AC804" s="1952"/>
      <c r="AD804" s="1952"/>
      <c r="AE804" s="1953"/>
      <c r="AF804" s="1929">
        <f>IF(T804&gt;Z804,Z804,T804)</f>
        <v>10</v>
      </c>
      <c r="AG804" s="1929"/>
      <c r="AH804" s="1929"/>
      <c r="AI804" s="1929"/>
      <c r="AJ804" s="1929"/>
      <c r="AK804" s="192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4" t="s">
        <v>1760</v>
      </c>
      <c r="B805" s="1940"/>
      <c r="C805" s="1940"/>
      <c r="D805" s="1940"/>
      <c r="E805" s="1940"/>
      <c r="F805" s="1940"/>
      <c r="G805" s="1940"/>
      <c r="H805" s="1940"/>
      <c r="I805" s="1940"/>
      <c r="J805" s="1940"/>
      <c r="K805" s="1940"/>
      <c r="L805" s="1940"/>
      <c r="M805" s="1940"/>
      <c r="N805" s="1940"/>
      <c r="O805" s="1940"/>
      <c r="P805" s="1940"/>
      <c r="Q805" s="1940"/>
      <c r="R805" s="1940"/>
      <c r="S805" s="1941"/>
      <c r="T805" s="1955"/>
      <c r="U805" s="1955"/>
      <c r="V805" s="1955"/>
      <c r="W805" s="1955"/>
      <c r="X805" s="1955"/>
      <c r="Y805" s="1955"/>
      <c r="Z805" s="1949" t="s">
        <v>1761</v>
      </c>
      <c r="AA805" s="1949"/>
      <c r="AB805" s="1949"/>
      <c r="AC805" s="1949"/>
      <c r="AD805" s="1949"/>
      <c r="AE805" s="1949"/>
      <c r="AF805" s="1951">
        <f>IF(T805&gt;0,T805,0)</f>
        <v>0</v>
      </c>
      <c r="AG805" s="1952"/>
      <c r="AH805" s="1952"/>
      <c r="AI805" s="1952"/>
      <c r="AJ805" s="1952"/>
      <c r="AK805" s="195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56" t="s">
        <v>1762</v>
      </c>
      <c r="B806" s="1957"/>
      <c r="C806" s="1957"/>
      <c r="D806" s="1957"/>
      <c r="E806" s="1957"/>
      <c r="F806" s="1957"/>
      <c r="G806" s="1957"/>
      <c r="H806" s="1957"/>
      <c r="I806" s="1957"/>
      <c r="J806" s="1957"/>
      <c r="K806" s="1957"/>
      <c r="L806" s="1957"/>
      <c r="M806" s="1957"/>
      <c r="N806" s="1957"/>
      <c r="O806" s="1957"/>
      <c r="P806" s="1957"/>
      <c r="Q806" s="1957"/>
      <c r="R806" s="1957"/>
      <c r="S806" s="1957"/>
      <c r="T806" s="1957"/>
      <c r="U806" s="1957"/>
      <c r="V806" s="1957"/>
      <c r="W806" s="1957"/>
      <c r="X806" s="1957"/>
      <c r="Y806" s="1957"/>
      <c r="Z806" s="1957"/>
      <c r="AA806" s="1957"/>
      <c r="AB806" s="1957"/>
      <c r="AC806" s="1957"/>
      <c r="AD806" s="1957"/>
      <c r="AE806" s="1958"/>
      <c r="AF806" s="1962">
        <f ca="1">SUM(AF789:AK804)-AF805</f>
        <v>119</v>
      </c>
      <c r="AG806" s="1963"/>
      <c r="AH806" s="1963"/>
      <c r="AI806" s="1963"/>
      <c r="AJ806" s="1963"/>
      <c r="AK806" s="196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59"/>
      <c r="B807" s="1960"/>
      <c r="C807" s="1960"/>
      <c r="D807" s="1960"/>
      <c r="E807" s="1960"/>
      <c r="F807" s="1960"/>
      <c r="G807" s="1960"/>
      <c r="H807" s="1960"/>
      <c r="I807" s="1960"/>
      <c r="J807" s="1960"/>
      <c r="K807" s="1960"/>
      <c r="L807" s="1960"/>
      <c r="M807" s="1960"/>
      <c r="N807" s="1960"/>
      <c r="O807" s="1960"/>
      <c r="P807" s="1960"/>
      <c r="Q807" s="1960"/>
      <c r="R807" s="1960"/>
      <c r="S807" s="1960"/>
      <c r="T807" s="1960"/>
      <c r="U807" s="1960"/>
      <c r="V807" s="1960"/>
      <c r="W807" s="1960"/>
      <c r="X807" s="1960"/>
      <c r="Y807" s="1960"/>
      <c r="Z807" s="1960"/>
      <c r="AA807" s="1960"/>
      <c r="AB807" s="1960"/>
      <c r="AC807" s="1960"/>
      <c r="AD807" s="1960"/>
      <c r="AE807" s="1961"/>
      <c r="AF807" s="1965"/>
      <c r="AG807" s="1966"/>
      <c r="AH807" s="1966"/>
      <c r="AI807" s="1966"/>
      <c r="AJ807" s="1966"/>
      <c r="AK807" s="196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zoomScale="85" zoomScaleNormal="85" workbookViewId="0">
      <selection activeCell="O78" sqref="O78"/>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38" t="s">
        <v>1763</v>
      </c>
      <c r="B1" s="2138"/>
      <c r="C1" s="2138"/>
      <c r="D1" s="2138"/>
      <c r="E1" s="2138"/>
      <c r="F1" s="2138"/>
      <c r="G1" s="2138"/>
      <c r="H1" s="2138"/>
      <c r="I1" s="2138"/>
      <c r="J1" s="2138"/>
    </row>
    <row r="2" spans="1:13" ht="15" customHeight="1" thickBot="1">
      <c r="A2" s="1090"/>
      <c r="B2" s="1090"/>
      <c r="I2" s="1091"/>
      <c r="K2" s="1092"/>
    </row>
    <row r="3" spans="1:13" s="1095" customFormat="1" ht="20" customHeight="1">
      <c r="A3" s="1149"/>
      <c r="B3" s="1150"/>
      <c r="C3" s="1151"/>
      <c r="D3" s="1156"/>
      <c r="E3" s="1151"/>
      <c r="F3" s="1152" t="s">
        <v>2384</v>
      </c>
      <c r="G3" s="1151"/>
      <c r="H3" s="1153">
        <f>E16</f>
        <v>5959650</v>
      </c>
      <c r="I3" s="1154"/>
    </row>
    <row r="4" spans="1:13" s="1095" customFormat="1" ht="20" customHeight="1">
      <c r="B4" s="1143"/>
      <c r="D4" s="1157"/>
      <c r="F4" s="1141" t="s">
        <v>2386</v>
      </c>
      <c r="G4" s="1140" t="s">
        <v>2385</v>
      </c>
      <c r="H4" s="1142">
        <f>I16</f>
        <v>7699190.4972222224</v>
      </c>
      <c r="I4" s="1144"/>
      <c r="K4" s="1099"/>
    </row>
    <row r="5" spans="1:13" s="1095" customFormat="1" ht="20" customHeight="1" thickBot="1">
      <c r="B5" s="1145"/>
      <c r="C5" s="1146"/>
      <c r="D5" s="1158"/>
      <c r="E5" s="1147"/>
      <c r="F5" s="1158" t="s">
        <v>2326</v>
      </c>
      <c r="G5" s="1159"/>
      <c r="H5" s="1155">
        <f>H3/H4</f>
        <v>0.77406189678644421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9" t="s">
        <v>2324</v>
      </c>
      <c r="C8" s="2140"/>
      <c r="D8" s="2140"/>
      <c r="E8" s="2141"/>
      <c r="G8" s="2142" t="s">
        <v>2325</v>
      </c>
      <c r="H8" s="2143"/>
      <c r="I8" s="2144"/>
      <c r="K8" s="1101"/>
    </row>
    <row r="9" spans="1:13" ht="15" customHeight="1">
      <c r="A9" s="1090"/>
      <c r="B9" s="2133" t="s">
        <v>2363</v>
      </c>
      <c r="C9" s="2133"/>
      <c r="D9" s="2133"/>
      <c r="E9" s="1103">
        <f>G31</f>
        <v>1062500</v>
      </c>
      <c r="G9" s="2136" t="s">
        <v>2361</v>
      </c>
      <c r="H9" s="2136"/>
      <c r="I9" s="1104">
        <f>Application!AM550</f>
        <v>6079348</v>
      </c>
      <c r="K9" s="1105"/>
      <c r="M9" s="1106"/>
    </row>
    <row r="10" spans="1:13" ht="15" customHeight="1" thickBot="1">
      <c r="A10" s="1090"/>
      <c r="B10" s="2133" t="s">
        <v>2364</v>
      </c>
      <c r="C10" s="2133"/>
      <c r="D10" s="2133"/>
      <c r="E10" s="1104">
        <f>G40</f>
        <v>3105900</v>
      </c>
      <c r="G10" s="2136" t="s">
        <v>2327</v>
      </c>
      <c r="H10" s="2136"/>
      <c r="I10" s="1191">
        <f>'Basis &amp; Credits'!AB77</f>
        <v>2828686</v>
      </c>
      <c r="M10" s="1106"/>
    </row>
    <row r="11" spans="1:13" ht="15" customHeight="1">
      <c r="A11" s="1107"/>
      <c r="B11" s="2133" t="s">
        <v>2365</v>
      </c>
      <c r="C11" s="2133"/>
      <c r="D11" s="2133"/>
      <c r="E11" s="1104">
        <f>G49</f>
        <v>80000</v>
      </c>
      <c r="G11" s="2136" t="s">
        <v>2376</v>
      </c>
      <c r="H11" s="2136"/>
      <c r="I11" s="1190">
        <f>I9+I10</f>
        <v>8908034</v>
      </c>
      <c r="M11" s="1106"/>
    </row>
    <row r="12" spans="1:13" ht="15" customHeight="1">
      <c r="A12" s="1093"/>
      <c r="B12" s="2133" t="s">
        <v>2366</v>
      </c>
      <c r="C12" s="2133"/>
      <c r="D12" s="2133"/>
      <c r="E12" s="1104">
        <f>G58</f>
        <v>160000</v>
      </c>
      <c r="G12" s="1192" t="s">
        <v>2401</v>
      </c>
      <c r="H12" s="1193"/>
      <c r="M12" s="1106"/>
    </row>
    <row r="13" spans="1:13" ht="15" customHeight="1">
      <c r="A13" s="1090"/>
      <c r="B13" s="2133" t="s">
        <v>2367</v>
      </c>
      <c r="C13" s="2133"/>
      <c r="D13" s="2133"/>
      <c r="E13" s="1109">
        <f>G83</f>
        <v>1126250</v>
      </c>
      <c r="G13" s="2137" t="s">
        <v>140</v>
      </c>
      <c r="H13" s="2137"/>
      <c r="I13" s="1108">
        <f>15%*(Application!AJ963&gt;0)</f>
        <v>0.15</v>
      </c>
      <c r="M13" s="1106"/>
    </row>
    <row r="14" spans="1:13" ht="15" customHeight="1">
      <c r="A14" s="1090"/>
      <c r="B14" s="2133" t="s">
        <v>2368</v>
      </c>
      <c r="C14" s="2133"/>
      <c r="D14" s="2133"/>
      <c r="E14" s="1104">
        <f>IF(G96&gt;G106,G96,0)</f>
        <v>0</v>
      </c>
      <c r="G14" s="1188" t="s">
        <v>2377</v>
      </c>
      <c r="H14" s="1188"/>
      <c r="I14" s="1108">
        <f>IF(Application!AJ997&gt;0,10%,IF(Application!AJ1001&gt;0,5%,0))</f>
        <v>0</v>
      </c>
      <c r="M14" s="1106"/>
    </row>
    <row r="15" spans="1:13" ht="15" customHeight="1" thickBot="1">
      <c r="A15" s="1090"/>
      <c r="B15" s="2134" t="s">
        <v>2387</v>
      </c>
      <c r="C15" s="2134"/>
      <c r="D15" s="2134"/>
      <c r="E15" s="1160">
        <f>IF(E14&gt;0,0,G106)</f>
        <v>425000</v>
      </c>
      <c r="G15" s="2131" t="s">
        <v>2378</v>
      </c>
      <c r="H15" s="2132"/>
      <c r="I15" s="1162">
        <f>G114</f>
        <v>-1.4297385620915032E-2</v>
      </c>
      <c r="M15" s="1106"/>
    </row>
    <row r="16" spans="1:13" ht="15" customHeight="1">
      <c r="A16" s="1090"/>
      <c r="B16" s="2135" t="s">
        <v>2323</v>
      </c>
      <c r="C16" s="2135"/>
      <c r="D16" s="2135"/>
      <c r="E16" s="1161">
        <f>SUM(E9:E15)</f>
        <v>5959650</v>
      </c>
      <c r="G16" s="1189" t="s">
        <v>2362</v>
      </c>
      <c r="H16" s="1189"/>
      <c r="I16" s="1163">
        <f>I11-((I11*I13)+(I11*I14)+(I11*I15))</f>
        <v>7699190.4972222224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v>
      </c>
      <c r="O18" s="1133" t="s">
        <v>591</v>
      </c>
      <c r="P18" s="1088">
        <f>MATCH(Application!T189,Application!BP656:BP713,0)</f>
        <v>57</v>
      </c>
      <c r="S18" s="1110">
        <f>SUM(Cdlac[Population])</f>
        <v>8</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386</v>
      </c>
    </row>
    <row r="20" spans="1:20" ht="15" customHeight="1">
      <c r="A20" s="1093"/>
      <c r="C20" s="2129" t="s">
        <v>2380</v>
      </c>
      <c r="D20" s="2129" t="s">
        <v>2381</v>
      </c>
      <c r="E20" s="2129" t="s">
        <v>2382</v>
      </c>
      <c r="F20" s="2129" t="s">
        <v>2383</v>
      </c>
      <c r="G20" s="2129" t="s">
        <v>2379</v>
      </c>
      <c r="H20" s="1117"/>
      <c r="I20" s="1116"/>
      <c r="L20" s="1088">
        <f>IFERROR(MIN(4,MATCH(Application!B714,UnitSizes,0)-1),"")</f>
        <v>2</v>
      </c>
      <c r="M20" s="1110">
        <f>Application!G714</f>
        <v>8</v>
      </c>
      <c r="N20" s="1118">
        <f>Application!AC714</f>
        <v>0.3</v>
      </c>
      <c r="O20" s="1118">
        <f>IF(Cdlac[[#This Row],[Quantity]]&gt;0,IF(Cdlac[[#This Row],[Federal]],30%,IF($G$36,40%,Cdlac[[#This Row],[iAMI]])),"")</f>
        <v>0.3</v>
      </c>
      <c r="P20" s="1110" cm="1">
        <f t="array" ref="P20">IF(Cdlac[[#This Row],[Quantity]]&gt;0,INDEX(TcacRents,$P$18,Cdlac[[#This Row],[Bedrooms]]+1)*Cdlac[[#This Row],[AMI]],"")</f>
        <v>669</v>
      </c>
      <c r="Q20" s="1110" cm="1">
        <f t="array" ref="Q20">IF(Cdlac[[#This Row],[Quantity]]&gt;0,INDEX(HudFmrs,$P$18,Cdlac[[#This Row],[Bedrooms]]+1),"")</f>
        <v>1684</v>
      </c>
      <c r="R20" s="1110">
        <f>IF(Cdlac[[#This Row],[Quantity]]&gt;0,MAX(0,Cdlac[[#This Row],[Fair Market Rent]]-Cdlac[[#This Row],[Restricted Rent]]),"")</f>
        <v>1015</v>
      </c>
      <c r="S20" s="1088">
        <f>IF(Cdlac[[#This Row],[Quantity]]&gt;0,AND(Application!AK714&lt;&gt;"N/A",Application!AK714&lt;&gt;"")*Cdlac[[#This Row],[Quantity]],"")</f>
        <v>8</v>
      </c>
      <c r="T20" s="1088" t="b">
        <f>AND('Subsidy Contract Calculation'!F4&gt;0,'Subsidy Contract Calculation'!C4="Federal",Cdlac[[#This Row],[Quantity]]&gt;0)</f>
        <v>1</v>
      </c>
    </row>
    <row r="21" spans="1:20" ht="15" customHeight="1">
      <c r="A21" s="1093"/>
      <c r="C21" s="2130"/>
      <c r="D21" s="2130"/>
      <c r="E21" s="2130"/>
      <c r="F21" s="2130"/>
      <c r="G21" s="2130"/>
      <c r="H21" s="1117"/>
      <c r="I21" s="1116"/>
      <c r="L21" s="1088">
        <f>IFERROR(MIN(4,MATCH(Application!B715,UnitSizes,0)-1),"")</f>
        <v>2</v>
      </c>
      <c r="M21" s="1110">
        <f>Application!G715</f>
        <v>9</v>
      </c>
      <c r="N21" s="1118">
        <f>Application!AC715</f>
        <v>0.3</v>
      </c>
      <c r="O21" s="1118">
        <f>IF(Cdlac[[#This Row],[Quantity]]&gt;0,IF(Cdlac[[#This Row],[Federal]],30%,IF($G$36,40%,Cdlac[[#This Row],[iAMI]])),"")</f>
        <v>0.3</v>
      </c>
      <c r="P21" s="1110" cm="1">
        <f t="array" ref="P21">IF(Cdlac[[#This Row],[Quantity]]&gt;0,INDEX(TcacRents,$P$18,Cdlac[[#This Row],[Bedrooms]]+1)*Cdlac[[#This Row],[AMI]],"")</f>
        <v>669</v>
      </c>
      <c r="Q21" s="1110" cm="1">
        <f t="array" ref="Q21">IF(Cdlac[[#This Row],[Quantity]]&gt;0,INDEX(HudFmrs,$P$18,Cdlac[[#This Row],[Bedrooms]]+1),"")</f>
        <v>1684</v>
      </c>
      <c r="R21" s="1110">
        <f>IF(Cdlac[[#This Row],[Quantity]]&gt;0,MAX(0,Cdlac[[#This Row],[Fair Market Rent]]-Cdlac[[#This Row],[Restricted Rent]]),"")</f>
        <v>1015</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t="str">
        <f>IFERROR(MIN(4,MATCH(Application!B716,UnitSizes,0)-1),"")</f>
        <v/>
      </c>
      <c r="M22" s="1110">
        <f>Application!G716</f>
        <v>0</v>
      </c>
      <c r="N22" s="1118">
        <f>Application!AC716</f>
        <v>0</v>
      </c>
      <c r="O22" s="1118" t="str">
        <f>IF(Cdlac[[#This Row],[Quantity]]&gt;0,IF(Cdlac[[#This Row],[Federal]],30%,IF($G$36,40%,Cdlac[[#This Row],[iAMI]])),"")</f>
        <v/>
      </c>
      <c r="P22" s="1110" t="str" cm="1">
        <f t="array" ref="P22">IF(Cdlac[[#This Row],[Quantity]]&gt;0,INDEX(TcacRents,$P$18,Cdlac[[#This Row],[Bedrooms]]+1)*Cdlac[[#This Row],[AMI]],"")</f>
        <v/>
      </c>
      <c r="Q22" s="1110" t="str" cm="1">
        <f t="array" ref="Q22">IF(Cdlac[[#This Row],[Quantity]]&gt;0,INDEX(HudFmrs,$P$18,Cdlac[[#This Row],[Bedrooms]]+1),"")</f>
        <v/>
      </c>
      <c r="R22" s="1110" t="str">
        <f>IF(Cdlac[[#This Row],[Quantity]]&gt;0,MAX(0,Cdlac[[#This Row],[Fair Market Rent]]-Cdlac[[#This Row],[Restricted Rent]]),"")</f>
        <v/>
      </c>
      <c r="S22" s="1088" t="str">
        <f>IF(Cdlac[[#This Row],[Quantity]]&gt;0,AND(Application!AK716&lt;&gt;"N/A",Application!AK716&lt;&gt;"")*Cdlac[[#This Row],[Quantity]],"")</f>
        <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17</v>
      </c>
      <c r="F24" s="1122">
        <f>SUM(E24:E26)-SUM(F25:F26)</f>
        <v>17</v>
      </c>
      <c r="G24" s="1119">
        <f>D24*F24</f>
        <v>21.25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45" t="s">
        <v>1764</v>
      </c>
      <c r="D27" s="2146"/>
      <c r="E27" s="1138">
        <f>SUM(E22:E26)</f>
        <v>17</v>
      </c>
      <c r="F27" s="1138">
        <f>SUM(F22:F26)</f>
        <v>17</v>
      </c>
      <c r="G27" s="1139">
        <f>SUMPRODUCT(D22:D26,F22:F26)</f>
        <v>21.25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21.25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1062500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17255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3105900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8</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v>
      </c>
    </row>
    <row r="46" spans="2:20" ht="15" customHeight="1">
      <c r="E46" s="1168"/>
      <c r="G46" s="1176"/>
    </row>
    <row r="47" spans="2:20" ht="15" customHeight="1">
      <c r="E47" s="1168" t="s">
        <v>2341</v>
      </c>
      <c r="G47" s="1165">
        <f>MIN(G44:G45)</f>
        <v>8</v>
      </c>
    </row>
    <row r="48" spans="2:20" ht="15" customHeight="1">
      <c r="E48" s="1168" t="s">
        <v>2331</v>
      </c>
      <c r="F48" s="1164" t="s">
        <v>2388</v>
      </c>
      <c r="G48" s="1175">
        <v>10000</v>
      </c>
    </row>
    <row r="49" spans="2:14" ht="15" customHeight="1">
      <c r="E49" s="1169" t="s">
        <v>2371</v>
      </c>
      <c r="F49" s="1090"/>
      <c r="G49" s="1174">
        <f>G47*G48</f>
        <v>80000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17</v>
      </c>
    </row>
    <row r="54" spans="2:14" ht="15" customHeight="1">
      <c r="E54" s="1168" t="s">
        <v>2390</v>
      </c>
      <c r="G54" s="1126">
        <f>ROUNDDOWN(E27*50%,0)</f>
        <v>8</v>
      </c>
    </row>
    <row r="55" spans="2:14" ht="15" customHeight="1">
      <c r="E55" s="1168"/>
      <c r="G55" s="1126"/>
    </row>
    <row r="56" spans="2:14" ht="15" customHeight="1">
      <c r="E56" s="1168" t="s">
        <v>2341</v>
      </c>
      <c r="G56" s="1165">
        <f>MIN(G53:G54)</f>
        <v>8</v>
      </c>
    </row>
    <row r="57" spans="2:14" ht="15" customHeight="1">
      <c r="E57" s="1168" t="s">
        <v>2331</v>
      </c>
      <c r="F57" s="1164" t="s">
        <v>2388</v>
      </c>
      <c r="G57" s="1175">
        <v>20000</v>
      </c>
    </row>
    <row r="58" spans="2:14" ht="15" customHeight="1">
      <c r="E58" s="1169" t="s">
        <v>2370</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5</v>
      </c>
      <c r="L62" s="1178" t="str">
        <f>'Points System'!H627</f>
        <v>(i)</v>
      </c>
      <c r="M62" s="2147" t="s">
        <v>1578</v>
      </c>
      <c r="N62" s="2148"/>
    </row>
    <row r="63" spans="2:14" ht="15" customHeight="1">
      <c r="E63" s="1133" t="s">
        <v>2331</v>
      </c>
      <c r="F63" s="1164" t="s">
        <v>2388</v>
      </c>
      <c r="G63" s="1123">
        <v>4000</v>
      </c>
      <c r="L63" s="1179" t="str">
        <f>'Points System'!H639</f>
        <v>(ii)</v>
      </c>
      <c r="M63" s="2149" t="s">
        <v>2345</v>
      </c>
      <c r="N63" s="2150"/>
    </row>
    <row r="64" spans="2:14" ht="15" customHeight="1">
      <c r="E64" s="1133" t="s">
        <v>2392</v>
      </c>
      <c r="F64" s="1164" t="s">
        <v>2388</v>
      </c>
      <c r="G64" s="1177">
        <f>G27</f>
        <v>21.25</v>
      </c>
      <c r="L64" s="1179" t="str">
        <f>'Points System'!H674</f>
        <v>N/A</v>
      </c>
      <c r="M64" s="2149" t="s">
        <v>2346</v>
      </c>
      <c r="N64" s="2150"/>
    </row>
    <row r="65" spans="2:14" ht="15" customHeight="1">
      <c r="E65" s="1169" t="s">
        <v>2350</v>
      </c>
      <c r="F65" s="1090"/>
      <c r="G65" s="1174">
        <f>G62*G63*G64</f>
        <v>425000</v>
      </c>
      <c r="L65" s="1179" t="str">
        <f>'Points System'!H694</f>
        <v>N/A</v>
      </c>
      <c r="M65" s="2149" t="s">
        <v>2347</v>
      </c>
      <c r="N65" s="2150"/>
    </row>
    <row r="66" spans="2:14" ht="15" customHeight="1">
      <c r="C66" s="1124"/>
      <c r="G66" s="1165"/>
      <c r="L66" s="1180" t="str">
        <f>'Points System'!H708</f>
        <v>N/A</v>
      </c>
      <c r="M66" s="2149" t="s">
        <v>1604</v>
      </c>
      <c r="N66" s="2150"/>
    </row>
    <row r="67" spans="2:14" ht="15" customHeight="1">
      <c r="E67" s="1133" t="s">
        <v>2393</v>
      </c>
      <c r="G67" s="1177">
        <f>COUNTIFS(L62:L69,"(i)")</f>
        <v>2</v>
      </c>
      <c r="L67" s="1179" t="str">
        <f>'Points System'!H720</f>
        <v>(i)</v>
      </c>
      <c r="M67" s="2149" t="s">
        <v>2348</v>
      </c>
      <c r="N67" s="2150"/>
    </row>
    <row r="68" spans="2:14" ht="15" customHeight="1">
      <c r="E68" s="1133" t="s">
        <v>2331</v>
      </c>
      <c r="F68" s="1164" t="s">
        <v>2388</v>
      </c>
      <c r="G68" s="1175">
        <v>4000</v>
      </c>
      <c r="L68" s="1179" t="str">
        <f>'Points System'!H736</f>
        <v>(ii)</v>
      </c>
      <c r="M68" s="2149" t="s">
        <v>2349</v>
      </c>
      <c r="N68" s="2150"/>
    </row>
    <row r="69" spans="2:14" ht="15" customHeight="1" thickBot="1">
      <c r="E69" s="1169" t="s">
        <v>2351</v>
      </c>
      <c r="F69" s="1090"/>
      <c r="G69" s="1174">
        <f>G64*G67*G68</f>
        <v>170000</v>
      </c>
      <c r="L69" s="1181" t="str">
        <f>'Points System'!H748</f>
        <v>(ii)</v>
      </c>
      <c r="M69" s="2155" t="s">
        <v>1607</v>
      </c>
      <c r="N69" s="2156"/>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t="s">
        <v>554</v>
      </c>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21.25</v>
      </c>
    </row>
    <row r="80" spans="2:14" ht="15" customHeight="1">
      <c r="E80" s="1133" t="s">
        <v>2331</v>
      </c>
      <c r="F80" s="1164" t="s">
        <v>2388</v>
      </c>
      <c r="G80" s="1175">
        <v>25000</v>
      </c>
    </row>
    <row r="81" spans="2:14" ht="15" customHeight="1">
      <c r="E81" s="1169" t="s">
        <v>2352</v>
      </c>
      <c r="F81" s="1090"/>
      <c r="G81" s="1174">
        <f>G77*G80*G64</f>
        <v>531250</v>
      </c>
    </row>
    <row r="82" spans="2:14" ht="15" customHeight="1">
      <c r="C82" s="1124"/>
      <c r="E82" s="1124"/>
    </row>
    <row r="83" spans="2:14" ht="15" customHeight="1">
      <c r="E83" s="1169" t="s">
        <v>2329</v>
      </c>
      <c r="G83" s="1174">
        <f>G81+G69+G65</f>
        <v>1126250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57" t="s">
        <v>2358</v>
      </c>
      <c r="M87" s="2158"/>
      <c r="N87" s="1182">
        <v>30000</v>
      </c>
    </row>
    <row r="88" spans="2:14" ht="15" customHeight="1">
      <c r="C88" s="1124" t="s">
        <v>2375</v>
      </c>
      <c r="G88" s="1128" t="str">
        <f>IF(Application!D210="Large Family","Yes","No")</f>
        <v>No</v>
      </c>
      <c r="L88" s="2151" t="s">
        <v>2322</v>
      </c>
      <c r="M88" s="2152"/>
      <c r="N88" s="1183">
        <v>20000</v>
      </c>
    </row>
    <row r="89" spans="2:14" ht="15" customHeight="1" thickBot="1">
      <c r="C89" s="1124" t="s">
        <v>2356</v>
      </c>
      <c r="G89" s="1087" t="s">
        <v>678</v>
      </c>
      <c r="L89" s="2153" t="s">
        <v>2359</v>
      </c>
      <c r="M89" s="2154"/>
      <c r="N89" s="1184">
        <v>10000</v>
      </c>
    </row>
    <row r="90" spans="2:14" ht="15" customHeight="1">
      <c r="C90" s="1124" t="s">
        <v>2357</v>
      </c>
      <c r="G90" s="1088" t="str">
        <f>Application!T193</f>
        <v>Low Resource</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21.25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554</v>
      </c>
    </row>
    <row r="101" spans="2:9" ht="15" customHeight="1">
      <c r="F101" s="1167"/>
    </row>
    <row r="102" spans="2:9" ht="15" customHeight="1">
      <c r="E102" s="1133" t="s">
        <v>2395</v>
      </c>
      <c r="G102" s="1126" t="b">
        <f>G100="Yes"</f>
        <v>1</v>
      </c>
    </row>
    <row r="103" spans="2:9" ht="15" customHeight="1"/>
    <row r="104" spans="2:9" ht="15" customHeight="1">
      <c r="E104" s="1133" t="str">
        <f>E64</f>
        <v>Bedroom-Adjusted Low-Income Units</v>
      </c>
      <c r="G104" s="1165">
        <f>G27</f>
        <v>21.25</v>
      </c>
    </row>
    <row r="105" spans="2:9" ht="15" customHeight="1">
      <c r="E105" s="1133" t="s">
        <v>2331</v>
      </c>
      <c r="F105" s="1164" t="s">
        <v>2388</v>
      </c>
      <c r="G105" s="1094">
        <v>20000</v>
      </c>
    </row>
    <row r="106" spans="2:9" ht="15" customHeight="1">
      <c r="E106" s="1169" t="s">
        <v>2360</v>
      </c>
      <c r="F106" s="1090"/>
      <c r="G106" s="1174">
        <f>G102*G105*G104</f>
        <v>425000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Yolo</v>
      </c>
    </row>
    <row r="111" spans="2:9" ht="15" customHeight="1">
      <c r="E111" s="1133"/>
      <c r="G111" s="1125"/>
    </row>
    <row r="112" spans="2:9" ht="15" customHeight="1">
      <c r="E112" s="1133" t="str">
        <f>"2-Bedroom "&amp;G110&amp;" County Basis Limit"</f>
        <v>2-Bedroom Yolo County Basis Limit</v>
      </c>
      <c r="G112" s="1125">
        <f>Application!R957</f>
        <v>461600</v>
      </c>
    </row>
    <row r="113" spans="4:9" ht="15" customHeight="1">
      <c r="E113" s="1133" t="s">
        <v>2396</v>
      </c>
      <c r="G113" s="1125">
        <f>MEDIAN((Application!BR795:BR852))</f>
        <v>489600</v>
      </c>
    </row>
    <row r="114" spans="4:9" ht="15" customHeight="1">
      <c r="D114" s="1090"/>
      <c r="E114" s="1169" t="s">
        <v>2398</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9447315E4EE342B842C511B77F336D" ma:contentTypeVersion="13" ma:contentTypeDescription="Create a new document." ma:contentTypeScope="" ma:versionID="890dde0173551554f11b9936060787da">
  <xsd:schema xmlns:xsd="http://www.w3.org/2001/XMLSchema" xmlns:xs="http://www.w3.org/2001/XMLSchema" xmlns:p="http://schemas.microsoft.com/office/2006/metadata/properties" xmlns:ns2="18f40000-606c-4190-a0d6-1dd1e1c15172" xmlns:ns3="6ab60d60-a1d0-40b1-9512-1cec476f1e5a" targetNamespace="http://schemas.microsoft.com/office/2006/metadata/properties" ma:root="true" ma:fieldsID="b515fea2ad84f3a51b683f491a216dda" ns2:_="" ns3:_="">
    <xsd:import namespace="18f40000-606c-4190-a0d6-1dd1e1c15172"/>
    <xsd:import namespace="6ab60d60-a1d0-40b1-9512-1cec476f1e5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f40000-606c-4190-a0d6-1dd1e1c151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771068c-83d1-4fc5-bb60-8fc29af571a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b60d60-a1d0-40b1-9512-1cec476f1e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eb33ddc-47f2-495a-9fa0-0d37ca9df780}" ma:internalName="TaxCatchAll" ma:showField="CatchAllData" ma:web="6ab60d60-a1d0-40b1-9512-1cec476f1e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94ACDA-4C53-4D22-9982-5F390D6544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f40000-606c-4190-a0d6-1dd1e1c15172"/>
    <ds:schemaRef ds:uri="6ab60d60-a1d0-40b1-9512-1cec476f1e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EBD6E3-E8D0-46EF-B60A-7FDD66321C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 Morris</cp:lastModifiedBy>
  <cp:lastPrinted>2022-06-02T00:41:49Z</cp:lastPrinted>
  <dcterms:created xsi:type="dcterms:W3CDTF">2007-12-27T18:26:28Z</dcterms:created>
  <dcterms:modified xsi:type="dcterms:W3CDTF">2023-02-07T22:45:05Z</dcterms:modified>
</cp:coreProperties>
</file>