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Orion-Orange - 702/Working Docs/Applications/TCAC-CDLAC/"/>
    </mc:Choice>
  </mc:AlternateContent>
  <xr:revisionPtr revIDLastSave="0" documentId="13_ncr:1_{AD8E6BA2-E132-44B9-B6C3-702EF494E9AF}" xr6:coauthVersionLast="47" xr6:coauthVersionMax="47" xr10:uidLastSave="{00000000-0000-0000-0000-000000000000}"/>
  <bookViews>
    <workbookView xWindow="-19360" yWindow="0" windowWidth="19360" windowHeight="102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4" l="1"/>
  <c r="AF992" i="3"/>
  <c r="G24" i="7"/>
  <c r="AC870" i="3" l="1"/>
  <c r="E92" i="4" l="1"/>
  <c r="E91" i="4"/>
  <c r="E90" i="4"/>
  <c r="E51" i="4"/>
  <c r="E50" i="4"/>
  <c r="E45" i="4"/>
  <c r="E40" i="4"/>
  <c r="E35" i="4"/>
  <c r="E33" i="4"/>
  <c r="E32" i="4"/>
  <c r="E31" i="4"/>
  <c r="E29" i="4"/>
  <c r="F30" i="4"/>
  <c r="E10" i="4"/>
  <c r="F53" i="4"/>
  <c r="F46" i="4"/>
  <c r="F57" i="4"/>
  <c r="F56" i="4"/>
  <c r="E61" i="4"/>
  <c r="E65" i="4"/>
  <c r="F86" i="4"/>
  <c r="F85" i="4"/>
  <c r="F89" i="4" s="1"/>
  <c r="E89" i="4" s="1"/>
  <c r="G85" i="4"/>
  <c r="G93" i="4" l="1"/>
  <c r="K93" i="4"/>
  <c r="J30" i="4"/>
  <c r="G13" i="4"/>
  <c r="I80" i="4"/>
  <c r="I79" i="4" s="1"/>
  <c r="E79" i="4" s="1"/>
  <c r="I88" i="4"/>
  <c r="I83" i="4"/>
  <c r="I75" i="4"/>
  <c r="E99" i="4"/>
  <c r="H99" i="4"/>
  <c r="G99" i="13" l="1"/>
  <c r="G93" i="13"/>
  <c r="G92" i="13"/>
  <c r="G91" i="13"/>
  <c r="G90" i="13"/>
  <c r="G89" i="13"/>
  <c r="G86" i="13"/>
  <c r="G79" i="13"/>
  <c r="G53" i="13"/>
  <c r="D51" i="13"/>
  <c r="G51" i="13"/>
  <c r="G50" i="13"/>
  <c r="G46" i="13"/>
  <c r="G45" i="13"/>
  <c r="G40" i="13"/>
  <c r="G35" i="13"/>
  <c r="G33" i="13"/>
  <c r="G32" i="13"/>
  <c r="G31" i="13"/>
  <c r="G30" i="13"/>
  <c r="G29" i="13"/>
  <c r="G13" i="13"/>
  <c r="G10" i="13"/>
  <c r="S51" i="4"/>
  <c r="S46" i="4"/>
  <c r="S45" i="4"/>
  <c r="S53" i="4"/>
  <c r="S99" i="4"/>
  <c r="S93" i="4"/>
  <c r="S92" i="4"/>
  <c r="S91" i="4"/>
  <c r="S90" i="4"/>
  <c r="S89" i="4"/>
  <c r="S86" i="4"/>
  <c r="S85" i="4"/>
  <c r="S80" i="4"/>
  <c r="S50" i="4"/>
  <c r="S40" i="4"/>
  <c r="S30" i="4"/>
  <c r="S79" i="4"/>
  <c r="S10" i="4"/>
  <c r="S35" i="4"/>
  <c r="S33" i="4"/>
  <c r="S32" i="4"/>
  <c r="S31" i="4"/>
  <c r="S29" i="4"/>
  <c r="D99" i="13"/>
  <c r="D93" i="13"/>
  <c r="D92" i="13"/>
  <c r="D91" i="13"/>
  <c r="D90" i="13"/>
  <c r="D89" i="13"/>
  <c r="D88" i="13"/>
  <c r="D86" i="13"/>
  <c r="D83" i="13"/>
  <c r="D79" i="13"/>
  <c r="D75" i="13"/>
  <c r="D65" i="13"/>
  <c r="D57" i="13"/>
  <c r="D56" i="13"/>
  <c r="D53" i="13"/>
  <c r="D50" i="13"/>
  <c r="D46" i="13"/>
  <c r="D45" i="13"/>
  <c r="D40" i="13"/>
  <c r="D35" i="13"/>
  <c r="D33" i="13"/>
  <c r="D32" i="13"/>
  <c r="D31" i="13"/>
  <c r="D29" i="13"/>
  <c r="D13" i="13"/>
  <c r="D10" i="1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F81" i="13"/>
  <c r="C81" i="13"/>
  <c r="H80" i="13"/>
  <c r="E80" i="13"/>
  <c r="G80" i="13" s="1"/>
  <c r="G81" i="13" s="1"/>
  <c r="B80" i="13"/>
  <c r="D80" i="13" s="1"/>
  <c r="D81" i="13" s="1"/>
  <c r="R80" i="4"/>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G85" i="13" s="1"/>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D85" i="13" s="1"/>
  <c r="D96" i="13" s="1"/>
  <c r="B84" i="13"/>
  <c r="B83" i="13"/>
  <c r="B79" i="13"/>
  <c r="B76" i="13"/>
  <c r="B75" i="13"/>
  <c r="B74" i="13"/>
  <c r="B73" i="13"/>
  <c r="B72" i="13"/>
  <c r="B70" i="13"/>
  <c r="B65" i="13"/>
  <c r="B61" i="13"/>
  <c r="D61" i="13" s="1"/>
  <c r="D62" i="13" s="1"/>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D30" i="13" s="1"/>
  <c r="D38" i="13" s="1"/>
  <c r="B29" i="13"/>
  <c r="B27" i="13"/>
  <c r="B25" i="13"/>
  <c r="B23" i="13"/>
  <c r="B22" i="13"/>
  <c r="B21" i="13"/>
  <c r="B20" i="13"/>
  <c r="B19" i="13"/>
  <c r="B18" i="13"/>
  <c r="D18" i="13" s="1"/>
  <c r="D26" i="13" s="1"/>
  <c r="B17" i="13"/>
  <c r="B5" i="13"/>
  <c r="B6" i="13"/>
  <c r="B7" i="13"/>
  <c r="C8" i="4"/>
  <c r="B8" i="13" s="1"/>
  <c r="B9" i="13"/>
  <c r="B10" i="13"/>
  <c r="B13" i="13"/>
  <c r="B14" i="13"/>
  <c r="B15" i="13"/>
  <c r="B4" i="13"/>
  <c r="D4" i="13" s="1"/>
  <c r="D8" i="13" s="1"/>
  <c r="D12" i="13" s="1"/>
  <c r="J104" i="13"/>
  <c r="I104" i="13"/>
  <c r="G104" i="13"/>
  <c r="F104" i="13"/>
  <c r="D104" i="13"/>
  <c r="C104" i="13"/>
  <c r="G96" i="13"/>
  <c r="F96" i="13"/>
  <c r="C96" i="13"/>
  <c r="D77" i="13"/>
  <c r="C77" i="13"/>
  <c r="J70" i="13"/>
  <c r="I70" i="13"/>
  <c r="G70" i="13"/>
  <c r="F70" i="13"/>
  <c r="D70" i="13"/>
  <c r="C70" i="13"/>
  <c r="C62" i="13"/>
  <c r="J54" i="13"/>
  <c r="I54" i="13"/>
  <c r="G54" i="13"/>
  <c r="F54" i="13"/>
  <c r="D54" i="13"/>
  <c r="C54" i="13"/>
  <c r="J42" i="13"/>
  <c r="I42" i="13"/>
  <c r="G42" i="13"/>
  <c r="F42" i="13"/>
  <c r="F26" i="13"/>
  <c r="F38" i="13"/>
  <c r="D42" i="13"/>
  <c r="C42" i="13"/>
  <c r="J38" i="13"/>
  <c r="I38" i="13"/>
  <c r="G38" i="13"/>
  <c r="C38" i="13"/>
  <c r="J26" i="13"/>
  <c r="I26" i="13"/>
  <c r="I11" i="13"/>
  <c r="G26" i="13"/>
  <c r="C26" i="13"/>
  <c r="J11" i="13"/>
  <c r="D11" i="13"/>
  <c r="C11" i="13"/>
  <c r="C8" i="13"/>
  <c r="T104" i="4"/>
  <c r="H104" i="13"/>
  <c r="R103" i="4"/>
  <c r="R102" i="4"/>
  <c r="R101" i="4"/>
  <c r="R99"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D5" i="11" s="1"/>
  <c r="B6" i="11"/>
  <c r="C6" i="1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D52" i="11" s="1"/>
  <c r="B53" i="11"/>
  <c r="C48" i="11"/>
  <c r="C49" i="11"/>
  <c r="C50" i="11"/>
  <c r="C51" i="11"/>
  <c r="D51" i="11" s="1"/>
  <c r="C52" i="11"/>
  <c r="C53" i="11"/>
  <c r="B57" i="11"/>
  <c r="C57" i="11"/>
  <c r="B58" i="11"/>
  <c r="C58" i="11"/>
  <c r="B59" i="11"/>
  <c r="C59" i="11"/>
  <c r="B60" i="11"/>
  <c r="C60" i="11"/>
  <c r="B61" i="11"/>
  <c r="C61" i="11"/>
  <c r="B62" i="11"/>
  <c r="B63" i="11" s="1"/>
  <c r="C62" i="11"/>
  <c r="B66" i="1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4" s="1"/>
  <c r="C77" i="4"/>
  <c r="B77" i="4" s="1"/>
  <c r="B77" i="13"/>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AH720" i="3" s="1"/>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D53" i="11"/>
  <c r="J63" i="13"/>
  <c r="J97" i="13"/>
  <c r="J105" i="13"/>
  <c r="J107" i="13"/>
  <c r="L12" i="4"/>
  <c r="D48" i="11"/>
  <c r="AH715" i="3"/>
  <c r="AH718" i="3"/>
  <c r="D93" i="11"/>
  <c r="D70" i="11"/>
  <c r="D80" i="11"/>
  <c r="I12" i="4"/>
  <c r="G12" i="4"/>
  <c r="D46" i="11"/>
  <c r="D6" i="11"/>
  <c r="L63" i="4"/>
  <c r="L97" i="4"/>
  <c r="L105" i="4"/>
  <c r="Q12" i="4"/>
  <c r="B11" i="4"/>
  <c r="O63" i="4"/>
  <c r="O97" i="4"/>
  <c r="O105" i="4"/>
  <c r="D18" i="11"/>
  <c r="R70" i="4"/>
  <c r="B8" i="4"/>
  <c r="N158" i="26" s="1"/>
  <c r="D10" i="11"/>
  <c r="D36" i="11"/>
  <c r="G63" i="13"/>
  <c r="D61" i="11"/>
  <c r="D57" i="11"/>
  <c r="D20" i="11"/>
  <c r="D8" i="11"/>
  <c r="D85" i="11"/>
  <c r="B43" i="11"/>
  <c r="D43" i="11" s="1"/>
  <c r="D102" i="11"/>
  <c r="D94" i="11"/>
  <c r="K12" i="4"/>
  <c r="C43" i="11"/>
  <c r="C12" i="13"/>
  <c r="D63" i="4"/>
  <c r="D97" i="4"/>
  <c r="D105" i="4"/>
  <c r="B78" i="11"/>
  <c r="D7" i="11"/>
  <c r="F63" i="4"/>
  <c r="J12" i="4"/>
  <c r="D22" i="11"/>
  <c r="O12" i="4"/>
  <c r="I63" i="4"/>
  <c r="I97" i="4"/>
  <c r="I105" i="4" s="1"/>
  <c r="D95" i="11"/>
  <c r="D25" i="11"/>
  <c r="B82" i="11"/>
  <c r="B11" i="13"/>
  <c r="D12" i="4"/>
  <c r="H12" i="4"/>
  <c r="C82" i="11"/>
  <c r="D82" i="11" s="1"/>
  <c r="B9" i="11"/>
  <c r="C39" i="11"/>
  <c r="D23" i="11"/>
  <c r="D19" i="11"/>
  <c r="D89" i="11"/>
  <c r="D73" i="11"/>
  <c r="D44" i="11"/>
  <c r="D35" i="11"/>
  <c r="D76" i="11"/>
  <c r="D31" i="11"/>
  <c r="D32" i="11"/>
  <c r="D15" i="11"/>
  <c r="D14" i="11"/>
  <c r="Q63" i="4"/>
  <c r="Q97" i="4"/>
  <c r="Q105" i="4"/>
  <c r="C105" i="11"/>
  <c r="D105" i="11" s="1"/>
  <c r="D87" i="11"/>
  <c r="N63" i="4"/>
  <c r="N97" i="4"/>
  <c r="N105" i="4"/>
  <c r="N12" i="4"/>
  <c r="H63" i="4"/>
  <c r="H97" i="4"/>
  <c r="F12" i="4"/>
  <c r="D60" i="11"/>
  <c r="M12" i="4"/>
  <c r="R8" i="4"/>
  <c r="R12" i="4" s="1"/>
  <c r="D84" i="11"/>
  <c r="D74" i="11"/>
  <c r="D59" i="11"/>
  <c r="D38" i="11"/>
  <c r="R42" i="4"/>
  <c r="P63" i="4"/>
  <c r="P97" i="4"/>
  <c r="P105" i="4"/>
  <c r="C63" i="11"/>
  <c r="D58" i="11"/>
  <c r="D100" i="11"/>
  <c r="D62" i="11"/>
  <c r="D24" i="11"/>
  <c r="D101" i="11"/>
  <c r="D90" i="11"/>
  <c r="R62" i="4"/>
  <c r="D66" i="11"/>
  <c r="R38" i="4"/>
  <c r="C63" i="13"/>
  <c r="C97" i="13"/>
  <c r="C105" i="13" s="1"/>
  <c r="D92" i="11"/>
  <c r="D75" i="11"/>
  <c r="B71" i="11"/>
  <c r="B39" i="11"/>
  <c r="D28" i="11"/>
  <c r="R54" i="4"/>
  <c r="C55" i="11"/>
  <c r="D103" i="11"/>
  <c r="D88" i="11"/>
  <c r="C78" i="11"/>
  <c r="D42" i="11"/>
  <c r="D21" i="11"/>
  <c r="D16" i="11"/>
  <c r="R26" i="4"/>
  <c r="D81" i="11"/>
  <c r="D86" i="11"/>
  <c r="F63" i="13"/>
  <c r="F97" i="13"/>
  <c r="F105" i="13"/>
  <c r="F107" i="13"/>
  <c r="AH719" i="3"/>
  <c r="AH716" i="3"/>
  <c r="AH714" i="3"/>
  <c r="AD199" i="20"/>
  <c r="B42" i="4"/>
  <c r="D77" i="11"/>
  <c r="D47" i="11"/>
  <c r="C71" i="11"/>
  <c r="D71" i="11" s="1"/>
  <c r="M63" i="4"/>
  <c r="M97" i="4"/>
  <c r="M105" i="4"/>
  <c r="R104" i="4"/>
  <c r="G63" i="4"/>
  <c r="G97" i="4" s="1"/>
  <c r="G105" i="4" s="1"/>
  <c r="D91" i="11"/>
  <c r="D41" i="11"/>
  <c r="C12" i="11"/>
  <c r="D12" i="11" s="1"/>
  <c r="K63" i="4"/>
  <c r="K97" i="4"/>
  <c r="K105" i="4" s="1"/>
  <c r="B105" i="11"/>
  <c r="AD7" i="15"/>
  <c r="G40" i="7"/>
  <c r="G43" i="7" s="1"/>
  <c r="AG40" i="7"/>
  <c r="AG43" i="7" s="1"/>
  <c r="K28" i="7"/>
  <c r="O28" i="7"/>
  <c r="I28" i="7"/>
  <c r="W28" i="7"/>
  <c r="S28" i="7"/>
  <c r="Y28" i="7"/>
  <c r="AC28" i="7"/>
  <c r="AG28" i="7"/>
  <c r="M28" i="7"/>
  <c r="G28" i="7"/>
  <c r="AA28" i="7"/>
  <c r="Q28" i="7"/>
  <c r="U28" i="7"/>
  <c r="D104" i="11"/>
  <c r="T63" i="4"/>
  <c r="T97" i="4"/>
  <c r="C12" i="4"/>
  <c r="B12" i="13" s="1"/>
  <c r="B97" i="11"/>
  <c r="D78" i="11"/>
  <c r="D30" i="8"/>
  <c r="H63" i="13"/>
  <c r="T105" i="4"/>
  <c r="H97" i="13"/>
  <c r="D96" i="11"/>
  <c r="C97" i="11"/>
  <c r="T107" i="4"/>
  <c r="H105" i="13"/>
  <c r="H107" i="13"/>
  <c r="AD11" i="15"/>
  <c r="AB223" i="20"/>
  <c r="AB239" i="20" s="1"/>
  <c r="AB241" i="20" s="1"/>
  <c r="AB243" i="20" s="1"/>
  <c r="AB249" i="20" s="1"/>
  <c r="AD198" i="20" s="1"/>
  <c r="AD200" i="20" s="1"/>
  <c r="D63" i="11" l="1"/>
  <c r="C9" i="11"/>
  <c r="D9" i="11" s="1"/>
  <c r="B12" i="4"/>
  <c r="R81" i="4"/>
  <c r="D97" i="11"/>
  <c r="I58" i="7"/>
  <c r="K54" i="7"/>
  <c r="E63" i="4"/>
  <c r="E97" i="4" s="1"/>
  <c r="E105" i="4" s="1"/>
  <c r="R63" i="4"/>
  <c r="F97" i="4"/>
  <c r="F105" i="4" s="1"/>
  <c r="R96" i="4"/>
  <c r="G97" i="13"/>
  <c r="G105" i="13" s="1"/>
  <c r="G107" i="13" s="1"/>
  <c r="B55" i="11"/>
  <c r="D55" i="11" s="1"/>
  <c r="D63" i="13"/>
  <c r="D97" i="13" s="1"/>
  <c r="D105" i="13" s="1"/>
  <c r="D39" i="11"/>
  <c r="S63" i="4"/>
  <c r="S97" i="4" s="1"/>
  <c r="N157" i="26"/>
  <c r="N164" i="26" s="1"/>
  <c r="B96" i="4"/>
  <c r="B62" i="13"/>
  <c r="B54" i="4"/>
  <c r="B38" i="4"/>
  <c r="C27" i="11"/>
  <c r="D11" i="11"/>
  <c r="C13" i="11"/>
  <c r="B13" i="11"/>
  <c r="B64" i="11"/>
  <c r="B98" i="11" s="1"/>
  <c r="B106" i="11" s="1"/>
  <c r="C63" i="4"/>
  <c r="C97" i="4" s="1"/>
  <c r="C105" i="4" s="1"/>
  <c r="AK172" i="20"/>
  <c r="AZ835" i="3"/>
  <c r="AZ840" i="3"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K58" i="7" l="1"/>
  <c r="M54" i="7"/>
  <c r="AC869" i="3"/>
  <c r="R97" i="4"/>
  <c r="R105" i="4" s="1"/>
  <c r="B63" i="4"/>
  <c r="S105" i="4"/>
  <c r="S107" i="4" s="1"/>
  <c r="E97" i="13"/>
  <c r="E63" i="13"/>
  <c r="B63" i="13"/>
  <c r="D13" i="11"/>
  <c r="AS351" i="20"/>
  <c r="AS347" i="20" s="1"/>
  <c r="AK458" i="20" s="1"/>
  <c r="T802" i="20" s="1"/>
  <c r="AF802" i="20" s="1"/>
  <c r="EC628" i="3"/>
  <c r="T800" i="20"/>
  <c r="AF800" i="20" s="1"/>
  <c r="Y27" i="15"/>
  <c r="AI27" i="15"/>
  <c r="T789" i="20"/>
  <c r="AF789" i="20" s="1"/>
  <c r="AK78" i="20"/>
  <c r="Y23" i="15"/>
  <c r="Y26" i="15" s="1"/>
  <c r="Y28" i="15" s="1"/>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4" i="7"/>
  <c r="E105" i="13"/>
  <c r="E107" i="13"/>
  <c r="T11" i="15" s="1"/>
  <c r="T23" i="15" s="1"/>
  <c r="T26" i="15" s="1"/>
  <c r="T28" i="15" s="1"/>
  <c r="T29" i="15" s="1"/>
  <c r="AF540" i="20"/>
  <c r="AC455" i="3"/>
  <c r="AB47" i="15"/>
  <c r="AB49" i="15" s="1"/>
  <c r="AB54" i="15" s="1"/>
  <c r="AB55" i="15" s="1"/>
  <c r="N154" i="26"/>
  <c r="AW116" i="20"/>
  <c r="O21" i="21"/>
  <c r="P21" i="21" s="1" a="1"/>
  <c r="P21" i="21" s="1"/>
  <c r="R21" i="21" s="1"/>
  <c r="O26" i="21"/>
  <c r="P26" i="21" s="1" a="1"/>
  <c r="P26" i="21" s="1"/>
  <c r="R26" i="21" s="1"/>
  <c r="O20" i="21"/>
  <c r="P20" i="21" s="1" a="1"/>
  <c r="P20" i="21" s="1"/>
  <c r="R20" i="21" s="1"/>
  <c r="O23" i="21"/>
  <c r="P23" i="21" s="1" a="1"/>
  <c r="P23" i="21" s="1"/>
  <c r="R23" i="21" s="1"/>
  <c r="O22" i="21"/>
  <c r="P22" i="21" s="1" a="1"/>
  <c r="P22" i="21" s="1"/>
  <c r="R22" i="21" s="1"/>
  <c r="O25" i="21"/>
  <c r="P25" i="21" s="1" a="1"/>
  <c r="P25" i="21" s="1"/>
  <c r="R25" i="21" s="1"/>
  <c r="O24" i="21"/>
  <c r="P24" i="21" s="1" a="1"/>
  <c r="P24" i="21" s="1"/>
  <c r="R24"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4" i="7" l="1"/>
  <c r="O58" i="7"/>
  <c r="Y64" i="15"/>
  <c r="Y68"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4" i="7" l="1"/>
  <c r="Q58" i="7"/>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U54" i="7" l="1"/>
  <c r="S58" i="7"/>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W54" i="7" l="1"/>
  <c r="U58"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4"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4" i="7"/>
  <c r="AB57" i="15"/>
  <c r="U4" i="7"/>
  <c r="S5" i="7"/>
  <c r="P203" i="3"/>
  <c r="M48" i="7"/>
  <c r="M47" i="7"/>
  <c r="M60" i="7"/>
  <c r="O45" i="7"/>
  <c r="O49" i="7"/>
  <c r="K66" i="7"/>
  <c r="K67" i="7"/>
  <c r="K62" i="7"/>
  <c r="Q7" i="7"/>
  <c r="Q11" i="7" s="1"/>
  <c r="Q37" i="7" s="1"/>
  <c r="S6" i="7"/>
  <c r="I70" i="7"/>
  <c r="I72" i="7" s="1"/>
  <c r="W22" i="7"/>
  <c r="W35" i="7" s="1"/>
  <c r="Y15" i="7"/>
  <c r="W9" i="7"/>
  <c r="Y8" i="7"/>
  <c r="AA58" i="7" l="1"/>
  <c r="AC54"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C58" i="7" l="1"/>
  <c r="AE54"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4"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<sst xmlns="http://schemas.openxmlformats.org/spreadsheetml/2006/main" count="5200" uniqueCount="2738">
  <si>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</si>
  <si>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</si>
  <si>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</si>
  <si>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</si>
  <si>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</si>
  <si>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</si>
  <si>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</si>
  <si>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</si>
  <si>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</si>
  <si>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</si>
  <si>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</si>
  <si>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</si>
  <si>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</si>
  <si>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</si>
  <si>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</si>
  <si>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</si>
  <si>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</si>
  <si>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</si>
  <si>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</si>
  <si>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</si>
  <si>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</si>
  <si>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</si>
  <si>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</si>
  <si>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</si>
  <si>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</si>
  <si>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</si>
  <si>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</si>
  <si>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</si>
  <si>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</si>
  <si>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</si>
  <si>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</si>
  <si>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</si>
  <si>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</si>
  <si>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</si>
  <si>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</si>
  <si>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</si>
  <si>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</si>
  <si>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</si>
  <si>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</si>
  <si>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</si>
  <si>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</si>
  <si>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</si>
  <si>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</si>
  <si>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</si>
  <si>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</si>
  <si>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</si>
  <si>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</si>
  <si>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</si>
  <si>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</si>
  <si>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</si>
  <si>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</si>
  <si>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</si>
  <si>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</si>
  <si>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</si>
  <si>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</si>
  <si>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</si>
  <si>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</si>
  <si>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</si>
  <si>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</si>
  <si>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</si>
  <si>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</si>
  <si>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</si>
  <si>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</si>
  <si>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</si>
  <si>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</si>
  <si>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</si>
  <si>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</si>
  <si>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</si>
  <si>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</si>
  <si>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</si>
  <si>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</si>
  <si>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</si>
  <si>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</si>
  <si>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</si>
  <si>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</si>
  <si>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</si>
  <si>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</si>
  <si>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</si>
  <si>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</si>
  <si>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</si>
  <si>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</si>
  <si>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</si>
  <si>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</si>
  <si>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</si>
  <si>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</si>
  <si>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</si>
  <si>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</si>
  <si>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</si>
  <si>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</si>
  <si>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</si>
  <si>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</si>
  <si>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</si>
  <si>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</si>
  <si>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</si>
  <si>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</si>
  <si>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</si>
  <si>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</si>
  <si>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</si>
  <si>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</si>
  <si>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</si>
  <si>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</si>
  <si>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</si>
  <si>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</si>
  <si>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</si>
  <si>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</si>
  <si>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</si>
  <si>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</si>
  <si>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</si>
  <si>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</si>
  <si>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</si>
  <si>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</si>
  <si>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</si>
  <si>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</si>
  <si>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</si>
  <si>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</si>
  <si>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</si>
  <si>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</si>
  <si>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</si>
  <si>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</si>
  <si>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</si>
  <si>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</si>
  <si>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</si>
  <si>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</si>
  <si>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</si>
  <si>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</si>
  <si>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</si>
  <si>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</si>
  <si>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</si>
  <si>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</si>
  <si>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</si>
  <si>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</si>
  <si>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</si>
  <si>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</si>
  <si>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</si>
  <si>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</si>
  <si>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</si>
  <si>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</si>
  <si>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</si>
  <si>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</si>
  <si>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</si>
  <si>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</si>
  <si>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</si>
  <si>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</si>
  <si>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</si>
  <si>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</si>
  <si>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</si>
  <si>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</si>
  <si>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</si>
  <si>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</si>
  <si>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</si>
  <si>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</si>
  <si>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</si>
  <si>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</si>
  <si>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</si>
  <si>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</si>
  <si>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</si>
  <si>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</si>
  <si>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</si>
  <si>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</si>
  <si>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</si>
  <si>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</si>
  <si>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</si>
  <si>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</si>
  <si>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</si>
  <si>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</si>
  <si>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</si>
  <si>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</si>
  <si>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</si>
  <si>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</si>
  <si>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</si>
  <si>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</si>
  <si>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</si>
  <si>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</si>
  <si>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</si>
  <si>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</si>
  <si>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</si>
  <si>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</si>
  <si>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</si>
  <si>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</si>
  <si>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</si>
  <si>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</si>
  <si>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</si>
  <si>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</si>
  <si>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</si>
  <si>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</si>
  <si>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</si>
  <si>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</si>
  <si>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</si>
  <si>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</si>
  <si>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</si>
  <si>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</si>
  <si>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</si>
  <si>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</si>
  <si>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</si>
  <si>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</si>
  <si>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</si>
  <si>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</si>
  <si>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</si>
  <si>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</si>
  <si>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</si>
  <si>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</si>
  <si>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</si>
  <si>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</si>
  <si>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</si>
  <si>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</si>
  <si>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</si>
  <si>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</si>
  <si>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</si>
  <si>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</si>
  <si>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</si>
  <si>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</si>
  <si>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</si>
  <si>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</si>
  <si>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</si>
  <si>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</si>
  <si>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</si>
  <si>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</si>
  <si>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</si>
  <si>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</si>
  <si>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</si>
  <si>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</si>
  <si>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</si>
  <si>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</si>
  <si>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</si>
  <si>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</si>
  <si>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</si>
  <si>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</si>
  <si>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</si>
  <si>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</si>
  <si>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</si>
  <si>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</si>
  <si>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</si>
  <si>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</si>
  <si>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</si>
  <si>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</si>
  <si>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</si>
  <si>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</si>
  <si>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</si>
  <si>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</si>
  <si>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</si>
  <si>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</si>
  <si>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</si>
  <si>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</si>
  <si>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</si>
  <si>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</si>
  <si>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</si>
  <si>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</si>
  <si>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</si>
  <si>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</si>
  <si>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</si>
  <si>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</si>
  <si>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</si>
  <si>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</si>
  <si>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</si>
  <si>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</si>
  <si>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</si>
  <si>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</si>
  <si>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</si>
  <si>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</si>
  <si>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</si>
  <si>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</si>
  <si>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</si>
  <si>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</si>
  <si>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</si>
  <si>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</si>
  <si>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</si>
  <si>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</si>
  <si>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</si>
  <si>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</si>
  <si>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</si>
  <si>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</si>
  <si>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</si>
  <si>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</si>
  <si>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</si>
  <si>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</si>
  <si>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</si>
  <si>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</si>
  <si>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</si>
  <si>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</si>
  <si>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</si>
  <si>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</si>
  <si>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</si>
  <si>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</si>
  <si>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</si>
  <si>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</si>
  <si>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</si>
  <si>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</si>
  <si>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</si>
  <si>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</si>
  <si>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</si>
  <si>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</si>
  <si>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</si>
  <si>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</si>
  <si>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</si>
  <si>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</si>
  <si>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</si>
  <si>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</si>
  <si>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</si>
  <si>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</si>
  <si>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</si>
  <si>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</si>
  <si>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</si>
  <si>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</si>
  <si>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</si>
  <si>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</si>
  <si>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</si>
  <si>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</si>
  <si>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</si>
  <si>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</si>
  <si>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</si>
  <si>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</si>
  <si>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</si>
  <si>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</si>
  <si>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</si>
  <si>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</si>
  <si>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</si>
  <si>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</si>
  <si>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</si>
  <si>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</si>
  <si>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</si>
  <si>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</si>
  <si>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</si>
  <si>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</si>
  <si>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</si>
  <si>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</si>
  <si>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</si>
  <si>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</si>
  <si>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</si>
  <si>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</si>
  <si>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</si>
  <si>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</si>
  <si>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</si>
  <si>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</si>
  <si>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</si>
  <si>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</si>
  <si>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</si>
  <si>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</si>
  <si>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</si>
  <si>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</si>
  <si>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</si>
  <si>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</si>
  <si>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</si>
  <si>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</si>
  <si>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</si>
  <si>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</si>
  <si>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</si>
  <si>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</si>
  <si>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</si>
  <si>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</si>
  <si>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</si>
  <si>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</si>
  <si>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</si>
  <si>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</si>
  <si>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</si>
  <si>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</si>
  <si>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</si>
  <si>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</si>
  <si>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</si>
  <si>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</si>
  <si>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</si>
  <si>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</si>
  <si>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</si>
  <si>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</si>
  <si>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</si>
  <si>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</si>
  <si>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</si>
  <si>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</si>
  <si>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</si>
  <si>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</si>
  <si>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</si>
  <si>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</si>
  <si>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</si>
  <si>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</si>
  <si>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</si>
  <si>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</si>
  <si>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</si>
  <si>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</si>
  <si>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</si>
  <si>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</si>
  <si>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</si>
  <si>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</si>
  <si>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</si>
  <si>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</si>
  <si>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</si>
  <si>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</si>
  <si>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</si>
  <si>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</si>
  <si>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</si>
  <si>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</si>
  <si>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</si>
  <si>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</si>
  <si>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</si>
  <si>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</si>
  <si>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</si>
  <si>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</si>
  <si>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</si>
  <si>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</si>
  <si>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</si>
  <si>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</si>
  <si>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</si>
  <si>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</si>
  <si>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</si>
  <si>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</si>
  <si>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</si>
  <si>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</si>
  <si>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</si>
  <si>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</si>
  <si>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</si>
  <si>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</si>
  <si>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</si>
  <si>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</si>
  <si>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</si>
  <si>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</si>
  <si>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</si>
  <si>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</si>
  <si>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</si>
  <si>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</si>
  <si>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</si>
  <si>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</si>
  <si>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</si>
  <si>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</si>
  <si>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</si>
  <si>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</si>
  <si>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</si>
  <si>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</si>
  <si>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</si>
  <si>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</si>
  <si>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</si>
  <si>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</si>
  <si>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</si>
  <si>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</si>
  <si>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</si>
  <si>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</si>
  <si>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</si>
  <si>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</si>
  <si>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</si>
  <si>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</si>
  <si>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</si>
  <si>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</si>
  <si>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</si>
  <si>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</si>
  <si>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</si>
  <si>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</si>
  <si>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</si>
  <si>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</si>
  <si>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</si>
  <si>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</si>
  <si>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</si>
  <si>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</si>
  <si>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</si>
  <si>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</si>
  <si>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</si>
  <si>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</si>
  <si>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</si>
  <si>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</si>
  <si>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</si>
  <si>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</si>
  <si>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</si>
  <si>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</si>
  <si>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</si>
  <si>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</si>
  <si>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</si>
  <si>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</si>
  <si>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</si>
  <si>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</si>
  <si>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</si>
  <si>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</si>
  <si>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</si>
  <si>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</si>
  <si>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</si>
  <si>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</si>
  <si>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</si>
  <si>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</si>
  <si>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</si>
  <si>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</si>
  <si>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</si>
  <si>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</si>
  <si>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</si>
  <si>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</si>
  <si>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</si>
  <si>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</si>
  <si>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</si>
  <si>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</si>
  <si>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</si>
  <si>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</si>
  <si>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</si>
  <si>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</si>
  <si>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</si>
  <si>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</si>
  <si>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</si>
  <si>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</si>
  <si>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</si>
  <si>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</si>
  <si>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</si>
  <si>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</si>
  <si>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</si>
  <si>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</si>
  <si>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</si>
  <si>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</si>
  <si>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</si>
  <si>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</si>
  <si>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</si>
  <si>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</si>
  <si>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</si>
  <si>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</si>
  <si>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</si>
  <si>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</si>
  <si>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</si>
  <si>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</si>
  <si>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</si>
  <si>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</si>
  <si>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</si>
  <si>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</si>
  <si>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</si>
  <si>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</si>
  <si>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</si>
  <si>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</si>
  <si>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</si>
  <si>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</si>
  <si>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</si>
  <si>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</si>
  <si>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</si>
  <si>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</si>
  <si>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</si>
  <si>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</si>
  <si>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</si>
  <si>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</si>
  <si>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</si>
  <si>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</si>
  <si>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</si>
  <si>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</si>
  <si>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</si>
  <si>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</si>
  <si>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</si>
  <si>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</si>
  <si>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</si>
  <si>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</si>
  <si>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</si>
  <si>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</si>
  <si>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</si>
  <si>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</si>
  <si>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</si>
  <si>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</si>
  <si>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</si>
  <si>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</si>
  <si>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</si>
  <si>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</si>
  <si>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</si>
  <si>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</si>
  <si>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</si>
  <si>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</si>
  <si>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</si>
  <si>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</si>
  <si>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</si>
  <si>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</si>
  <si>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</si>
  <si>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</si>
  <si>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</si>
  <si>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</si>
  <si>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</si>
  <si>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</si>
  <si>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</si>
  <si>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</si>
  <si>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</si>
  <si>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</si>
  <si>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</si>
  <si>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</si>
  <si>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</si>
  <si>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</si>
  <si>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</si>
  <si>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</si>
  <si>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</si>
  <si>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</si>
  <si>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</si>
  <si>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</si>
  <si>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</si>
  <si>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</si>
  <si>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</si>
  <si>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</si>
  <si>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</si>
  <si>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</si>
  <si>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</si>
  <si>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</si>
  <si>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</si>
  <si>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</si>
  <si>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</si>
  <si>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</si>
  <si>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</si>
  <si>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</si>
  <si>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</si>
  <si>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</si>
  <si>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</si>
  <si>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</si>
  <si>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</si>
  <si>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</si>
  <si>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</si>
  <si>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</si>
  <si>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</si>
  <si>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</si>
  <si>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</si>
  <si>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</si>
  <si>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</si>
  <si>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</si>
  <si>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</si>
  <si>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</si>
  <si>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</si>
  <si>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</si>
  <si>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</si>
  <si>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</si>
  <si>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</si>
  <si>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</si>
  <si>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</si>
  <si>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</si>
  <si>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</si>
  <si>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</si>
  <si>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</si>
  <si>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</si>
  <si>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</si>
  <si>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</si>
  <si>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</si>
  <si>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</si>
  <si>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</si>
  <si>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</si>
  <si>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</si>
  <si>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</si>
  <si>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</si>
  <si>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</si>
  <si>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</si>
  <si>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</si>
  <si>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</si>
  <si>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</si>
  <si>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</si>
  <si>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</si>
  <si>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</si>
  <si>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</si>
  <si>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</si>
  <si>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</si>
  <si>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</si>
  <si>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</si>
  <si>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</si>
  <si>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</si>
  <si>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</si>
  <si>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</si>
  <si>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</si>
  <si>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</si>
  <si>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</si>
  <si>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</si>
  <si>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</si>
  <si>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</si>
  <si>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</si>
  <si>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</si>
  <si>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</si>
  <si>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</si>
  <si>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</si>
  <si>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</si>
  <si>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</si>
  <si>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</si>
  <si>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</si>
  <si>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</si>
  <si>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</si>
  <si>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</si>
  <si>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</si>
  <si>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</si>
  <si>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</si>
  <si>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</si>
  <si>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</si>
  <si>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</si>
  <si>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</si>
  <si>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</si>
  <si>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</si>
  <si>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</si>
  <si>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</si>
  <si>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</si>
  <si>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</si>
  <si>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</si>
  <si>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</si>
  <si>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</si>
  <si>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</si>
  <si>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</si>
  <si>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</si>
  <si>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</si>
  <si>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</si>
  <si>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</si>
  <si>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</si>
  <si>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</si>
  <si>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</si>
  <si>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</si>
  <si>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</si>
  <si>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</si>
  <si>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</si>
  <si>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</si>
  <si>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</si>
  <si>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</si>
  <si>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</si>
  <si>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</si>
  <si>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</si>
  <si>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</si>
  <si>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</si>
  <si>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</si>
  <si>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</si>
  <si>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</si>
  <si>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</si>
  <si>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</si>
  <si>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</si>
  <si>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</si>
  <si>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</si>
  <si>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</si>
  <si>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</si>
  <si>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</si>
  <si>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</si>
  <si>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</si>
  <si>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</si>
  <si>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</si>
  <si>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</si>
  <si>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</si>
  <si>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</si>
  <si>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</si>
  <si>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</si>
  <si>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</si>
  <si>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</si>
  <si>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</si>
  <si>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</si>
  <si>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</si>
  <si>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</si>
  <si>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</si>
  <si>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</si>
  <si>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</si>
  <si>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</si>
  <si>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</si>
  <si>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</si>
  <si>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</si>
  <si>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</si>
  <si>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</si>
  <si>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</si>
  <si>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</si>
  <si>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</si>
  <si>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</si>
  <si>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</si>
  <si>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</si>
  <si>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</si>
  <si>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</si>
  <si>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</si>
  <si>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</si>
  <si>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</si>
  <si>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</si>
  <si>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</si>
  <si>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</si>
  <si>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</si>
  <si>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</si>
  <si>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</si>
  <si>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</si>
  <si>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</si>
  <si>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</si>
  <si>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</si>
  <si>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</si>
  <si>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</si>
  <si>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</si>
  <si>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</si>
  <si>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</si>
  <si>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</si>
  <si>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</si>
  <si>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</si>
  <si>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</si>
  <si>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</si>
  <si>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</si>
  <si>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</si>
  <si>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</si>
  <si>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</si>
  <si>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</si>
  <si>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</si>
  <si>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</si>
  <si>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</si>
  <si>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</si>
  <si>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</si>
  <si>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</si>
  <si>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</si>
  <si>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</si>
  <si>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</si>
  <si>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</si>
  <si>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</si>
  <si>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</si>
  <si>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</si>
  <si>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</si>
  <si>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</si>
  <si>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</si>
  <si>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</si>
  <si>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</si>
  <si>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</si>
  <si>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</si>
  <si>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</si>
  <si>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</si>
  <si>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</si>
  <si>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</si>
  <si>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</si>
  <si>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</si>
  <si>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</si>
  <si>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</si>
  <si>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</si>
  <si>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</si>
  <si>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</si>
  <si>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</si>
  <si>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</si>
  <si>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</si>
  <si>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</si>
  <si>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</si>
  <si>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</si>
  <si>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</si>
  <si>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</si>
  <si>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</si>
  <si>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</si>
  <si>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</si>
  <si>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</si>
  <si>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</si>
  <si>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</si>
  <si>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</si>
  <si>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</si>
  <si>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</si>
  <si>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</si>
  <si>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</si>
  <si>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</si>
  <si>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</si>
  <si>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</si>
  <si>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</si>
  <si>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</si>
  <si>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</si>
  <si>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</si>
  <si>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</si>
  <si>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</si>
  <si>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</si>
  <si>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</si>
  <si>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</si>
  <si>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</si>
  <si>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</si>
  <si>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</si>
  <si>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</si>
  <si>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</si>
  <si>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</si>
  <si>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</si>
  <si>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</si>
  <si>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</si>
  <si>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</si>
  <si>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</si>
  <si>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</si>
  <si>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</si>
  <si>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</si>
  <si>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</si>
  <si>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</si>
  <si>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</si>
  <si>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</si>
  <si>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</si>
  <si>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</si>
  <si>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</si>
  <si>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</si>
  <si>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</si>
  <si>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</si>
  <si>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</si>
  <si>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</si>
  <si>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</si>
  <si>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</si>
  <si>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</si>
  <si>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</si>
  <si>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</si>
  <si>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</si>
  <si>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</si>
  <si>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</si>
  <si>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</si>
  <si>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</si>
  <si>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</si>
  <si>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</si>
  <si>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</si>
  <si>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</si>
  <si>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</si>
  <si>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</si>
  <si>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</si>
  <si>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</si>
  <si>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</si>
  <si>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</si>
  <si>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</si>
  <si>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</si>
  <si>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</si>
  <si>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</si>
  <si>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</si>
  <si>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</si>
  <si>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</si>
  <si>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</si>
  <si>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</si>
  <si>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</si>
  <si>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</si>
  <si>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</si>
  <si>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</si>
  <si>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</si>
  <si>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</si>
  <si>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</si>
  <si>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</si>
  <si>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</si>
  <si>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</si>
  <si>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</si>
  <si>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</si>
  <si>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</si>
  <si>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</si>
  <si>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</si>
  <si>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</si>
  <si>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</si>
  <si>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</si>
  <si>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</si>
  <si>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</si>
  <si>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</si>
  <si>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</si>
  <si>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</si>
  <si>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</si>
  <si>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</si>
  <si>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</si>
  <si>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</si>
  <si>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</si>
  <si>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</si>
  <si>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</si>
  <si>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</si>
  <si>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</si>
  <si>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</si>
  <si>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</si>
  <si>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</si>
  <si>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</si>
  <si>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</si>
  <si>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</si>
  <si>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</si>
  <si>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</si>
  <si>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</si>
  <si>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</si>
  <si>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</si>
  <si>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</si>
  <si>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</si>
  <si>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</si>
  <si>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</si>
  <si>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</si>
  <si>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</si>
  <si>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</si>
  <si>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</si>
  <si>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</si>
  <si>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</si>
  <si>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</si>
  <si>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</si>
  <si>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</si>
  <si>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</si>
  <si>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</si>
  <si>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</si>
  <si>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</si>
  <si>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</si>
  <si>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</si>
  <si>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</si>
  <si>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</si>
  <si>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</si>
  <si>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</si>
  <si>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</si>
  <si>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</si>
  <si>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</si>
  <si>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</si>
  <si>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</si>
  <si>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</si>
  <si>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</si>
  <si>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</si>
  <si>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</si>
  <si>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</si>
  <si>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</si>
  <si>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</si>
  <si>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</si>
  <si>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</si>
  <si>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</si>
  <si>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</si>
  <si>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</si>
  <si>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</si>
  <si>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</si>
  <si>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</si>
  <si>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</si>
  <si>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</si>
  <si>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</si>
  <si>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</si>
  <si>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</si>
  <si>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</si>
  <si>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</si>
  <si>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</si>
  <si>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</si>
  <si>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</si>
  <si>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</si>
  <si>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</si>
  <si>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</si>
  <si>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</si>
  <si>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</si>
  <si>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</si>
  <si>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</si>
  <si>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</si>
  <si>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</si>
  <si>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</si>
  <si>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</si>
  <si>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</si>
  <si>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</si>
  <si>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</si>
  <si>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</si>
  <si>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</si>
  <si>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</si>
  <si>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</si>
  <si>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</si>
  <si>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</si>
  <si>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</si>
  <si>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</si>
  <si>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</si>
  <si>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</si>
  <si>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</si>
  <si>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</si>
  <si>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</si>
  <si>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</si>
  <si>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</si>
  <si>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</si>
  <si>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</si>
  <si>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</si>
  <si>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</si>
  <si>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</si>
  <si>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</si>
  <si>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</si>
  <si>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</si>
  <si>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</si>
  <si>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</si>
  <si>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</si>
  <si>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</si>
  <si>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</si>
  <si>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</si>
  <si>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</si>
  <si>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</si>
  <si>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</si>
  <si>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</si>
  <si>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</si>
  <si>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</si>
  <si>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</si>
  <si>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</si>
  <si>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</si>
  <si>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</si>
  <si>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</si>
  <si>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</si>
  <si>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</si>
  <si>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</si>
  <si>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</si>
  <si>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</si>
  <si>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</si>
  <si>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</si>
  <si>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</si>
  <si>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</si>
  <si>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</si>
  <si>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</si>
  <si>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</si>
  <si>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</si>
  <si>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</si>
  <si>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</si>
  <si>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</si>
  <si>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</si>
  <si>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</si>
  <si>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</si>
  <si>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</si>
  <si>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</si>
  <si>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</si>
  <si>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</si>
  <si>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</si>
  <si>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</si>
  <si>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</si>
  <si>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</si>
  <si>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</si>
  <si>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</si>
  <si>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</si>
  <si>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</si>
  <si>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</si>
  <si>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</si>
  <si>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</si>
  <si>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</si>
  <si>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</si>
  <si>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</si>
  <si>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</si>
  <si>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</si>
  <si>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</si>
  <si>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</si>
  <si>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</si>
  <si>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</si>
  <si>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</si>
  <si>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</si>
  <si>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</si>
  <si>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</si>
  <si>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</si>
  <si>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</si>
  <si>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</si>
  <si>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</si>
  <si>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</si>
  <si>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</si>
  <si>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</si>
  <si>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</si>
  <si>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</si>
  <si>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</si>
  <si>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</si>
  <si>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</si>
  <si>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</si>
  <si>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</si>
  <si>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</si>
  <si>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</si>
  <si>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</si>
  <si>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</si>
  <si>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</si>
  <si>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</si>
  <si>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</si>
  <si>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</si>
  <si>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</si>
  <si>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</si>
  <si>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</si>
  <si>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</si>
  <si>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</si>
  <si>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</si>
  <si>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</si>
  <si>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</si>
  <si>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</si>
  <si>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</si>
  <si>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</si>
  <si>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</si>
  <si>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</si>
  <si>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</si>
  <si>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</si>
  <si>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</si>
  <si>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</si>
  <si>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</si>
  <si>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</si>
  <si>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</si>
  <si>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</si>
  <si>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</si>
  <si>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</si>
  <si>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</si>
  <si>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</si>
  <si>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</si>
  <si>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</si>
  <si>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</si>
  <si>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</si>
  <si>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</si>
  <si>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</si>
  <si>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</si>
  <si>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</si>
  <si>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</si>
  <si>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</si>
  <si>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</si>
  <si>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</si>
  <si>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</si>
  <si>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</si>
  <si>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</si>
  <si>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</si>
  <si>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</si>
  <si>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</si>
  <si>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</si>
  <si>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</si>
  <si>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</si>
  <si>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</si>
  <si>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</si>
  <si>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</si>
  <si>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</si>
  <si>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</si>
  <si>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</si>
  <si>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</si>
  <si>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</si>
  <si>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</si>
  <si>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</si>
  <si>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</si>
  <si>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</si>
  <si>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</si>
  <si>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</si>
  <si>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</si>
  <si>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</si>
  <si>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</si>
  <si>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</si>
  <si>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</si>
  <si>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</si>
  <si>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</si>
  <si>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</si>
  <si>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</si>
  <si>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</si>
  <si>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</si>
  <si>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</si>
  <si>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</si>
  <si>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</si>
  <si>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</si>
  <si>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</si>
  <si>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</si>
  <si>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</si>
  <si>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</si>
  <si>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</si>
  <si>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</si>
  <si>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</si>
  <si>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</si>
  <si>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</si>
  <si>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</si>
  <si>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</si>
  <si>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</si>
  <si>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</si>
  <si>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</si>
  <si>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</si>
  <si>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</si>
  <si>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</si>
  <si>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</si>
  <si>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</si>
  <si>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</si>
  <si>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</si>
  <si>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</si>
  <si>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</si>
  <si>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</si>
  <si>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</si>
  <si>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</si>
  <si>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</si>
  <si>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</si>
  <si>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</si>
  <si>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</si>
  <si>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</si>
  <si>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</si>
  <si>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</si>
  <si>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</si>
  <si>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</si>
  <si>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</si>
  <si>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</si>
  <si>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</si>
  <si>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</si>
  <si>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</si>
  <si>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</si>
  <si>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</si>
  <si>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</si>
  <si>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</si>
  <si>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</si>
  <si>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</si>
  <si>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</si>
  <si>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</si>
  <si>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</si>
  <si>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</si>
  <si>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</si>
  <si>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</si>
  <si>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</si>
  <si>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</si>
  <si>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</si>
  <si>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</si>
  <si>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</si>
  <si>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</si>
  <si>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</si>
  <si>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</si>
  <si>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</si>
  <si>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</si>
  <si>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</si>
  <si>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</si>
  <si>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</si>
  <si>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</si>
  <si>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</si>
  <si>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</si>
  <si>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</si>
  <si>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</si>
  <si>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</si>
  <si>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</si>
  <si>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</si>
  <si>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</si>
  <si>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</si>
  <si>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</si>
  <si>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</si>
  <si>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</si>
  <si>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</si>
  <si>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</si>
  <si>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</si>
  <si>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</si>
  <si>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</si>
  <si>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</si>
  <si>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</si>
  <si>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</si>
  <si>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</si>
  <si>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</si>
  <si>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</si>
  <si>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</si>
  <si>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</si>
  <si>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</si>
  <si>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</si>
  <si>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</si>
  <si>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</si>
  <si>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</si>
  <si>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</si>
  <si>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</si>
  <si>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</si>
  <si>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</si>
  <si>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</si>
  <si>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</si>
  <si>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</si>
  <si>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</si>
  <si>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</si>
  <si>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</si>
  <si>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</si>
  <si>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</si>
  <si>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</si>
  <si>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</si>
  <si>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</si>
  <si>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</si>
  <si>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</si>
  <si>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</si>
  <si>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</si>
  <si>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</si>
  <si>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</si>
  <si>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</si>
  <si>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</si>
  <si>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</si>
  <si>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</si>
  <si>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</si>
  <si>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</si>
  <si>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</si>
  <si>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</si>
  <si>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</si>
  <si>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</si>
  <si>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</si>
  <si>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</si>
  <si>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</si>
  <si>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</si>
  <si>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</si>
  <si>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</si>
  <si>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</si>
  <si>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</si>
  <si>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</si>
  <si>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</si>
  <si>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</si>
  <si>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</si>
  <si>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</si>
  <si>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</si>
  <si>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</si>
  <si>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</si>
  <si>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</si>
  <si>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</si>
  <si>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</si>
  <si>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</si>
  <si>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</si>
  <si>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</si>
  <si>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</si>
  <si>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</si>
  <si>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</si>
  <si>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</si>
  <si>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</si>
  <si>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</si>
  <si>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</si>
  <si>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</si>
  <si>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</si>
  <si>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</si>
  <si>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</si>
  <si>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</si>
  <si>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</si>
  <si>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</si>
  <si>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</si>
  <si>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</si>
  <si>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</si>
  <si>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</si>
  <si>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</si>
  <si>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</si>
  <si>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</si>
  <si>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</si>
  <si>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</si>
  <si>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</si>
  <si>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</si>
  <si>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</si>
  <si>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</si>
  <si>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</si>
  <si>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</si>
  <si>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</si>
  <si>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</si>
  <si>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</si>
  <si>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</si>
  <si>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</si>
  <si>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</si>
  <si>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</si>
  <si>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</si>
  <si>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</si>
  <si>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</si>
  <si>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</si>
  <si>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</si>
  <si>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</si>
  <si>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</si>
  <si>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</si>
  <si>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</si>
  <si>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</si>
  <si>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</si>
  <si>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</si>
  <si>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</si>
  <si>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</si>
  <si>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</si>
  <si>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</si>
  <si>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</si>
  <si>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</si>
  <si>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</si>
  <si>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</si>
  <si>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</si>
  <si>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</si>
  <si>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</si>
  <si>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</si>
  <si>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</si>
  <si>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</si>
  <si>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</si>
  <si>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</si>
  <si>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</si>
  <si>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</si>
  <si>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</si>
  <si>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</si>
  <si>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</si>
  <si>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</si>
  <si>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</si>
  <si>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</si>
  <si>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</si>
  <si>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</si>
  <si>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</si>
  <si>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</si>
  <si>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</si>
  <si>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</si>
  <si>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</si>
  <si>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</si>
  <si>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</si>
  <si>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</si>
  <si>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</si>
  <si>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</si>
  <si>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</si>
  <si>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</si>
  <si>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</si>
  <si>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</si>
  <si>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</si>
  <si>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</si>
  <si>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</si>
  <si>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</si>
  <si>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</si>
  <si>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</si>
  <si>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</si>
  <si>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</si>
  <si>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</si>
  <si>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</si>
  <si>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</si>
  <si>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</si>
  <si>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</si>
  <si>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</si>
  <si>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</si>
  <si>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</si>
  <si>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</si>
  <si>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</si>
  <si>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</si>
  <si>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</si>
  <si>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</si>
  <si>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</si>
  <si>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</si>
  <si>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</si>
  <si>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</si>
  <si>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</si>
  <si>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</si>
  <si>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</si>
  <si>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</si>
  <si>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</si>
  <si>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</si>
  <si>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</si>
  <si>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</si>
  <si>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</si>
  <si>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</si>
  <si>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</si>
  <si>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</si>
  <si>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</si>
  <si>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</si>
  <si>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</si>
  <si>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</si>
  <si>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</si>
  <si>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</si>
  <si>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</si>
  <si>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</si>
  <si>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</si>
  <si>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</si>
  <si>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</si>
  <si>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</si>
  <si>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</si>
  <si>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</si>
  <si>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</si>
  <si>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</si>
  <si>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</si>
  <si>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</si>
  <si>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</si>
  <si>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</si>
  <si>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</si>
  <si>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</si>
  <si>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</si>
  <si>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</si>
  <si>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</si>
  <si>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</si>
  <si>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</si>
  <si>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</si>
  <si>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</si>
  <si>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</si>
  <si>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</si>
  <si>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</si>
  <si>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</si>
  <si>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</si>
  <si>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</si>
  <si>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</si>
  <si>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</si>
  <si>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</si>
  <si>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</si>
  <si>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</si>
  <si>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</si>
  <si>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</si>
  <si>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</si>
  <si>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</si>
  <si>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</si>
  <si>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</si>
  <si>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</si>
  <si>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</si>
  <si>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</si>
  <si>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</si>
  <si>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</si>
  <si>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</si>
  <si>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</si>
  <si>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</si>
  <si>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</si>
  <si>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</si>
  <si>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</si>
  <si>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</si>
  <si>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</si>
  <si>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</si>
  <si>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</si>
  <si>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</si>
  <si>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</si>
  <si>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</si>
  <si>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</si>
  <si>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</si>
  <si>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</si>
  <si>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</si>
  <si>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</si>
  <si>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</si>
  <si>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</si>
  <si>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</si>
  <si>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</si>
  <si>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</si>
  <si>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</si>
  <si>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</si>
  <si>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</si>
  <si>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</si>
  <si>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</si>
  <si>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</si>
  <si>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</si>
  <si>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</si>
  <si>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</si>
  <si>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</si>
  <si>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</si>
  <si>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</si>
  <si>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</si>
  <si>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</si>
  <si>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</si>
  <si>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</si>
  <si>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</si>
  <si>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</si>
  <si>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</si>
  <si>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</si>
  <si>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</si>
  <si>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</si>
  <si>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</si>
  <si>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</si>
  <si>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</si>
  <si>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</si>
  <si>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</si>
  <si>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</si>
  <si>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</si>
  <si>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</si>
  <si>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</si>
  <si>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</si>
  <si>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</si>
  <si>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</si>
  <si>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</si>
  <si>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</si>
  <si>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</si>
  <si>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</si>
  <si>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</si>
  <si>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</si>
  <si>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</si>
  <si>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</si>
  <si>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</si>
  <si>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</si>
  <si>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</si>
  <si>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</si>
  <si>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</si>
  <si>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</si>
  <si>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</si>
  <si>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</si>
  <si>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</si>
  <si>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</si>
  <si>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</si>
  <si>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</si>
  <si>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</si>
  <si>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</si>
  <si>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</si>
  <si>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</si>
  <si>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</si>
  <si>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</si>
  <si>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</si>
  <si>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</si>
  <si>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</si>
  <si>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</si>
  <si>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</si>
  <si>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</si>
  <si>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</si>
  <si>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</si>
  <si>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</si>
  <si>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</si>
  <si>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</si>
  <si>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</si>
  <si>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</si>
  <si>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</si>
  <si>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</si>
  <si>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</si>
  <si>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</si>
  <si>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</si>
  <si>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</si>
  <si>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</si>
  <si>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</si>
  <si>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</si>
  <si>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</si>
  <si>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</si>
  <si>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</si>
  <si>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</si>
  <si>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</si>
  <si>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</si>
  <si>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</si>
  <si>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</si>
  <si>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</si>
  <si>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</si>
  <si>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</si>
  <si>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</si>
  <si>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</si>
  <si>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</si>
  <si>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</si>
  <si>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</si>
  <si>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</si>
  <si>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</si>
  <si>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</si>
  <si>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</si>
  <si>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</si>
  <si>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</si>
  <si>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</si>
  <si>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</si>
  <si>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</si>
  <si>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</si>
  <si>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</si>
  <si>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</si>
  <si>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</si>
  <si>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</si>
  <si>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</si>
  <si>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</si>
  <si>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</si>
  <si>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</si>
  <si>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</si>
  <si>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</si>
  <si>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</si>
  <si>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</si>
  <si>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</si>
  <si>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</si>
  <si>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</si>
  <si>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</si>
  <si>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</si>
  <si>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</si>
  <si>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</si>
  <si>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</si>
  <si>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</si>
  <si>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</si>
  <si>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</si>
  <si>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</si>
  <si>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</si>
  <si>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</si>
  <si>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</si>
  <si>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</si>
  <si>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</si>
  <si>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</si>
  <si>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</si>
  <si>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</si>
  <si>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</si>
  <si>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</si>
  <si>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</si>
  <si>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</si>
  <si>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</si>
  <si>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</si>
  <si>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</si>
  <si>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</si>
  <si>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</si>
  <si>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</si>
  <si>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</si>
  <si>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</si>
  <si>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</si>
  <si>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</si>
  <si>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</si>
  <si>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</si>
  <si>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</si>
  <si>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</si>
  <si>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</si>
  <si>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</si>
  <si>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</si>
  <si>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</si>
  <si>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</si>
  <si>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</si>
  <si>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</si>
  <si>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</si>
  <si>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</si>
  <si>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</si>
  <si>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</si>
  <si>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</si>
  <si>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</si>
  <si>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</si>
  <si>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</si>
  <si>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</si>
  <si>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</si>
  <si>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</si>
  <si>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</si>
  <si>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</si>
  <si>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</si>
  <si>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</si>
  <si>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</si>
  <si>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</si>
  <si>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</si>
  <si>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</si>
  <si>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</si>
  <si>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</si>
  <si>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</si>
  <si>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</si>
  <si>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</si>
  <si>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</si>
  <si>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</si>
  <si>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</si>
  <si>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</si>
  <si>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</si>
  <si>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</si>
  <si>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</si>
  <si>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</si>
  <si>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</si>
  <si>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</si>
  <si>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</si>
  <si>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</si>
  <si>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</si>
  <si>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</si>
  <si>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</si>
  <si>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</si>
  <si>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</si>
  <si>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</si>
  <si>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</si>
  <si>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</si>
  <si>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</si>
  <si>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</si>
  <si>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</si>
  <si>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</si>
  <si>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</si>
  <si>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</si>
  <si>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</si>
  <si>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</si>
  <si>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</si>
  <si>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</si>
  <si>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</si>
  <si>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</si>
  <si>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</si>
  <si>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</si>
  <si>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</si>
  <si>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</si>
  <si>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</si>
  <si>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</si>
  <si>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</si>
  <si>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</si>
  <si>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</si>
  <si>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</si>
  <si>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</si>
  <si>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</si>
  <si>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</si>
  <si>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</si>
  <si>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</si>
  <si>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</si>
  <si>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</si>
  <si>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</si>
  <si>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</si>
  <si>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</si>
  <si>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</si>
  <si>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</si>
  <si>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</si>
  <si>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</si>
  <si>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</si>
  <si>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</si>
  <si>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</si>
  <si>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</si>
  <si>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</si>
  <si>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</si>
  <si>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</si>
  <si>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</si>
  <si>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</si>
  <si>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</si>
  <si>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</si>
  <si>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</si>
  <si>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</si>
  <si>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</si>
  <si>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</si>
  <si>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</si>
  <si>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</si>
  <si>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</si>
  <si>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</si>
  <si>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</si>
  <si>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</si>
  <si>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</si>
  <si>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</si>
  <si>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</si>
  <si>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</si>
  <si>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</si>
  <si>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</si>
  <si>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</si>
  <si>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</si>
  <si>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</si>
  <si>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</si>
  <si>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</si>
  <si>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</si>
  <si>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</si>
  <si>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</si>
  <si>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</si>
  <si>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</si>
  <si>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</si>
  <si>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</si>
  <si>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</si>
  <si>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</si>
  <si>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</si>
  <si>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</si>
  <si>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</si>
  <si>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</si>
  <si>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</si>
  <si>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</si>
  <si>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</si>
  <si>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</si>
  <si>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</si>
  <si>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</si>
  <si>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</si>
  <si>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</si>
  <si>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</si>
  <si>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</si>
  <si>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</si>
  <si>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</si>
  <si>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</si>
  <si>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</si>
  <si>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</si>
  <si>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</si>
  <si>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</si>
  <si>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</si>
  <si>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</si>
  <si>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</si>
  <si>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</si>
  <si>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</si>
  <si>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</si>
  <si>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</si>
  <si>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</si>
  <si>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</si>
  <si>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</si>
  <si>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</si>
  <si>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</si>
  <si>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</si>
  <si>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</si>
  <si>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</si>
  <si>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</si>
  <si>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</si>
  <si>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</si>
  <si>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</si>
  <si>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</si>
  <si>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</si>
  <si>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</si>
  <si>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</si>
  <si>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</si>
  <si>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</si>
  <si>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</si>
  <si>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</si>
  <si>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</si>
  <si>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</si>
  <si>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</si>
  <si>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</si>
  <si>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</si>
  <si>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</si>
  <si>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</si>
  <si>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</si>
  <si>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</si>
  <si>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</si>
  <si>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</si>
  <si>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</si>
  <si>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</si>
  <si>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</si>
  <si>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</si>
  <si>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</si>
  <si>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</si>
  <si>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</si>
  <si>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</si>
  <si>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</si>
  <si>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</si>
  <si>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</si>
  <si>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</si>
  <si>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</si>
  <si>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</si>
  <si>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</si>
  <si>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</si>
  <si>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</si>
  <si>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</si>
  <si>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</si>
  <si>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</si>
  <si>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</si>
  <si>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</si>
  <si>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</si>
  <si>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</si>
  <si>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</si>
  <si>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</si>
  <si>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</si>
  <si>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</si>
  <si>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</si>
  <si>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</si>
  <si>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</si>
  <si>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</si>
  <si>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</si>
  <si>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</si>
  <si>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</si>
  <si>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</si>
  <si>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</si>
  <si>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</si>
  <si>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</si>
  <si>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</si>
  <si>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</si>
  <si>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</si>
  <si>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</si>
  <si>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</si>
  <si>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</si>
  <si>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</si>
  <si>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</si>
  <si>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</si>
  <si>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</si>
  <si>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</si>
  <si>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</si>
  <si>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</si>
  <si>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</si>
  <si>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</si>
  <si>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</si>
  <si>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</si>
  <si>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</si>
  <si>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</si>
  <si>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</si>
  <si>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</si>
  <si>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</si>
  <si>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</si>
  <si>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</si>
  <si>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</si>
  <si>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</si>
  <si>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</si>
  <si>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</si>
  <si>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</si>
  <si>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</si>
  <si>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</si>
  <si>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</si>
  <si>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</si>
  <si>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</si>
  <si>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</si>
  <si>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</si>
  <si>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</si>
  <si>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</si>
  <si>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</si>
  <si>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</si>
  <si>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</si>
  <si>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</si>
  <si>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</si>
  <si>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</si>
  <si>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</si>
  <si>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</si>
  <si>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</si>
  <si>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</si>
  <si>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</si>
  <si>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</si>
  <si>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</si>
  <si>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</si>
  <si>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</si>
  <si>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</si>
  <si>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</si>
  <si>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</si>
  <si>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</si>
  <si>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</si>
  <si>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</si>
  <si>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</si>
  <si>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</si>
  <si>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</si>
  <si>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</si>
  <si>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</si>
  <si>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</si>
  <si>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</si>
  <si>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</si>
  <si>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</si>
  <si>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</si>
  <si>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</si>
  <si>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</si>
  <si>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</si>
  <si>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</si>
  <si>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</si>
  <si>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</si>
  <si>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</si>
  <si>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</si>
  <si>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</si>
  <si>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</si>
  <si>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</si>
  <si>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</si>
  <si>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</si>
  <si>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</si>
  <si>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</si>
  <si>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</si>
  <si>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</si>
  <si>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</si>
  <si>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</si>
  <si>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</si>
  <si>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</si>
  <si>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</si>
  <si>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</si>
  <si>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</si>
  <si>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</si>
  <si>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</si>
  <si>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</si>
  <si>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</si>
  <si>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</si>
  <si>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</si>
  <si>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</si>
  <si>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</si>
  <si>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</si>
  <si>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</si>
  <si>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</si>
  <si>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</si>
  <si>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</si>
  <si>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</si>
  <si>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</si>
  <si>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</si>
  <si>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</si>
  <si>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</si>
  <si>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</si>
  <si>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</si>
  <si>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</si>
  <si>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</si>
  <si>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</si>
  <si>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</si>
  <si>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</si>
  <si>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</si>
  <si>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</si>
  <si>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</si>
  <si>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</si>
  <si>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</si>
  <si>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</si>
  <si>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</si>
  <si>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</si>
  <si>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</si>
  <si>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</si>
  <si>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</si>
  <si>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</si>
  <si>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</si>
  <si>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</si>
  <si>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</si>
  <si>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</si>
  <si>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</si>
  <si>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</si>
  <si>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</si>
  <si>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</si>
  <si>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</si>
  <si>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</si>
  <si>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</si>
  <si>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</si>
  <si>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</si>
  <si>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</si>
  <si>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</si>
  <si>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</si>
  <si>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</si>
  <si>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</si>
  <si>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</si>
  <si>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</si>
  <si>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</si>
  <si>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</si>
  <si>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</si>
  <si>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</si>
  <si>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</si>
  <si>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</si>
  <si>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</si>
  <si>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</si>
  <si>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</si>
  <si>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</si>
  <si>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</si>
  <si>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</si>
  <si>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</si>
  <si>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</si>
  <si>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</si>
  <si>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</si>
  <si>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</si>
  <si>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</si>
  <si>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</si>
  <si>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</si>
  <si>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</si>
  <si>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</si>
  <si>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</si>
  <si>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</si>
  <si>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</si>
  <si>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</si>
  <si>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</si>
  <si>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</si>
  <si>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</si>
  <si>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</si>
  <si>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</si>
  <si>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</si>
  <si>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</si>
  <si>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</si>
  <si>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</si>
  <si>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</si>
  <si>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</si>
  <si>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</si>
  <si>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</si>
  <si>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</si>
  <si>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</si>
  <si>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</si>
  <si>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</si>
  <si>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</si>
  <si>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</si>
  <si>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</si>
  <si>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</si>
  <si>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</si>
  <si>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</si>
  <si>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</si>
  <si>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</si>
  <si>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</si>
  <si>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</si>
  <si>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</si>
  <si>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</si>
  <si>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</si>
  <si>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</si>
  <si>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</si>
  <si>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</si>
  <si>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</si>
  <si>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</si>
  <si>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</si>
  <si>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</si>
  <si>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</si>
  <si>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</si>
  <si>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</si>
  <si>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</si>
  <si>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</si>
  <si>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</si>
  <si>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</si>
  <si>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</si>
  <si>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</si>
  <si>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</si>
  <si>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</si>
  <si>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</si>
  <si>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</si>
  <si>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</si>
  <si>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</si>
  <si>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</si>
  <si>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</si>
  <si>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</si>
  <si>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</si>
  <si>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</si>
  <si>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</si>
  <si>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</si>
  <si>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</si>
  <si>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</si>
  <si>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</si>
  <si>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</si>
  <si>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</si>
  <si>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</si>
  <si>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</si>
  <si>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</si>
  <si>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</si>
  <si>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</si>
  <si>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</si>
  <si>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</si>
  <si>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</si>
  <si>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</si>
  <si>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</si>
  <si>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</si>
  <si>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</si>
  <si>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</si>
  <si>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</si>
  <si>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</si>
  <si>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</si>
  <si>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</si>
  <si>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</si>
  <si>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</si>
  <si>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</si>
  <si>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</si>
  <si>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</si>
  <si>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</si>
  <si>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</si>
  <si>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</si>
  <si>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</si>
  <si>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</si>
  <si>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</si>
  <si>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</si>
  <si>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</si>
  <si>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</si>
  <si>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</si>
  <si>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</si>
  <si>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</si>
  <si>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</si>
  <si>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</si>
  <si>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</si>
  <si>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</si>
  <si>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</si>
  <si>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</si>
  <si>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</si>
  <si>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</si>
  <si>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</si>
  <si>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</si>
  <si>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</si>
  <si>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</si>
  <si>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</si>
  <si>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</si>
  <si>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</si>
  <si>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</si>
  <si>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</si>
  <si>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</si>
  <si>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</si>
  <si>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</si>
  <si>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</si>
  <si>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</si>
  <si>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</si>
  <si>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</si>
  <si>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</si>
  <si>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</si>
  <si>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</si>
  <si>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</si>
  <si>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</si>
  <si>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</si>
  <si>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</si>
  <si>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</si>
  <si>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</si>
  <si>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</si>
  <si>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</si>
  <si>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</si>
  <si>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</si>
  <si>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</si>
  <si>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</si>
  <si>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</si>
  <si>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</si>
  <si>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</si>
  <si>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</si>
  <si>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</si>
  <si>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</si>
  <si>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</si>
  <si>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</si>
  <si>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</si>
  <si>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</si>
  <si>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</si>
  <si>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</si>
  <si>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</si>
  <si>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</si>
  <si>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</si>
  <si>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</si>
  <si>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</si>
  <si>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</si>
  <si>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</si>
  <si>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</si>
  <si>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</si>
  <si>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</si>
  <si>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</si>
  <si>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</si>
  <si>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</si>
  <si>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</si>
  <si>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</si>
  <si>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</si>
  <si>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</si>
  <si>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</si>
  <si>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</si>
  <si>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</si>
  <si>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</si>
  <si>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</si>
  <si>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</si>
  <si>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</si>
  <si>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</si>
  <si>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</si>
  <si>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</si>
  <si>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</si>
  <si>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</si>
  <si>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</si>
  <si>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</si>
  <si>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</si>
  <si>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</si>
  <si>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</si>
  <si>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</si>
  <si>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</si>
  <si>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</si>
  <si>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</si>
  <si>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</si>
  <si>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</si>
  <si>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</si>
  <si>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</si>
  <si>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</si>
  <si>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</si>
  <si>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</si>
  <si>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</si>
  <si>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</si>
  <si>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</si>
  <si>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</si>
  <si>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</si>
  <si>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</si>
  <si>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</si>
  <si>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</si>
  <si>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</si>
  <si>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</si>
  <si>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</si>
  <si>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</si>
  <si>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</si>
  <si>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</si>
  <si>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</si>
  <si>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</si>
  <si>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</si>
  <si>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</si>
  <si>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</si>
  <si>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</si>
  <si>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</si>
  <si>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</si>
  <si>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</si>
  <si>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</si>
  <si>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</si>
  <si>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</si>
  <si>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</si>
  <si>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</si>
  <si>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</si>
  <si>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</si>
  <si>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</si>
  <si>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</si>
  <si>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</si>
  <si>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</si>
  <si>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</si>
  <si>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</si>
  <si>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</si>
  <si>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</si>
  <si>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</si>
  <si>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</si>
  <si>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</si>
  <si>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</si>
  <si>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</si>
  <si>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</si>
  <si>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</si>
  <si>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</si>
  <si>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</si>
  <si>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</si>
  <si>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</si>
  <si>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</si>
  <si>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</si>
  <si>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</si>
  <si>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</si>
  <si>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</si>
  <si>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</si>
  <si>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</si>
  <si>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</si>
  <si>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</si>
  <si>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</si>
  <si>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</si>
  <si>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</si>
  <si>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</si>
  <si>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</si>
  <si>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</si>
  <si>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</si>
  <si>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</si>
  <si>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</si>
  <si>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</si>
  <si>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</si>
  <si>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</si>
  <si>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</si>
  <si>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</si>
  <si>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</si>
  <si>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</si>
  <si>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</si>
  <si>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</si>
  <si>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</si>
  <si>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</si>
  <si>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</si>
  <si>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</si>
  <si>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</si>
  <si>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</si>
  <si>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</si>
  <si>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</si>
  <si>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</si>
  <si>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</si>
  <si>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</si>
  <si>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</si>
  <si>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</si>
  <si>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</si>
  <si>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</si>
  <si>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</si>
  <si>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</si>
  <si>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</si>
  <si>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</si>
  <si>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</si>
  <si>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</si>
  <si>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</si>
  <si>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</si>
  <si>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</si>
  <si>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</si>
  <si>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</si>
  <si>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</si>
  <si>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</si>
  <si>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</si>
  <si>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</si>
  <si>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</si>
  <si>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</si>
  <si>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</si>
  <si>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</si>
  <si>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</si>
  <si>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</si>
  <si>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</si>
  <si>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</si>
  <si>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</si>
  <si>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</si>
  <si>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</si>
  <si>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</si>
  <si>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</si>
  <si>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</si>
  <si>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</si>
  <si>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</si>
  <si>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</si>
  <si>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</si>
  <si>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</si>
  <si>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</si>
  <si>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</si>
  <si>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</si>
  <si>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</si>
  <si>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</si>
  <si>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</si>
  <si>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</si>
  <si>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</si>
  <si>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</si>
  <si>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</si>
  <si>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</si>
  <si>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</si>
  <si>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</si>
  <si>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</si>
  <si>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</si>
  <si>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</si>
  <si>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</si>
  <si>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</si>
  <si>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</si>
  <si>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</si>
  <si>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</si>
  <si>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</si>
  <si>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</si>
  <si>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</si>
  <si>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</si>
  <si>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</si>
  <si>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</si>
  <si>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</si>
  <si>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</si>
  <si>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</si>
  <si>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</si>
  <si>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</si>
  <si>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</si>
  <si>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</si>
  <si>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</si>
  <si>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</si>
  <si>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</si>
  <si>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</si>
  <si>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</si>
  <si>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</si>
  <si>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</si>
  <si>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</si>
  <si>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</si>
  <si>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</si>
  <si>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</si>
  <si>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</si>
  <si>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</si>
  <si>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</si>
  <si>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</si>
  <si>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</si>
  <si>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</si>
  <si>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</si>
  <si>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</si>
  <si>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</si>
  <si>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</si>
  <si>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</si>
  <si>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</si>
  <si>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</si>
  <si>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</si>
  <si>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</si>
  <si>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</si>
  <si>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</si>
  <si>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</si>
  <si>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</si>
  <si>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</si>
  <si>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</si>
  <si>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</si>
  <si>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</si>
  <si>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</si>
  <si>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</si>
  <si>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</si>
  <si>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</si>
  <si>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</si>
  <si>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</si>
  <si>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</si>
  <si>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</si>
  <si>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</si>
  <si>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</si>
  <si>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</si>
  <si>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</si>
  <si>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</si>
  <si>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</si>
  <si>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</si>
  <si>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</si>
  <si>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</si>
  <si>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</si>
  <si>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</si>
  <si>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</si>
  <si>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</si>
  <si>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</si>
  <si>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</si>
  <si>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</si>
  <si>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</si>
  <si>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</si>
  <si>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</si>
  <si>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</si>
  <si>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</si>
  <si>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</si>
  <si>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</si>
  <si>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</si>
  <si>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</si>
  <si>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</si>
  <si>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</si>
  <si>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</si>
  <si>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</si>
  <si>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</si>
  <si>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</si>
  <si>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</si>
  <si>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</si>
  <si>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</si>
  <si>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</si>
  <si>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</si>
  <si>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</si>
  <si>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</si>
  <si>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</si>
  <si>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</si>
  <si>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</si>
  <si>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</si>
  <si>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</si>
  <si>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</si>
  <si>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</si>
  <si>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</si>
  <si>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</si>
  <si>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</si>
  <si>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</si>
  <si>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</si>
  <si>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</si>
  <si>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</si>
  <si>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</si>
  <si>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</si>
  <si>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</si>
  <si>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</si>
  <si>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</si>
  <si>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</si>
  <si>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</si>
  <si>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</si>
  <si>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</si>
  <si>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</si>
  <si>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</si>
  <si>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</si>
  <si>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</si>
  <si>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</si>
  <si>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</si>
  <si>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</si>
  <si>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</si>
  <si>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</si>
  <si>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</si>
  <si>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</si>
  <si>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</si>
  <si>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</si>
  <si>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</si>
  <si>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</si>
  <si>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</si>
  <si>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</si>
  <si>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</si>
  <si>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</si>
  <si>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</si>
  <si>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</si>
  <si>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</si>
  <si>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</si>
  <si>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</si>
  <si>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</si>
  <si>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</si>
  <si>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</si>
  <si>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</si>
  <si>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</si>
  <si>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</si>
  <si>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</si>
  <si>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</si>
  <si>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</si>
  <si>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</si>
  <si>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</si>
  <si>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</si>
  <si>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</si>
  <si>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</si>
  <si>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</si>
  <si>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</si>
  <si>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</si>
  <si>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</si>
  <si>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</si>
  <si>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</si>
  <si>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</si>
  <si>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</si>
  <si>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</si>
  <si>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</si>
  <si>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</si>
  <si>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</si>
  <si>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</si>
  <si>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</si>
  <si>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</si>
  <si>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</si>
  <si>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</si>
  <si>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</si>
  <si>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</si>
  <si>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</si>
  <si>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</si>
  <si>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</si>
  <si>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</si>
  <si>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</si>
  <si>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</si>
  <si>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</si>
  <si>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</si>
  <si>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</si>
  <si>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</si>
  <si>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</si>
  <si>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</si>
  <si>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</si>
  <si>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</si>
  <si>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</si>
  <si>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</si>
  <si>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</si>
  <si>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</si>
  <si>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</si>
  <si>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</si>
  <si>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</si>
  <si>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</si>
  <si>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</si>
  <si>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</si>
  <si>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Orange 702, L.P.</t>
  </si>
  <si>
    <t>The Orion</t>
  </si>
  <si>
    <t>USA Orange 702, Inc.</t>
  </si>
  <si>
    <t>Administrative GP</t>
  </si>
  <si>
    <t>Riverside Charitable Corporation</t>
  </si>
  <si>
    <t>Managing GP</t>
  </si>
  <si>
    <t>USA Properties Fund, Inc.</t>
  </si>
  <si>
    <t>14131 Yorba Street, Suite 204</t>
  </si>
  <si>
    <t xml:space="preserve">Tustin </t>
  </si>
  <si>
    <t>CA</t>
  </si>
  <si>
    <t>Kenneth S. Robertson</t>
  </si>
  <si>
    <t>Not Applicable</t>
  </si>
  <si>
    <t>3200 Douglas Blvd, Suite 200</t>
  </si>
  <si>
    <t>Roseville</t>
  </si>
  <si>
    <t>May</t>
  </si>
  <si>
    <t>, 2023 at</t>
  </si>
  <si>
    <t>Darren Bobrowsky</t>
  </si>
  <si>
    <t>Vice President</t>
  </si>
  <si>
    <t>Tom Kisela (Interim City Manager)</t>
  </si>
  <si>
    <t>300 E. Chapman Avenue</t>
  </si>
  <si>
    <t>cminfo@cityoforange.org</t>
  </si>
  <si>
    <t>1800 East La Veta</t>
  </si>
  <si>
    <t>390-322-15</t>
  </si>
  <si>
    <t>40%/60% Average Income</t>
  </si>
  <si>
    <t>dbobrowsky@usapropfund.com</t>
  </si>
  <si>
    <t>Parent Company</t>
  </si>
  <si>
    <t>3200 Douglas Blvd., Suite 200</t>
  </si>
  <si>
    <t>Roseville, CA 95661</t>
  </si>
  <si>
    <t>AO Architects</t>
  </si>
  <si>
    <t>144 N. Orange Street</t>
  </si>
  <si>
    <t>Orange, CA 92866</t>
  </si>
  <si>
    <t>Ed Wu</t>
  </si>
  <si>
    <t>edwardw@aoarchitects.com</t>
  </si>
  <si>
    <t>Bocarsly Emden Cowan Esmail &amp; Arndt LLP</t>
  </si>
  <si>
    <t>633 West Fifth Street, 64th Floor</t>
  </si>
  <si>
    <t>Los Angeles, CA  90071</t>
  </si>
  <si>
    <t>Kyle Arndt</t>
  </si>
  <si>
    <t>karndt@bocarsly.com</t>
  </si>
  <si>
    <t>USA Construction Management, Inc.</t>
  </si>
  <si>
    <t>Roseville, CA  95661</t>
  </si>
  <si>
    <t>Antonio Piscitello</t>
  </si>
  <si>
    <t>tpiscitello@usapropfund.com</t>
  </si>
  <si>
    <t>Novogradac &amp; Company LLP</t>
  </si>
  <si>
    <t>1160 Battery Street, East Bldg, 4th Floor</t>
  </si>
  <si>
    <t>San Francisco, CA 94111</t>
  </si>
  <si>
    <t>Mike Morrison</t>
  </si>
  <si>
    <t>(415) 356-8025</t>
  </si>
  <si>
    <t>mike.morrison@novoco.com</t>
  </si>
  <si>
    <t>Kinetic Valuation Group</t>
  </si>
  <si>
    <t>3901 S 147th Street, Suite144</t>
  </si>
  <si>
    <t>Omaha, NE 68144</t>
  </si>
  <si>
    <t>Jay Wortmann</t>
  </si>
  <si>
    <t>jay@kvgteam.com</t>
  </si>
  <si>
    <t>California Municipal Finance Authority</t>
  </si>
  <si>
    <t>Carlsbad, CA 92011</t>
  </si>
  <si>
    <t>John P. Stoecker</t>
  </si>
  <si>
    <t>jstoecker@cmfa-ca.com</t>
  </si>
  <si>
    <t>17782 Sky Park Circle</t>
  </si>
  <si>
    <t>Irvine, CA  92614</t>
  </si>
  <si>
    <t>Jessica Captanis</t>
  </si>
  <si>
    <t>Jcaptanis@wncinc.com</t>
  </si>
  <si>
    <t>2111 Palomar Airport Rd., Suite 320</t>
  </si>
  <si>
    <t>USA Multifamily Management, Inc.</t>
  </si>
  <si>
    <t>April Atkinson</t>
  </si>
  <si>
    <t>aatkinson@usapropfund.com</t>
  </si>
  <si>
    <t>Three (3) buildings which are 3-4 stories in height.</t>
  </si>
  <si>
    <t xml:space="preserve">Medium Density Residential	</t>
  </si>
  <si>
    <t>R3- 24 DU/AC</t>
  </si>
  <si>
    <t>32' or 2 Stories</t>
  </si>
  <si>
    <t>2.10 City/ .50 Density Bonus Law</t>
  </si>
  <si>
    <t>Air Conditioning</t>
  </si>
  <si>
    <t>Orange County Housing Authority</t>
  </si>
  <si>
    <t>Other (Specify below)</t>
  </si>
  <si>
    <t>Other: (Construction Inspection)</t>
  </si>
  <si>
    <t>Other: (Int prior to Conversion)</t>
  </si>
  <si>
    <t>Other: (Development Expense)</t>
  </si>
  <si>
    <t>Recycled Tax-Exempt Bonds</t>
  </si>
  <si>
    <t>USA Multi-Family Development, Inc.</t>
  </si>
  <si>
    <t>WNC - Solar Credits</t>
  </si>
  <si>
    <t>Citibank, N.A.</t>
  </si>
  <si>
    <t>NOI During Construction</t>
  </si>
  <si>
    <t>Geoffrey C. Brown</t>
  </si>
  <si>
    <t>Income during construction</t>
  </si>
  <si>
    <t>(949) 439-2616</t>
  </si>
  <si>
    <t>Irvine</t>
  </si>
  <si>
    <t>325 E. Hillcrest, Suite 160</t>
  </si>
  <si>
    <t>Thousand Oaks</t>
  </si>
  <si>
    <t>Mike Hemmens</t>
  </si>
  <si>
    <t>Tax Exempt Bonds</t>
  </si>
  <si>
    <t>14131 Yorba St.</t>
  </si>
  <si>
    <t>Tustin</t>
  </si>
  <si>
    <t>Loan</t>
  </si>
  <si>
    <t>Solar Tax Credit</t>
  </si>
  <si>
    <t>Deferred Costs</t>
  </si>
  <si>
    <t>Variable</t>
  </si>
  <si>
    <t>Tax Exempt Recyled Bonds</t>
  </si>
  <si>
    <t>Deferred Fees</t>
  </si>
  <si>
    <t>Fixed</t>
  </si>
  <si>
    <t>App, Cable, Other</t>
  </si>
  <si>
    <t>Ethan Torbati</t>
  </si>
  <si>
    <t>1114 Avenue of the Americas FL 39</t>
  </si>
  <si>
    <t>New York</t>
  </si>
  <si>
    <t>19th</t>
  </si>
  <si>
    <t>City of Orange</t>
  </si>
  <si>
    <t>Recinda Shafer</t>
  </si>
  <si>
    <t>recinda@riversidecharitable.org</t>
  </si>
  <si>
    <t xml:space="preserve">WNC &amp; Associates </t>
  </si>
  <si>
    <t>WNC &amp; Associates</t>
  </si>
  <si>
    <t>Tax Credits</t>
  </si>
  <si>
    <t>USA Multi-Family Development, Inc</t>
  </si>
  <si>
    <t>Provided</t>
  </si>
  <si>
    <t>Secured by Leasehold Interest</t>
  </si>
  <si>
    <t>Safehold,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</si>
</sst>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4">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43" fontId="22" fillId="0" borderId="0" xfId="4504" applyFont="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5" borderId="6" xfId="0" applyFont="1" applyFill="1" applyBorder="1" applyAlignment="1" applyProtection="1">
      <alignment horizontal="left"/>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0" fontId="20" fillId="0" borderId="11" xfId="0" applyFont="1" applyBorder="1" applyAlignment="1">
      <alignment horizontal="center" vertical="center"/>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4" fillId="5" borderId="4" xfId="244"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0"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3" fillId="0" borderId="0" xfId="543" applyNumberFormat="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5" borderId="6" xfId="0" applyFont="1" applyFill="1" applyBorder="1" applyAlignment="1" applyProtection="1">
      <alignment horizontal="center"/>
      <protection locked="0"/>
    </xf>
    <xf numFmtId="0" fontId="22" fillId="5" borderId="6" xfId="271" applyFill="1" applyBorder="1" applyProtection="1">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2" fontId="0" fillId="0" borderId="6" xfId="0" applyNumberForma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0" fontId="22" fillId="0" borderId="0" xfId="0" applyFont="1" applyAlignment="1">
      <alignment horizontal="left" vertical="top" wrapText="1"/>
    </xf>
    <xf numFmtId="175" fontId="0" fillId="5" borderId="4" xfId="0" applyNumberFormat="1" applyFill="1" applyBorder="1" applyAlignment="1" applyProtection="1">
      <alignment horizontal="left" vertical="center" wrapText="1"/>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168" fontId="0" fillId="43" borderId="6" xfId="0" applyNumberFormat="1" applyFill="1" applyBorder="1" applyAlignment="1" applyProtection="1">
      <alignment horizontal="righ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20" fillId="0" borderId="6" xfId="0" applyFont="1" applyBorder="1" applyAlignment="1">
      <alignment horizontal="right"/>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0" xfId="0" applyFont="1" applyAlignment="1">
      <alignment horizontal="center" vertical="center"/>
    </xf>
    <xf numFmtId="0" fontId="20" fillId="0" borderId="9" xfId="0" applyFont="1" applyBorder="1" applyAlignment="1">
      <alignment horizontal="right"/>
    </xf>
    <xf numFmtId="0" fontId="20" fillId="0" borderId="10" xfId="0" applyFont="1" applyBorder="1" applyAlignment="1">
      <alignment horizontal="right"/>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22" fillId="0" borderId="11" xfId="0" applyNumberFormat="1" applyFont="1" applyBorder="1" applyAlignment="1">
      <alignment horizontal="center"/>
    </xf>
    <xf numFmtId="3" fontId="13" fillId="5" borderId="11" xfId="0" applyNumberFormat="1" applyFon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10"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4" xr:uid="{E6A3A865-2160-4AA1-B63D-5ED0B1335281}"/>
    <cellStyle name="20% - Accent1 11" xfId="8726" xr:uid="{6DCA4287-9671-428E-BAA1-D5FB6410D9EE}"/>
    <cellStyle name="20% - Accent1 2" xfId="2" xr:uid="{00000000-0005-0000-0000-000002000000}"/>
    <cellStyle name="20% - Accent1 2 10" xfId="8727" xr:uid="{941AE4E4-D83B-48A9-BF0E-7587A8C51F31}"/>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DB5E8D27-CC20-413A-A91E-D828A4193AE5}"/>
    <cellStyle name="20% - Accent1 2 2 2 2 2 3" xfId="11288" xr:uid="{E9924B10-5E37-40CB-A406-77A74C0A65AB}"/>
    <cellStyle name="20% - Accent1 2 2 2 2 3" xfId="4922" xr:uid="{00000000-0005-0000-0000-000008000000}"/>
    <cellStyle name="20% - Accent1 2 2 2 2 3 2" xfId="13361" xr:uid="{AC357760-A6D3-4051-9A2B-8ECCDF94DCC3}"/>
    <cellStyle name="20% - Accent1 2 2 2 2 4" xfId="9143" xr:uid="{DB0FF439-D7C3-4439-BF74-ED21525A3794}"/>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F0485DAE-F863-4F20-B3E0-501C91715B35}"/>
    <cellStyle name="20% - Accent1 2 2 2 3 2 3" xfId="11701" xr:uid="{1E47D8D9-ED4D-4036-A13A-6800B5601032}"/>
    <cellStyle name="20% - Accent1 2 2 2 3 3" xfId="5335" xr:uid="{00000000-0005-0000-0000-00000C000000}"/>
    <cellStyle name="20% - Accent1 2 2 2 3 3 2" xfId="13774" xr:uid="{CB9EEBE4-EE6B-4F46-97D3-794B02716CA4}"/>
    <cellStyle name="20% - Accent1 2 2 2 3 4" xfId="9556" xr:uid="{4991A9A6-3B52-4EFD-9114-464C3B8A046F}"/>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664E6105-D0B4-49CB-B623-D744460EAEDE}"/>
    <cellStyle name="20% - Accent1 2 2 2 4 2 3" xfId="12114" xr:uid="{EBD54543-7247-4C94-9675-43DAF6C7F6E4}"/>
    <cellStyle name="20% - Accent1 2 2 2 4 3" xfId="5748" xr:uid="{00000000-0005-0000-0000-000010000000}"/>
    <cellStyle name="20% - Accent1 2 2 2 4 3 2" xfId="14187" xr:uid="{FC109C8B-CEDD-4C1E-A1EE-ECB1C00EFCEC}"/>
    <cellStyle name="20% - Accent1 2 2 2 4 4" xfId="9969" xr:uid="{9B6C6E47-4124-44AB-BEBE-CB4AE34AA685}"/>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71D510FC-E19B-46F2-AC72-865F8F0C7793}"/>
    <cellStyle name="20% - Accent1 2 2 2 5 2 3" xfId="12527" xr:uid="{B8773C88-8FBF-4A62-83F9-172DC65462C0}"/>
    <cellStyle name="20% - Accent1 2 2 2 5 3" xfId="6161" xr:uid="{00000000-0005-0000-0000-000014000000}"/>
    <cellStyle name="20% - Accent1 2 2 2 5 3 2" xfId="14600" xr:uid="{8BE0DFF0-3DFF-4413-8B49-ADFDF1A41FCC}"/>
    <cellStyle name="20% - Accent1 2 2 2 5 4" xfId="10382" xr:uid="{607FA85A-997F-42EC-AAB8-697C44258C03}"/>
    <cellStyle name="20% - Accent1 2 2 2 6" xfId="2267" xr:uid="{00000000-0005-0000-0000-000015000000}"/>
    <cellStyle name="20% - Accent1 2 2 2 6 2" xfId="6574" xr:uid="{00000000-0005-0000-0000-000016000000}"/>
    <cellStyle name="20% - Accent1 2 2 2 6 2 2" xfId="15013" xr:uid="{986F8EDF-5A60-4CF7-B02F-6B165CC26BFC}"/>
    <cellStyle name="20% - Accent1 2 2 2 6 3" xfId="10795" xr:uid="{75F845E5-0942-43A0-8D96-10BB4585505C}"/>
    <cellStyle name="20% - Accent1 2 2 2 7" xfId="4508" xr:uid="{00000000-0005-0000-0000-000017000000}"/>
    <cellStyle name="20% - Accent1 2 2 2 7 2" xfId="12947" xr:uid="{DF123085-8872-49C4-89B0-72B50562F9C9}"/>
    <cellStyle name="20% - Accent1 2 2 2 8" xfId="8729" xr:uid="{A704BB1F-D2D6-42CF-966F-2E03DC4CA62A}"/>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D8CC38BC-C879-4DE5-82A4-75CD1343F9B8}"/>
    <cellStyle name="20% - Accent1 2 2 3 2 3" xfId="11287" xr:uid="{1D38DD5D-0DDF-4F44-8361-196AFF41C582}"/>
    <cellStyle name="20% - Accent1 2 2 3 3" xfId="4921" xr:uid="{00000000-0005-0000-0000-00001B000000}"/>
    <cellStyle name="20% - Accent1 2 2 3 3 2" xfId="13360" xr:uid="{B0D65898-ACA4-4E63-8E4A-542B5D065BC0}"/>
    <cellStyle name="20% - Accent1 2 2 3 4" xfId="9142" xr:uid="{D2C5B909-193D-4AAC-A633-355C1820F39A}"/>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31476E00-26A0-49A0-9D71-33CBD021B42E}"/>
    <cellStyle name="20% - Accent1 2 2 4 2 3" xfId="11700" xr:uid="{DA19F9FB-7306-4D67-9B87-1E8752C07A6D}"/>
    <cellStyle name="20% - Accent1 2 2 4 3" xfId="5334" xr:uid="{00000000-0005-0000-0000-00001F000000}"/>
    <cellStyle name="20% - Accent1 2 2 4 3 2" xfId="13773" xr:uid="{7E717C56-EB6F-4487-9AFF-D2DFC3BBE006}"/>
    <cellStyle name="20% - Accent1 2 2 4 4" xfId="9555" xr:uid="{D102A53B-C149-4E21-87D8-098D4197785B}"/>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46F05AA5-08A9-4B1A-A41E-4A4B8FA54B57}"/>
    <cellStyle name="20% - Accent1 2 2 5 2 3" xfId="12113" xr:uid="{FF61027C-E460-480B-80B0-75C43A1DC684}"/>
    <cellStyle name="20% - Accent1 2 2 5 3" xfId="5747" xr:uid="{00000000-0005-0000-0000-000023000000}"/>
    <cellStyle name="20% - Accent1 2 2 5 3 2" xfId="14186" xr:uid="{883E5BE7-B537-4069-8DFA-349015B50DFB}"/>
    <cellStyle name="20% - Accent1 2 2 5 4" xfId="9968" xr:uid="{C3DCE7C6-001F-4974-9AB7-25433CAF11D1}"/>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C21835BF-08E1-4AFE-8A81-5D6570913894}"/>
    <cellStyle name="20% - Accent1 2 2 6 2 3" xfId="12526" xr:uid="{5304E482-6B50-4CD7-97E2-180B652546F9}"/>
    <cellStyle name="20% - Accent1 2 2 6 3" xfId="6160" xr:uid="{00000000-0005-0000-0000-000027000000}"/>
    <cellStyle name="20% - Accent1 2 2 6 3 2" xfId="14599" xr:uid="{F10B92C8-887D-46AD-AF7C-F3978EF1C397}"/>
    <cellStyle name="20% - Accent1 2 2 6 4" xfId="10381" xr:uid="{7248D773-450C-4C7A-A8C6-3C9B9CAA5F07}"/>
    <cellStyle name="20% - Accent1 2 2 7" xfId="2266" xr:uid="{00000000-0005-0000-0000-000028000000}"/>
    <cellStyle name="20% - Accent1 2 2 7 2" xfId="6573" xr:uid="{00000000-0005-0000-0000-000029000000}"/>
    <cellStyle name="20% - Accent1 2 2 7 2 2" xfId="15012" xr:uid="{EC962675-4762-4E94-8D09-6713B6E5021D}"/>
    <cellStyle name="20% - Accent1 2 2 7 3" xfId="10794" xr:uid="{8FBC923C-BBC4-45C8-A092-2ABF3E1925F7}"/>
    <cellStyle name="20% - Accent1 2 2 8" xfId="4507" xr:uid="{00000000-0005-0000-0000-00002A000000}"/>
    <cellStyle name="20% - Accent1 2 2 8 2" xfId="12946" xr:uid="{7C634747-5D29-46C4-A46A-D3C309AAC6BD}"/>
    <cellStyle name="20% - Accent1 2 2 9" xfId="8728" xr:uid="{E14D27BC-30CA-44E7-A957-A19D405CF5E8}"/>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F3EADD1E-8FDA-4333-9FD2-A79CF5C1068E}"/>
    <cellStyle name="20% - Accent1 2 3 2 2 3" xfId="11289" xr:uid="{2D3C1DB7-7A96-44E7-97F5-ABBF92818ADA}"/>
    <cellStyle name="20% - Accent1 2 3 2 3" xfId="4923" xr:uid="{00000000-0005-0000-0000-00002F000000}"/>
    <cellStyle name="20% - Accent1 2 3 2 3 2" xfId="13362" xr:uid="{BAD293EC-81DD-4D80-B43B-7997FCCE732E}"/>
    <cellStyle name="20% - Accent1 2 3 2 4" xfId="9144" xr:uid="{FDC579EE-230A-4BA4-A05D-E30421CA5F2B}"/>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6BD71DC0-1151-4BA8-B675-E4DAEE55F16A}"/>
    <cellStyle name="20% - Accent1 2 3 3 2 3" xfId="11702" xr:uid="{D10C4098-7E52-46E8-8130-943ACB6B0EB9}"/>
    <cellStyle name="20% - Accent1 2 3 3 3" xfId="5336" xr:uid="{00000000-0005-0000-0000-000033000000}"/>
    <cellStyle name="20% - Accent1 2 3 3 3 2" xfId="13775" xr:uid="{79D5F7F4-AED2-4EDB-AE9B-77930CF14490}"/>
    <cellStyle name="20% - Accent1 2 3 3 4" xfId="9557" xr:uid="{14D42226-C73F-462B-993A-936A1E97BFEF}"/>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2AFEFA17-327B-40DB-BF54-07C069E2EFE6}"/>
    <cellStyle name="20% - Accent1 2 3 4 2 3" xfId="12115" xr:uid="{F18F5702-2386-45CC-9FFD-E6BEDBA6F9C8}"/>
    <cellStyle name="20% - Accent1 2 3 4 3" xfId="5749" xr:uid="{00000000-0005-0000-0000-000037000000}"/>
    <cellStyle name="20% - Accent1 2 3 4 3 2" xfId="14188" xr:uid="{45911B72-3745-42C3-8FE0-3BFB67A21F12}"/>
    <cellStyle name="20% - Accent1 2 3 4 4" xfId="9970" xr:uid="{4A0AF936-6A7B-4DB4-807C-D012A2B6EBB6}"/>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98553003-6572-41CB-A58C-E53BB0679F11}"/>
    <cellStyle name="20% - Accent1 2 3 5 2 3" xfId="12528" xr:uid="{9248C278-14E8-49FE-9883-61A8203717DF}"/>
    <cellStyle name="20% - Accent1 2 3 5 3" xfId="6162" xr:uid="{00000000-0005-0000-0000-00003B000000}"/>
    <cellStyle name="20% - Accent1 2 3 5 3 2" xfId="14601" xr:uid="{D58EAEC7-3321-4DF0-9C2C-C4615BDFAC20}"/>
    <cellStyle name="20% - Accent1 2 3 5 4" xfId="10383" xr:uid="{C51FFDAE-5E51-408A-AAE7-337CC10C9110}"/>
    <cellStyle name="20% - Accent1 2 3 6" xfId="2268" xr:uid="{00000000-0005-0000-0000-00003C000000}"/>
    <cellStyle name="20% - Accent1 2 3 6 2" xfId="6575" xr:uid="{00000000-0005-0000-0000-00003D000000}"/>
    <cellStyle name="20% - Accent1 2 3 6 2 2" xfId="15014" xr:uid="{C140AA0B-B909-4A01-B7AA-C5C8117DADA7}"/>
    <cellStyle name="20% - Accent1 2 3 6 3" xfId="10796" xr:uid="{C02F8C4D-5D44-46FA-AC2D-84D6803691FE}"/>
    <cellStyle name="20% - Accent1 2 3 7" xfId="4509" xr:uid="{00000000-0005-0000-0000-00003E000000}"/>
    <cellStyle name="20% - Accent1 2 3 7 2" xfId="12948" xr:uid="{33EFB406-CC5D-405B-A68A-68E9D1CC74C4}"/>
    <cellStyle name="20% - Accent1 2 3 8" xfId="8730" xr:uid="{DBA6159C-61CE-4CD5-A78D-D5DB2A17D801}"/>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BEC053FC-8C81-4DA4-8D39-DFC9124BC7EB}"/>
    <cellStyle name="20% - Accent1 2 4 2 3" xfId="11286" xr:uid="{866F6639-17CA-4D82-AB18-1566CB52F4AF}"/>
    <cellStyle name="20% - Accent1 2 4 3" xfId="4920" xr:uid="{00000000-0005-0000-0000-000042000000}"/>
    <cellStyle name="20% - Accent1 2 4 3 2" xfId="13359" xr:uid="{B11E67B6-700A-4BD4-9A4A-B1CAF8BCD244}"/>
    <cellStyle name="20% - Accent1 2 4 4" xfId="9141" xr:uid="{2156C43B-0E8B-488B-A441-5DC1D0AA12CA}"/>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02168A57-30F0-4D30-84DF-2FECC8CD8F35}"/>
    <cellStyle name="20% - Accent1 2 5 2 3" xfId="11699" xr:uid="{26BE267A-C5A3-4AAB-A730-3B9B5C465340}"/>
    <cellStyle name="20% - Accent1 2 5 3" xfId="5333" xr:uid="{00000000-0005-0000-0000-000046000000}"/>
    <cellStyle name="20% - Accent1 2 5 3 2" xfId="13772" xr:uid="{2C11EAF1-FEC0-40E9-AD47-EB262101C812}"/>
    <cellStyle name="20% - Accent1 2 5 4" xfId="9554" xr:uid="{909C0C2E-82E8-4820-A986-592B5CB9CE3A}"/>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F72E6033-E0FA-4106-B177-8A6899A7643A}"/>
    <cellStyle name="20% - Accent1 2 6 2 3" xfId="12112" xr:uid="{8685BAEC-A3F5-4F57-940A-6A7A8F77D918}"/>
    <cellStyle name="20% - Accent1 2 6 3" xfId="5746" xr:uid="{00000000-0005-0000-0000-00004A000000}"/>
    <cellStyle name="20% - Accent1 2 6 3 2" xfId="14185" xr:uid="{6798147A-957E-4F47-8624-AC45D2D4E543}"/>
    <cellStyle name="20% - Accent1 2 6 4" xfId="9967" xr:uid="{C1A816A4-F9F1-4BC3-A76E-BAD272A7BCCC}"/>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ECA64E22-5756-4F4C-B82F-27844F99BB0C}"/>
    <cellStyle name="20% - Accent1 2 7 2 3" xfId="12525" xr:uid="{E9FBA2F2-63B8-480F-B529-DF1234FD3C96}"/>
    <cellStyle name="20% - Accent1 2 7 3" xfId="6159" xr:uid="{00000000-0005-0000-0000-00004E000000}"/>
    <cellStyle name="20% - Accent1 2 7 3 2" xfId="14598" xr:uid="{095ED097-DDCD-46EF-9D17-E89C18E39048}"/>
    <cellStyle name="20% - Accent1 2 7 4" xfId="10380" xr:uid="{AF923989-7004-4515-B7B5-331EED5A1E69}"/>
    <cellStyle name="20% - Accent1 2 8" xfId="2265" xr:uid="{00000000-0005-0000-0000-00004F000000}"/>
    <cellStyle name="20% - Accent1 2 8 2" xfId="6572" xr:uid="{00000000-0005-0000-0000-000050000000}"/>
    <cellStyle name="20% - Accent1 2 8 2 2" xfId="15011" xr:uid="{01B12EDE-1135-41A3-9D63-089F41E71521}"/>
    <cellStyle name="20% - Accent1 2 8 3" xfId="10793" xr:uid="{C8E06E3B-C579-45AE-8889-70F61566E9CE}"/>
    <cellStyle name="20% - Accent1 2 9" xfId="4506" xr:uid="{00000000-0005-0000-0000-000051000000}"/>
    <cellStyle name="20% - Accent1 2 9 2" xfId="12945" xr:uid="{FC4FDA79-7B28-45C5-854D-1E97C6F7BAB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A1DFB244-06DB-4E21-B4AF-644F7B064476}"/>
    <cellStyle name="20% - Accent1 3 2 2 2 3" xfId="11291" xr:uid="{42849BDF-7E09-410D-8532-31CC77D79662}"/>
    <cellStyle name="20% - Accent1 3 2 2 3" xfId="4925" xr:uid="{00000000-0005-0000-0000-000057000000}"/>
    <cellStyle name="20% - Accent1 3 2 2 3 2" xfId="13364" xr:uid="{8F494B46-3808-4E26-8D53-1D9853C8524E}"/>
    <cellStyle name="20% - Accent1 3 2 2 4" xfId="9146" xr:uid="{A55B2675-BE75-47AB-A68D-63BB43A8A938}"/>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36BF2A30-439D-43E3-9AC8-BE28E0C7810E}"/>
    <cellStyle name="20% - Accent1 3 2 3 2 3" xfId="11704" xr:uid="{BE73CF18-CFE4-4DEA-860E-A9B20527180B}"/>
    <cellStyle name="20% - Accent1 3 2 3 3" xfId="5338" xr:uid="{00000000-0005-0000-0000-00005B000000}"/>
    <cellStyle name="20% - Accent1 3 2 3 3 2" xfId="13777" xr:uid="{C713CAFC-9B6B-4F16-8536-5A3B646299AF}"/>
    <cellStyle name="20% - Accent1 3 2 3 4" xfId="9559" xr:uid="{2E188906-A684-4E7B-8F84-EBA81B60F909}"/>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2B15E85B-51EE-4A3C-922B-026B0D3D0CD6}"/>
    <cellStyle name="20% - Accent1 3 2 4 2 3" xfId="12117" xr:uid="{7405772B-9258-47FB-970F-F460B8A7EDD9}"/>
    <cellStyle name="20% - Accent1 3 2 4 3" xfId="5751" xr:uid="{00000000-0005-0000-0000-00005F000000}"/>
    <cellStyle name="20% - Accent1 3 2 4 3 2" xfId="14190" xr:uid="{251582DE-A819-46F6-9F29-D32E60A1C2ED}"/>
    <cellStyle name="20% - Accent1 3 2 4 4" xfId="9972" xr:uid="{84DB95D4-5D68-4417-8DDD-A2F6FB5DE316}"/>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DD35B656-C6C5-40FB-9F2F-581A600C7003}"/>
    <cellStyle name="20% - Accent1 3 2 5 2 3" xfId="12530" xr:uid="{E8199ABA-7822-4C99-8A1A-7B434D3D5475}"/>
    <cellStyle name="20% - Accent1 3 2 5 3" xfId="6164" xr:uid="{00000000-0005-0000-0000-000063000000}"/>
    <cellStyle name="20% - Accent1 3 2 5 3 2" xfId="14603" xr:uid="{F2AF36E5-81EB-4BA3-B14B-92F86331E8D1}"/>
    <cellStyle name="20% - Accent1 3 2 5 4" xfId="10385" xr:uid="{9E4C2D85-7405-4500-8E6E-04B6EE08DB96}"/>
    <cellStyle name="20% - Accent1 3 2 6" xfId="2270" xr:uid="{00000000-0005-0000-0000-000064000000}"/>
    <cellStyle name="20% - Accent1 3 2 6 2" xfId="6577" xr:uid="{00000000-0005-0000-0000-000065000000}"/>
    <cellStyle name="20% - Accent1 3 2 6 2 2" xfId="15016" xr:uid="{D37E4605-F5D9-4D95-94C9-EE2476AE2EC8}"/>
    <cellStyle name="20% - Accent1 3 2 6 3" xfId="10798" xr:uid="{8504142A-945A-468F-8A0E-502C4E25DE02}"/>
    <cellStyle name="20% - Accent1 3 2 7" xfId="4511" xr:uid="{00000000-0005-0000-0000-000066000000}"/>
    <cellStyle name="20% - Accent1 3 2 7 2" xfId="12950" xr:uid="{F1CF5AE3-1BD3-40A5-8328-B92CC8AABAD1}"/>
    <cellStyle name="20% - Accent1 3 2 8" xfId="8732" xr:uid="{CA5D6E14-1494-479D-BB0D-E2B25BFAB1B3}"/>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0221CCB9-669A-4FE4-B666-4AA9247D0B17}"/>
    <cellStyle name="20% - Accent1 3 3 2 3" xfId="11290" xr:uid="{84FFC87E-7865-46FA-BFFF-66CB9014C68A}"/>
    <cellStyle name="20% - Accent1 3 3 3" xfId="4924" xr:uid="{00000000-0005-0000-0000-00006A000000}"/>
    <cellStyle name="20% - Accent1 3 3 3 2" xfId="13363" xr:uid="{BA965C84-F2D8-4E91-866C-0E71350A451B}"/>
    <cellStyle name="20% - Accent1 3 3 4" xfId="9145" xr:uid="{DF743CE6-3214-46FB-A022-E3CED071392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07ACCB31-E96C-48CC-B0EE-D253BF7129E6}"/>
    <cellStyle name="20% - Accent1 3 4 2 3" xfId="11703" xr:uid="{EF6F95AD-786A-46EE-A8FD-BD55162CDDC2}"/>
    <cellStyle name="20% - Accent1 3 4 3" xfId="5337" xr:uid="{00000000-0005-0000-0000-00006E000000}"/>
    <cellStyle name="20% - Accent1 3 4 3 2" xfId="13776" xr:uid="{74FBF997-F02C-46B0-BE32-0C9DE6B583D4}"/>
    <cellStyle name="20% - Accent1 3 4 4" xfId="9558" xr:uid="{5AA7935B-1764-4567-AC13-8033A330B495}"/>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45835C99-B544-4543-BCA8-B3E201780E08}"/>
    <cellStyle name="20% - Accent1 3 5 2 3" xfId="12116" xr:uid="{CAB5FEE8-BF21-4C12-833F-81AD643DCF09}"/>
    <cellStyle name="20% - Accent1 3 5 3" xfId="5750" xr:uid="{00000000-0005-0000-0000-000072000000}"/>
    <cellStyle name="20% - Accent1 3 5 3 2" xfId="14189" xr:uid="{60827B54-E496-470B-BAEF-3DF3BCF2265C}"/>
    <cellStyle name="20% - Accent1 3 5 4" xfId="9971" xr:uid="{3B6E2CC4-5BB1-4E0C-BA34-FD118636509E}"/>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6F607415-4488-4CEE-A815-496F75A59B2E}"/>
    <cellStyle name="20% - Accent1 3 6 2 3" xfId="12529" xr:uid="{F31FD598-27AA-4C3F-B39A-C40A6AFEEE0B}"/>
    <cellStyle name="20% - Accent1 3 6 3" xfId="6163" xr:uid="{00000000-0005-0000-0000-000076000000}"/>
    <cellStyle name="20% - Accent1 3 6 3 2" xfId="14602" xr:uid="{FD7940B6-3534-4FE7-905B-B14A9CE100FF}"/>
    <cellStyle name="20% - Accent1 3 6 4" xfId="10384" xr:uid="{CCFBC015-3843-4521-8B04-5AB3C18DE0AD}"/>
    <cellStyle name="20% - Accent1 3 7" xfId="2269" xr:uid="{00000000-0005-0000-0000-000077000000}"/>
    <cellStyle name="20% - Accent1 3 7 2" xfId="6576" xr:uid="{00000000-0005-0000-0000-000078000000}"/>
    <cellStyle name="20% - Accent1 3 7 2 2" xfId="15015" xr:uid="{B0347C8C-6536-43E8-82EE-B6C26DFAA1FD}"/>
    <cellStyle name="20% - Accent1 3 7 3" xfId="10797" xr:uid="{37F1CD65-FFE2-4773-873A-D596EF1B82EC}"/>
    <cellStyle name="20% - Accent1 3 8" xfId="4510" xr:uid="{00000000-0005-0000-0000-000079000000}"/>
    <cellStyle name="20% - Accent1 3 8 2" xfId="12949" xr:uid="{FB2C608D-59DE-46B5-AFA2-975F21E6D302}"/>
    <cellStyle name="20% - Accent1 3 9" xfId="8731" xr:uid="{F8772E54-A236-49CD-BA8A-C99EDD2AEB61}"/>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B4B5D2C3-E2F3-427A-A4BD-B843068FABED}"/>
    <cellStyle name="20% - Accent1 4 2 2 3" xfId="11292" xr:uid="{CB446E0F-CB8D-4E4C-9F0F-F2A061252219}"/>
    <cellStyle name="20% - Accent1 4 2 3" xfId="4926" xr:uid="{00000000-0005-0000-0000-00007E000000}"/>
    <cellStyle name="20% - Accent1 4 2 3 2" xfId="13365" xr:uid="{77B2857E-13DF-4AC1-8B4C-BF9A2E6D127D}"/>
    <cellStyle name="20% - Accent1 4 2 4" xfId="9147" xr:uid="{5D5DC477-77AF-49CE-9FAA-FC8996B78248}"/>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77E0DDF0-8EBA-4DCC-9238-5AD8D4F284CE}"/>
    <cellStyle name="20% - Accent1 4 3 2 3" xfId="11705" xr:uid="{32827FBC-481A-452A-9D3A-AFB7E2CEAC36}"/>
    <cellStyle name="20% - Accent1 4 3 3" xfId="5339" xr:uid="{00000000-0005-0000-0000-000082000000}"/>
    <cellStyle name="20% - Accent1 4 3 3 2" xfId="13778" xr:uid="{C17A146C-174C-41E2-88AD-BB26EF9F7996}"/>
    <cellStyle name="20% - Accent1 4 3 4" xfId="9560" xr:uid="{844172AC-9430-41BC-9DC5-5ED52335B887}"/>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12D56FD4-A2AC-4A4F-96FA-F3CA773DCF1F}"/>
    <cellStyle name="20% - Accent1 4 4 2 3" xfId="12118" xr:uid="{EFC8AF1A-C837-4B45-BE55-1B33F40800D7}"/>
    <cellStyle name="20% - Accent1 4 4 3" xfId="5752" xr:uid="{00000000-0005-0000-0000-000086000000}"/>
    <cellStyle name="20% - Accent1 4 4 3 2" xfId="14191" xr:uid="{587A0E04-C1B2-42DF-A11D-1356D18EFA51}"/>
    <cellStyle name="20% - Accent1 4 4 4" xfId="9973" xr:uid="{5BABC3A2-A5B8-4D1E-ACC9-B860D769F80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48AF976F-6D64-4BC6-B8F9-268A0E2299F9}"/>
    <cellStyle name="20% - Accent1 4 5 2 3" xfId="12531" xr:uid="{F56D9D53-B86B-4540-86F7-C1FA84056250}"/>
    <cellStyle name="20% - Accent1 4 5 3" xfId="6165" xr:uid="{00000000-0005-0000-0000-00008A000000}"/>
    <cellStyle name="20% - Accent1 4 5 3 2" xfId="14604" xr:uid="{51259DE6-BB38-4D6A-951B-48F5DB367C16}"/>
    <cellStyle name="20% - Accent1 4 5 4" xfId="10386" xr:uid="{5BC7214B-CA52-4404-BB36-9B9013154B95}"/>
    <cellStyle name="20% - Accent1 4 6" xfId="2271" xr:uid="{00000000-0005-0000-0000-00008B000000}"/>
    <cellStyle name="20% - Accent1 4 6 2" xfId="6578" xr:uid="{00000000-0005-0000-0000-00008C000000}"/>
    <cellStyle name="20% - Accent1 4 6 2 2" xfId="15017" xr:uid="{30B8BB79-0C43-4393-9A31-90EAD664E9E1}"/>
    <cellStyle name="20% - Accent1 4 6 3" xfId="10799" xr:uid="{D652574B-EE05-4F16-941B-37B3F1190A5C}"/>
    <cellStyle name="20% - Accent1 4 7" xfId="4512" xr:uid="{00000000-0005-0000-0000-00008D000000}"/>
    <cellStyle name="20% - Accent1 4 7 2" xfId="12951" xr:uid="{7359A6DC-2B73-485B-840B-2CD97ED1083B}"/>
    <cellStyle name="20% - Accent1 4 8" xfId="8733" xr:uid="{BC4070B7-A5C0-4ECB-82EE-AB2A5977041D}"/>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63E91351-E7B2-4C26-835C-3F164C769B40}"/>
    <cellStyle name="20% - Accent1 5 2 3" xfId="11285" xr:uid="{CB38B359-1282-464E-89EE-25DBE8FABE4B}"/>
    <cellStyle name="20% - Accent1 5 3" xfId="4919" xr:uid="{00000000-0005-0000-0000-000091000000}"/>
    <cellStyle name="20% - Accent1 5 3 2" xfId="13358" xr:uid="{61DDCFE3-9143-4134-8661-1FFCA17A1D71}"/>
    <cellStyle name="20% - Accent1 5 4" xfId="9140" xr:uid="{7879FD5E-CE38-409C-AFC0-319AA233BF47}"/>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14EA2A92-7EA1-4898-BE7D-523012F69240}"/>
    <cellStyle name="20% - Accent1 6 2 3" xfId="11698" xr:uid="{71DF583C-8307-452B-8B05-7CA46C6C0B65}"/>
    <cellStyle name="20% - Accent1 6 3" xfId="5332" xr:uid="{00000000-0005-0000-0000-000095000000}"/>
    <cellStyle name="20% - Accent1 6 3 2" xfId="13771" xr:uid="{4930A333-12BB-4D37-95EF-3AA5A4AA2CD3}"/>
    <cellStyle name="20% - Accent1 6 4" xfId="9553" xr:uid="{EF06D38A-DB83-4768-95BF-BD61A8FE552F}"/>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F60BAE09-B70E-4828-A5A0-CB7331C17A44}"/>
    <cellStyle name="20% - Accent1 7 2 3" xfId="12111" xr:uid="{E1138B97-D018-4A35-A51A-838A864166C1}"/>
    <cellStyle name="20% - Accent1 7 3" xfId="5745" xr:uid="{00000000-0005-0000-0000-000099000000}"/>
    <cellStyle name="20% - Accent1 7 3 2" xfId="14184" xr:uid="{493EDFEA-FB8A-420E-B5B4-4C892107BEB4}"/>
    <cellStyle name="20% - Accent1 7 4" xfId="9966" xr:uid="{BD5217F5-9F17-4335-A068-3223774F2710}"/>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1A19E0F1-832C-4BC8-B615-1BE23C41449C}"/>
    <cellStyle name="20% - Accent1 8 2 3" xfId="12524" xr:uid="{D43CF7F7-EA8C-48F7-9F98-4ADB838F2C53}"/>
    <cellStyle name="20% - Accent1 8 3" xfId="6158" xr:uid="{00000000-0005-0000-0000-00009D000000}"/>
    <cellStyle name="20% - Accent1 8 3 2" xfId="14597" xr:uid="{87EB3158-D825-415C-B9A8-41D46E137CE2}"/>
    <cellStyle name="20% - Accent1 8 4" xfId="10379" xr:uid="{E7C8BD5B-02E2-4F5E-91CD-45214A924487}"/>
    <cellStyle name="20% - Accent1 9" xfId="2264" xr:uid="{00000000-0005-0000-0000-00009E000000}"/>
    <cellStyle name="20% - Accent1 9 2" xfId="6571" xr:uid="{00000000-0005-0000-0000-00009F000000}"/>
    <cellStyle name="20% - Accent1 9 2 2" xfId="15010" xr:uid="{08B77DDD-3B41-43BE-B54C-7D50E76502EB}"/>
    <cellStyle name="20% - Accent1 9 3" xfId="10792" xr:uid="{7515E67B-3201-481A-9A48-C8BB220AB89C}"/>
    <cellStyle name="20% - Accent2" xfId="9" builtinId="34" customBuiltin="1"/>
    <cellStyle name="20% - Accent2 10" xfId="4513" xr:uid="{00000000-0005-0000-0000-0000A1000000}"/>
    <cellStyle name="20% - Accent2 10 2" xfId="12952" xr:uid="{2515F6F7-135E-49AD-84B2-DFFE21A2CB8E}"/>
    <cellStyle name="20% - Accent2 11" xfId="8734" xr:uid="{8EF5D032-6215-4E0D-8D15-5084C515DEA7}"/>
    <cellStyle name="20% - Accent2 2" xfId="10" xr:uid="{00000000-0005-0000-0000-0000A2000000}"/>
    <cellStyle name="20% - Accent2 2 10" xfId="8735" xr:uid="{91F33FD5-EE5C-4D8E-8EBC-129EBD1ED561}"/>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558A29E5-4F62-4B81-9D2C-1C52E22D0763}"/>
    <cellStyle name="20% - Accent2 2 2 2 2 2 3" xfId="11296" xr:uid="{F0EB0B3B-6430-465B-AAC4-380F0A7D3385}"/>
    <cellStyle name="20% - Accent2 2 2 2 2 3" xfId="4930" xr:uid="{00000000-0005-0000-0000-0000A8000000}"/>
    <cellStyle name="20% - Accent2 2 2 2 2 3 2" xfId="13369" xr:uid="{4A96672C-80DA-40A8-963E-FB667CCDAF35}"/>
    <cellStyle name="20% - Accent2 2 2 2 2 4" xfId="9151" xr:uid="{30AFDE28-091E-488F-8673-FF94BA6FAD7E}"/>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F8211D89-2F12-4813-B5E4-965EA3284ACE}"/>
    <cellStyle name="20% - Accent2 2 2 2 3 2 3" xfId="11709" xr:uid="{5F7AC752-DCD9-4E30-AFD4-C1C688E6BF3C}"/>
    <cellStyle name="20% - Accent2 2 2 2 3 3" xfId="5343" xr:uid="{00000000-0005-0000-0000-0000AC000000}"/>
    <cellStyle name="20% - Accent2 2 2 2 3 3 2" xfId="13782" xr:uid="{EBE4AE34-1F98-473C-88F0-9151AB37B783}"/>
    <cellStyle name="20% - Accent2 2 2 2 3 4" xfId="9564" xr:uid="{E7B05B3F-630B-4BB1-9907-87407B5D37A5}"/>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DB5FA46D-EF37-4C92-99F4-803D16E955B1}"/>
    <cellStyle name="20% - Accent2 2 2 2 4 2 3" xfId="12122" xr:uid="{EB8173B1-53A9-43DE-B34B-09FF0A423200}"/>
    <cellStyle name="20% - Accent2 2 2 2 4 3" xfId="5756" xr:uid="{00000000-0005-0000-0000-0000B0000000}"/>
    <cellStyle name="20% - Accent2 2 2 2 4 3 2" xfId="14195" xr:uid="{C1BB5C9B-7C7C-4C22-A7D6-83F5A388328E}"/>
    <cellStyle name="20% - Accent2 2 2 2 4 4" xfId="9977" xr:uid="{7C1EAD34-4383-4D2A-976C-C41C475AB0EB}"/>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E62A2546-B83D-4D67-82BC-AFB1FA72B4FD}"/>
    <cellStyle name="20% - Accent2 2 2 2 5 2 3" xfId="12535" xr:uid="{71722656-E392-422F-80DB-58BF8C00CCB8}"/>
    <cellStyle name="20% - Accent2 2 2 2 5 3" xfId="6169" xr:uid="{00000000-0005-0000-0000-0000B4000000}"/>
    <cellStyle name="20% - Accent2 2 2 2 5 3 2" xfId="14608" xr:uid="{9233A947-B6EF-4A0B-B003-D8B59BF0B42B}"/>
    <cellStyle name="20% - Accent2 2 2 2 5 4" xfId="10390" xr:uid="{B80FF640-9D80-4BE0-B18F-18451C0E759E}"/>
    <cellStyle name="20% - Accent2 2 2 2 6" xfId="2275" xr:uid="{00000000-0005-0000-0000-0000B5000000}"/>
    <cellStyle name="20% - Accent2 2 2 2 6 2" xfId="6582" xr:uid="{00000000-0005-0000-0000-0000B6000000}"/>
    <cellStyle name="20% - Accent2 2 2 2 6 2 2" xfId="15021" xr:uid="{C403767D-B43B-4306-ADE4-3163DE257EC3}"/>
    <cellStyle name="20% - Accent2 2 2 2 6 3" xfId="10803" xr:uid="{F7B14268-37A2-434E-B717-A650960FF104}"/>
    <cellStyle name="20% - Accent2 2 2 2 7" xfId="4516" xr:uid="{00000000-0005-0000-0000-0000B7000000}"/>
    <cellStyle name="20% - Accent2 2 2 2 7 2" xfId="12955" xr:uid="{4DCBFA7F-12B2-41A6-BA0B-547CB315BD34}"/>
    <cellStyle name="20% - Accent2 2 2 2 8" xfId="8737" xr:uid="{25F98CCE-B068-401E-9C05-C924C3051F3C}"/>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C041B38D-8B3F-4531-BFE1-7A37428CDBE1}"/>
    <cellStyle name="20% - Accent2 2 2 3 2 3" xfId="11295" xr:uid="{611D7AA5-CF67-4DD6-B57F-B274BBE17DCD}"/>
    <cellStyle name="20% - Accent2 2 2 3 3" xfId="4929" xr:uid="{00000000-0005-0000-0000-0000BB000000}"/>
    <cellStyle name="20% - Accent2 2 2 3 3 2" xfId="13368" xr:uid="{0C5A7681-0C0A-4B54-86F6-44D4312C5412}"/>
    <cellStyle name="20% - Accent2 2 2 3 4" xfId="9150" xr:uid="{FB259FBC-DE83-4496-A357-5029708B0EF1}"/>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039BDD89-FADB-419A-B18D-C45DED068437}"/>
    <cellStyle name="20% - Accent2 2 2 4 2 3" xfId="11708" xr:uid="{47DF95F4-6A44-4FC2-8A9F-CE21AD2BF6F2}"/>
    <cellStyle name="20% - Accent2 2 2 4 3" xfId="5342" xr:uid="{00000000-0005-0000-0000-0000BF000000}"/>
    <cellStyle name="20% - Accent2 2 2 4 3 2" xfId="13781" xr:uid="{FC5F6F9E-8CB1-4E02-ACD0-A53E53C88EF4}"/>
    <cellStyle name="20% - Accent2 2 2 4 4" xfId="9563" xr:uid="{6C87176D-B215-4540-BDB8-523BF450137D}"/>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21DB72C3-B5B2-4FDB-ADBE-CAFE52268589}"/>
    <cellStyle name="20% - Accent2 2 2 5 2 3" xfId="12121" xr:uid="{48701B94-F139-4A06-9823-42F7D170D5D1}"/>
    <cellStyle name="20% - Accent2 2 2 5 3" xfId="5755" xr:uid="{00000000-0005-0000-0000-0000C3000000}"/>
    <cellStyle name="20% - Accent2 2 2 5 3 2" xfId="14194" xr:uid="{083E5F19-8FE2-4322-AE38-6E19A136EF73}"/>
    <cellStyle name="20% - Accent2 2 2 5 4" xfId="9976" xr:uid="{FEBA6D28-94EC-48C7-892C-D27254F5CCDF}"/>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3E41032B-E21E-48E4-B96A-B26FCC0E608E}"/>
    <cellStyle name="20% - Accent2 2 2 6 2 3" xfId="12534" xr:uid="{9A8F5A60-5D48-47D2-829F-8286800424FB}"/>
    <cellStyle name="20% - Accent2 2 2 6 3" xfId="6168" xr:uid="{00000000-0005-0000-0000-0000C7000000}"/>
    <cellStyle name="20% - Accent2 2 2 6 3 2" xfId="14607" xr:uid="{A252D10A-BD1F-4A9D-8BB9-95B29A7BF9B5}"/>
    <cellStyle name="20% - Accent2 2 2 6 4" xfId="10389" xr:uid="{D05C5F7B-0686-4A66-8F1B-79CC4A1D2A5B}"/>
    <cellStyle name="20% - Accent2 2 2 7" xfId="2274" xr:uid="{00000000-0005-0000-0000-0000C8000000}"/>
    <cellStyle name="20% - Accent2 2 2 7 2" xfId="6581" xr:uid="{00000000-0005-0000-0000-0000C9000000}"/>
    <cellStyle name="20% - Accent2 2 2 7 2 2" xfId="15020" xr:uid="{3F5E4291-F013-4035-98A0-AF0E9CA027E5}"/>
    <cellStyle name="20% - Accent2 2 2 7 3" xfId="10802" xr:uid="{B2229C75-923A-4D0C-BA3B-980BE563BC9C}"/>
    <cellStyle name="20% - Accent2 2 2 8" xfId="4515" xr:uid="{00000000-0005-0000-0000-0000CA000000}"/>
    <cellStyle name="20% - Accent2 2 2 8 2" xfId="12954" xr:uid="{D678EB82-3C95-4F1C-BE42-0E3CFAA9E3A3}"/>
    <cellStyle name="20% - Accent2 2 2 9" xfId="8736" xr:uid="{9B2B2FEA-8375-44F1-B750-4358326A4F59}"/>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F4B30E81-EC01-46BE-96A9-502D93469CA9}"/>
    <cellStyle name="20% - Accent2 2 3 2 2 3" xfId="11297" xr:uid="{787A0DB2-5ED6-44F6-B966-0D564EFD145B}"/>
    <cellStyle name="20% - Accent2 2 3 2 3" xfId="4931" xr:uid="{00000000-0005-0000-0000-0000CF000000}"/>
    <cellStyle name="20% - Accent2 2 3 2 3 2" xfId="13370" xr:uid="{1ED61EEA-ADFA-492A-B9FB-7AADAFBCF9DD}"/>
    <cellStyle name="20% - Accent2 2 3 2 4" xfId="9152" xr:uid="{B61B5BF5-A905-4F62-9D13-2F6B692C10A1}"/>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7F1BD52E-0CCA-49F1-9811-88F58BAFD372}"/>
    <cellStyle name="20% - Accent2 2 3 3 2 3" xfId="11710" xr:uid="{53E317D8-E620-41AF-A4F8-92F0797D0D8D}"/>
    <cellStyle name="20% - Accent2 2 3 3 3" xfId="5344" xr:uid="{00000000-0005-0000-0000-0000D3000000}"/>
    <cellStyle name="20% - Accent2 2 3 3 3 2" xfId="13783" xr:uid="{32E19E3A-BAF3-4F6F-88D2-7FEA29B6803C}"/>
    <cellStyle name="20% - Accent2 2 3 3 4" xfId="9565" xr:uid="{DF2BFDE6-5FF9-4741-BD5A-7BBA95398152}"/>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A50021A7-7B21-4BA1-9DFD-A564DBDCC562}"/>
    <cellStyle name="20% - Accent2 2 3 4 2 3" xfId="12123" xr:uid="{CCCBD906-48CB-45F5-B53B-E063ED1DE14A}"/>
    <cellStyle name="20% - Accent2 2 3 4 3" xfId="5757" xr:uid="{00000000-0005-0000-0000-0000D7000000}"/>
    <cellStyle name="20% - Accent2 2 3 4 3 2" xfId="14196" xr:uid="{6F2B4338-CB27-43D2-9BF5-F52649B90221}"/>
    <cellStyle name="20% - Accent2 2 3 4 4" xfId="9978" xr:uid="{32A45990-D31A-4C70-95A4-645A99E1D48D}"/>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09712370-3634-4D96-A43E-6244D3A30C82}"/>
    <cellStyle name="20% - Accent2 2 3 5 2 3" xfId="12536" xr:uid="{24386ACF-9950-4D23-8F5F-40F27A7CC175}"/>
    <cellStyle name="20% - Accent2 2 3 5 3" xfId="6170" xr:uid="{00000000-0005-0000-0000-0000DB000000}"/>
    <cellStyle name="20% - Accent2 2 3 5 3 2" xfId="14609" xr:uid="{2B702842-8F09-4835-94C8-51AA58D5B11B}"/>
    <cellStyle name="20% - Accent2 2 3 5 4" xfId="10391" xr:uid="{028DE18C-8EEF-4B83-A5FE-61BE41C3FA38}"/>
    <cellStyle name="20% - Accent2 2 3 6" xfId="2276" xr:uid="{00000000-0005-0000-0000-0000DC000000}"/>
    <cellStyle name="20% - Accent2 2 3 6 2" xfId="6583" xr:uid="{00000000-0005-0000-0000-0000DD000000}"/>
    <cellStyle name="20% - Accent2 2 3 6 2 2" xfId="15022" xr:uid="{D2BCF76B-1258-4719-9359-DB828503E757}"/>
    <cellStyle name="20% - Accent2 2 3 6 3" xfId="10804" xr:uid="{9E4A1114-E2A7-4AB9-B9C4-D876271A23EE}"/>
    <cellStyle name="20% - Accent2 2 3 7" xfId="4517" xr:uid="{00000000-0005-0000-0000-0000DE000000}"/>
    <cellStyle name="20% - Accent2 2 3 7 2" xfId="12956" xr:uid="{0DD47514-B35C-4718-871F-F12EF5E929E5}"/>
    <cellStyle name="20% - Accent2 2 3 8" xfId="8738" xr:uid="{F16838FF-579F-4982-B4DD-6D6F070B9A5C}"/>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22EC36A3-264F-4230-916B-C4B0C8E746E7}"/>
    <cellStyle name="20% - Accent2 2 4 2 3" xfId="11294" xr:uid="{D68D4B6C-1618-4560-B488-72CEE2A7C7E0}"/>
    <cellStyle name="20% - Accent2 2 4 3" xfId="4928" xr:uid="{00000000-0005-0000-0000-0000E2000000}"/>
    <cellStyle name="20% - Accent2 2 4 3 2" xfId="13367" xr:uid="{BFE24F4B-B2C1-4BB6-8764-1482DA158ED6}"/>
    <cellStyle name="20% - Accent2 2 4 4" xfId="9149" xr:uid="{FAE9C7E4-F926-40A8-871C-33DEA74405C9}"/>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7E237F6B-6ED5-4D51-9143-9DA808FF4F4B}"/>
    <cellStyle name="20% - Accent2 2 5 2 3" xfId="11707" xr:uid="{95BE209D-DBBC-49B3-8F2D-BF89C69EF601}"/>
    <cellStyle name="20% - Accent2 2 5 3" xfId="5341" xr:uid="{00000000-0005-0000-0000-0000E6000000}"/>
    <cellStyle name="20% - Accent2 2 5 3 2" xfId="13780" xr:uid="{0588D9AC-7D16-498E-8791-363E33DA1C7C}"/>
    <cellStyle name="20% - Accent2 2 5 4" xfId="9562" xr:uid="{0CA89748-974F-49E4-8C23-35D3AE57C129}"/>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1734CDAF-C684-4E4F-9229-0E5C975BBFB0}"/>
    <cellStyle name="20% - Accent2 2 6 2 3" xfId="12120" xr:uid="{178496C8-4E34-44B3-96EE-FAF0709A938E}"/>
    <cellStyle name="20% - Accent2 2 6 3" xfId="5754" xr:uid="{00000000-0005-0000-0000-0000EA000000}"/>
    <cellStyle name="20% - Accent2 2 6 3 2" xfId="14193" xr:uid="{80AAA7BF-2C8D-4EB3-BCB3-6D66F548E9F6}"/>
    <cellStyle name="20% - Accent2 2 6 4" xfId="9975" xr:uid="{9FFA4626-91BB-46DD-B1ED-E006467FA495}"/>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8A8CC0F3-21C6-4B85-AE71-F5777A2792D0}"/>
    <cellStyle name="20% - Accent2 2 7 2 3" xfId="12533" xr:uid="{A4E4B879-E05D-4034-BE1A-371065199A98}"/>
    <cellStyle name="20% - Accent2 2 7 3" xfId="6167" xr:uid="{00000000-0005-0000-0000-0000EE000000}"/>
    <cellStyle name="20% - Accent2 2 7 3 2" xfId="14606" xr:uid="{3F0B9A80-1463-4DD3-97B9-7A8712EF6E95}"/>
    <cellStyle name="20% - Accent2 2 7 4" xfId="10388" xr:uid="{0C79DD24-2AC4-4392-8CE1-80D3290545C3}"/>
    <cellStyle name="20% - Accent2 2 8" xfId="2273" xr:uid="{00000000-0005-0000-0000-0000EF000000}"/>
    <cellStyle name="20% - Accent2 2 8 2" xfId="6580" xr:uid="{00000000-0005-0000-0000-0000F0000000}"/>
    <cellStyle name="20% - Accent2 2 8 2 2" xfId="15019" xr:uid="{505ACBD8-E2BA-4B7C-8756-8486444EBCC1}"/>
    <cellStyle name="20% - Accent2 2 8 3" xfId="10801" xr:uid="{16672701-BE1C-429E-A90A-110948494DCB}"/>
    <cellStyle name="20% - Accent2 2 9" xfId="4514" xr:uid="{00000000-0005-0000-0000-0000F1000000}"/>
    <cellStyle name="20% - Accent2 2 9 2" xfId="12953" xr:uid="{31E324E1-2B23-43B2-9F27-57D19154B251}"/>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2A8ADF7E-C8BF-49A9-8EE9-1629552286A7}"/>
    <cellStyle name="20% - Accent2 3 2 2 2 3" xfId="11299" xr:uid="{42F6EA7A-6390-4DF8-A87C-0E5967027742}"/>
    <cellStyle name="20% - Accent2 3 2 2 3" xfId="4933" xr:uid="{00000000-0005-0000-0000-0000F7000000}"/>
    <cellStyle name="20% - Accent2 3 2 2 3 2" xfId="13372" xr:uid="{20D980F8-32B9-492D-A681-970BC76A3E78}"/>
    <cellStyle name="20% - Accent2 3 2 2 4" xfId="9154" xr:uid="{71E61C73-6665-441F-AA1B-29C5AFD869C6}"/>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0EE514F0-3F3E-427B-BD56-A65F3FD5081B}"/>
    <cellStyle name="20% - Accent2 3 2 3 2 3" xfId="11712" xr:uid="{8F3B72A2-CA42-41DC-B433-BD79418FF3D2}"/>
    <cellStyle name="20% - Accent2 3 2 3 3" xfId="5346" xr:uid="{00000000-0005-0000-0000-0000FB000000}"/>
    <cellStyle name="20% - Accent2 3 2 3 3 2" xfId="13785" xr:uid="{A0C9FC50-B644-40C1-A4E2-2820966D4DF8}"/>
    <cellStyle name="20% - Accent2 3 2 3 4" xfId="9567" xr:uid="{6D13808D-6EEF-4F6B-B14D-01C95A9013B0}"/>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A676B6C9-182B-414F-BF1E-36D7AE5FE665}"/>
    <cellStyle name="20% - Accent2 3 2 4 2 3" xfId="12125" xr:uid="{FC307E9A-40F0-47CA-9F42-B747053B097A}"/>
    <cellStyle name="20% - Accent2 3 2 4 3" xfId="5759" xr:uid="{00000000-0005-0000-0000-0000FF000000}"/>
    <cellStyle name="20% - Accent2 3 2 4 3 2" xfId="14198" xr:uid="{EC404693-8F19-4924-9E3A-7EF4196B4240}"/>
    <cellStyle name="20% - Accent2 3 2 4 4" xfId="9980" xr:uid="{12C9B221-75C9-4350-ACCE-AA3EF352EADB}"/>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C691F9BB-B287-4F6E-98FA-09029F61D678}"/>
    <cellStyle name="20% - Accent2 3 2 5 2 3" xfId="12538" xr:uid="{462ECB4C-EAD5-4FC4-B4AD-02E83F3EA451}"/>
    <cellStyle name="20% - Accent2 3 2 5 3" xfId="6172" xr:uid="{00000000-0005-0000-0000-000003010000}"/>
    <cellStyle name="20% - Accent2 3 2 5 3 2" xfId="14611" xr:uid="{B6B92E59-94FD-4C8C-B849-DBC190DFDBA6}"/>
    <cellStyle name="20% - Accent2 3 2 5 4" xfId="10393" xr:uid="{67CD5A6D-65C0-46D7-819D-8F9A1C4AD0D3}"/>
    <cellStyle name="20% - Accent2 3 2 6" xfId="2278" xr:uid="{00000000-0005-0000-0000-000004010000}"/>
    <cellStyle name="20% - Accent2 3 2 6 2" xfId="6585" xr:uid="{00000000-0005-0000-0000-000005010000}"/>
    <cellStyle name="20% - Accent2 3 2 6 2 2" xfId="15024" xr:uid="{32DF81CB-9283-4F99-BDB5-42DE01E65BE0}"/>
    <cellStyle name="20% - Accent2 3 2 6 3" xfId="10806" xr:uid="{DE6466BD-8B67-418B-A631-024CC4652CE9}"/>
    <cellStyle name="20% - Accent2 3 2 7" xfId="4519" xr:uid="{00000000-0005-0000-0000-000006010000}"/>
    <cellStyle name="20% - Accent2 3 2 7 2" xfId="12958" xr:uid="{DDF06CF6-6A08-4184-A8F0-AF2990A91778}"/>
    <cellStyle name="20% - Accent2 3 2 8" xfId="8740" xr:uid="{3D210F51-E827-4416-9A48-6D75882A8A0C}"/>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92F1C5A2-B17F-4E79-9A9A-B7FF3F2C4298}"/>
    <cellStyle name="20% - Accent2 3 3 2 3" xfId="11298" xr:uid="{4D582DB1-765F-4EC1-8304-E39A3E6A08DC}"/>
    <cellStyle name="20% - Accent2 3 3 3" xfId="4932" xr:uid="{00000000-0005-0000-0000-00000A010000}"/>
    <cellStyle name="20% - Accent2 3 3 3 2" xfId="13371" xr:uid="{281F65C6-5C96-4139-B489-8314B3FA00D4}"/>
    <cellStyle name="20% - Accent2 3 3 4" xfId="9153" xr:uid="{6D0D33CE-CB19-4D79-AEC4-A17B80FEC6BE}"/>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C156DD3C-7D59-4B89-B39E-C988C6E5634D}"/>
    <cellStyle name="20% - Accent2 3 4 2 3" xfId="11711" xr:uid="{83D54C10-39A6-4960-981A-620B7D2E8A67}"/>
    <cellStyle name="20% - Accent2 3 4 3" xfId="5345" xr:uid="{00000000-0005-0000-0000-00000E010000}"/>
    <cellStyle name="20% - Accent2 3 4 3 2" xfId="13784" xr:uid="{BB78F70B-E0EF-4F8F-B438-9138997A6DFB}"/>
    <cellStyle name="20% - Accent2 3 4 4" xfId="9566" xr:uid="{92C7C37C-AF30-47B1-BD20-D32EF5696A00}"/>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15EAA0D3-D114-441B-BE89-8DB34BD241BE}"/>
    <cellStyle name="20% - Accent2 3 5 2 3" xfId="12124" xr:uid="{9406EDBA-D686-4818-AB94-A51C06400952}"/>
    <cellStyle name="20% - Accent2 3 5 3" xfId="5758" xr:uid="{00000000-0005-0000-0000-000012010000}"/>
    <cellStyle name="20% - Accent2 3 5 3 2" xfId="14197" xr:uid="{9A7C57A8-5964-45F5-825A-4FF8CEA079F1}"/>
    <cellStyle name="20% - Accent2 3 5 4" xfId="9979" xr:uid="{E973E347-DDB1-4C4D-8DC8-9EA4BEDCC53A}"/>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B253B0B7-D4AB-434D-9F43-B1E814003210}"/>
    <cellStyle name="20% - Accent2 3 6 2 3" xfId="12537" xr:uid="{16BAFF8C-2C43-417A-A94E-5C4CE71F163E}"/>
    <cellStyle name="20% - Accent2 3 6 3" xfId="6171" xr:uid="{00000000-0005-0000-0000-000016010000}"/>
    <cellStyle name="20% - Accent2 3 6 3 2" xfId="14610" xr:uid="{434E0E27-A97C-410F-B8BD-9B2E5897F068}"/>
    <cellStyle name="20% - Accent2 3 6 4" xfId="10392" xr:uid="{18DFFC0E-BB47-4884-8293-76717FA4F8F7}"/>
    <cellStyle name="20% - Accent2 3 7" xfId="2277" xr:uid="{00000000-0005-0000-0000-000017010000}"/>
    <cellStyle name="20% - Accent2 3 7 2" xfId="6584" xr:uid="{00000000-0005-0000-0000-000018010000}"/>
    <cellStyle name="20% - Accent2 3 7 2 2" xfId="15023" xr:uid="{A8134E6B-A153-4D8D-B008-49B06452578B}"/>
    <cellStyle name="20% - Accent2 3 7 3" xfId="10805" xr:uid="{F23060BD-02E0-4F7B-9395-C0BF7C52D686}"/>
    <cellStyle name="20% - Accent2 3 8" xfId="4518" xr:uid="{00000000-0005-0000-0000-000019010000}"/>
    <cellStyle name="20% - Accent2 3 8 2" xfId="12957" xr:uid="{53E1D3A0-DDB9-4551-AE8B-EAA5EA328025}"/>
    <cellStyle name="20% - Accent2 3 9" xfId="8739" xr:uid="{54DE4B52-55CA-40BA-8F08-8ED9F7BEC737}"/>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FEE0C9A5-A90E-4F89-A196-F7E8CBDAA62A}"/>
    <cellStyle name="20% - Accent2 4 2 2 3" xfId="11300" xr:uid="{BA47E490-9C71-4895-BC0E-7AA4FE2586F5}"/>
    <cellStyle name="20% - Accent2 4 2 3" xfId="4934" xr:uid="{00000000-0005-0000-0000-00001E010000}"/>
    <cellStyle name="20% - Accent2 4 2 3 2" xfId="13373" xr:uid="{F7019001-5C15-4BE8-9BE6-8D657FC052B7}"/>
    <cellStyle name="20% - Accent2 4 2 4" xfId="9155" xr:uid="{CB08512E-87BD-4E33-B1EF-E1E06922991E}"/>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1810AF79-93D6-4B08-802D-A8D8FEE521A3}"/>
    <cellStyle name="20% - Accent2 4 3 2 3" xfId="11713" xr:uid="{771E1F23-E90C-41AF-A66F-78490FA2FCD3}"/>
    <cellStyle name="20% - Accent2 4 3 3" xfId="5347" xr:uid="{00000000-0005-0000-0000-000022010000}"/>
    <cellStyle name="20% - Accent2 4 3 3 2" xfId="13786" xr:uid="{907EF2B6-9B71-4701-B96B-24E72B07809E}"/>
    <cellStyle name="20% - Accent2 4 3 4" xfId="9568" xr:uid="{A58FCF31-DF50-44F2-99FE-F2638E78E415}"/>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75A91B49-222A-48DC-BAAE-BA82B86B66C4}"/>
    <cellStyle name="20% - Accent2 4 4 2 3" xfId="12126" xr:uid="{8BA2E6B3-2443-411A-BA5F-321F925026E5}"/>
    <cellStyle name="20% - Accent2 4 4 3" xfId="5760" xr:uid="{00000000-0005-0000-0000-000026010000}"/>
    <cellStyle name="20% - Accent2 4 4 3 2" xfId="14199" xr:uid="{F0D99D36-5111-4F3A-9AEE-1746E3F3A65C}"/>
    <cellStyle name="20% - Accent2 4 4 4" xfId="9981" xr:uid="{52E8EBEC-D922-4920-B1F5-D826010095FD}"/>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8D66232B-A9A3-4935-9D61-C7999729EA6A}"/>
    <cellStyle name="20% - Accent2 4 5 2 3" xfId="12539" xr:uid="{A366B4B3-7E25-4DF2-A952-0644FD20C6F9}"/>
    <cellStyle name="20% - Accent2 4 5 3" xfId="6173" xr:uid="{00000000-0005-0000-0000-00002A010000}"/>
    <cellStyle name="20% - Accent2 4 5 3 2" xfId="14612" xr:uid="{85F38534-7B65-4F9A-B4CF-9FEE2856CE15}"/>
    <cellStyle name="20% - Accent2 4 5 4" xfId="10394" xr:uid="{4CBF6971-4A26-44AF-B442-B78E2A773F1C}"/>
    <cellStyle name="20% - Accent2 4 6" xfId="2279" xr:uid="{00000000-0005-0000-0000-00002B010000}"/>
    <cellStyle name="20% - Accent2 4 6 2" xfId="6586" xr:uid="{00000000-0005-0000-0000-00002C010000}"/>
    <cellStyle name="20% - Accent2 4 6 2 2" xfId="15025" xr:uid="{BF2BAE9C-1680-4404-B40F-080705365622}"/>
    <cellStyle name="20% - Accent2 4 6 3" xfId="10807" xr:uid="{DB716B79-55CE-4DF9-9B66-B0F9F25674F6}"/>
    <cellStyle name="20% - Accent2 4 7" xfId="4520" xr:uid="{00000000-0005-0000-0000-00002D010000}"/>
    <cellStyle name="20% - Accent2 4 7 2" xfId="12959" xr:uid="{AFDF6C1E-CA22-4E27-92D1-19DFC418E23C}"/>
    <cellStyle name="20% - Accent2 4 8" xfId="8741" xr:uid="{85E315BE-CB79-4BB1-A2A6-0CB7F8FAEBCF}"/>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42BCF749-EE1F-4B85-962E-869244002688}"/>
    <cellStyle name="20% - Accent2 5 2 3" xfId="11293" xr:uid="{6C3CCBE7-443B-445F-9B1D-777584283FE9}"/>
    <cellStyle name="20% - Accent2 5 3" xfId="4927" xr:uid="{00000000-0005-0000-0000-000031010000}"/>
    <cellStyle name="20% - Accent2 5 3 2" xfId="13366" xr:uid="{5A2B9919-EE1D-4271-A473-25D37914BFA1}"/>
    <cellStyle name="20% - Accent2 5 4" xfId="9148" xr:uid="{55985D44-4C46-44B2-BD93-4FDD343F47D3}"/>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17536745-B022-4A28-8E79-F8DA8AB4A679}"/>
    <cellStyle name="20% - Accent2 6 2 3" xfId="11706" xr:uid="{0C367E2F-E5AB-4FCD-9137-28F1168BBC48}"/>
    <cellStyle name="20% - Accent2 6 3" xfId="5340" xr:uid="{00000000-0005-0000-0000-000035010000}"/>
    <cellStyle name="20% - Accent2 6 3 2" xfId="13779" xr:uid="{C23564E1-7496-4353-B712-E55349ECA43B}"/>
    <cellStyle name="20% - Accent2 6 4" xfId="9561" xr:uid="{874E437F-DC25-4093-99A3-5481F4B5BDB9}"/>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27E6E3EC-D3E8-4ACD-B198-2C24D0FDEDEC}"/>
    <cellStyle name="20% - Accent2 7 2 3" xfId="12119" xr:uid="{C176B984-450B-4CEE-A6B3-E9B2B8333995}"/>
    <cellStyle name="20% - Accent2 7 3" xfId="5753" xr:uid="{00000000-0005-0000-0000-000039010000}"/>
    <cellStyle name="20% - Accent2 7 3 2" xfId="14192" xr:uid="{27A928D3-3FD0-4425-AFF3-D47AC0E238FB}"/>
    <cellStyle name="20% - Accent2 7 4" xfId="9974" xr:uid="{19A45582-CA75-44EB-9B82-C4F5C887EE48}"/>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C7FE77EC-C8AF-4F91-8398-FE1FFEA8B16B}"/>
    <cellStyle name="20% - Accent2 8 2 3" xfId="12532" xr:uid="{CE2075B4-C5E6-4F45-A07D-3D64BB165F81}"/>
    <cellStyle name="20% - Accent2 8 3" xfId="6166" xr:uid="{00000000-0005-0000-0000-00003D010000}"/>
    <cellStyle name="20% - Accent2 8 3 2" xfId="14605" xr:uid="{5A486510-38CA-4D07-8AC7-6A42F7E2D878}"/>
    <cellStyle name="20% - Accent2 8 4" xfId="10387" xr:uid="{F58B14AC-FC1F-4149-982D-4104639ABAA5}"/>
    <cellStyle name="20% - Accent2 9" xfId="2272" xr:uid="{00000000-0005-0000-0000-00003E010000}"/>
    <cellStyle name="20% - Accent2 9 2" xfId="6579" xr:uid="{00000000-0005-0000-0000-00003F010000}"/>
    <cellStyle name="20% - Accent2 9 2 2" xfId="15018" xr:uid="{477D4CE6-B25D-4F95-826E-76AD6B20AC55}"/>
    <cellStyle name="20% - Accent2 9 3" xfId="10800" xr:uid="{C1E94986-7482-47F7-B608-F33300465435}"/>
    <cellStyle name="20% - Accent3" xfId="17" builtinId="38" customBuiltin="1"/>
    <cellStyle name="20% - Accent3 10" xfId="4521" xr:uid="{00000000-0005-0000-0000-000041010000}"/>
    <cellStyle name="20% - Accent3 10 2" xfId="12960" xr:uid="{2D62052D-1CEF-4E02-8E8C-C1061DA9875C}"/>
    <cellStyle name="20% - Accent3 11" xfId="8742" xr:uid="{0D33023B-AEF5-42D3-97B6-8B0F2DF510E6}"/>
    <cellStyle name="20% - Accent3 2" xfId="18" xr:uid="{00000000-0005-0000-0000-000042010000}"/>
    <cellStyle name="20% - Accent3 2 10" xfId="8743" xr:uid="{EB3419C2-FE9D-4052-B81D-271D2BBB533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D37E44DD-D1A4-467F-9D11-3C1F95F9D649}"/>
    <cellStyle name="20% - Accent3 2 2 2 2 2 3" xfId="11304" xr:uid="{40CC8E62-2AF0-4011-9238-623BBB9769A3}"/>
    <cellStyle name="20% - Accent3 2 2 2 2 3" xfId="4938" xr:uid="{00000000-0005-0000-0000-000048010000}"/>
    <cellStyle name="20% - Accent3 2 2 2 2 3 2" xfId="13377" xr:uid="{745510F1-B1B1-4A43-9D36-493B3DBE8260}"/>
    <cellStyle name="20% - Accent3 2 2 2 2 4" xfId="9159" xr:uid="{E5D21D2F-5D93-4B2C-9939-C49F7672940A}"/>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652B1604-76B7-46FC-AE55-268E5C9570E5}"/>
    <cellStyle name="20% - Accent3 2 2 2 3 2 3" xfId="11717" xr:uid="{D86CEB65-F5F6-4E88-853E-D854D7AF9921}"/>
    <cellStyle name="20% - Accent3 2 2 2 3 3" xfId="5351" xr:uid="{00000000-0005-0000-0000-00004C010000}"/>
    <cellStyle name="20% - Accent3 2 2 2 3 3 2" xfId="13790" xr:uid="{60D4E0B3-580C-4F80-AD45-8EE6E31C7DA1}"/>
    <cellStyle name="20% - Accent3 2 2 2 3 4" xfId="9572" xr:uid="{9D77855A-743F-442D-98FF-47DC10B4EBE3}"/>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EAEFDE70-5419-4875-8599-77F48488F00B}"/>
    <cellStyle name="20% - Accent3 2 2 2 4 2 3" xfId="12130" xr:uid="{38437549-0DBF-40E5-9AD7-746154A58508}"/>
    <cellStyle name="20% - Accent3 2 2 2 4 3" xfId="5764" xr:uid="{00000000-0005-0000-0000-000050010000}"/>
    <cellStyle name="20% - Accent3 2 2 2 4 3 2" xfId="14203" xr:uid="{E3F9A7F6-00E3-47B8-98C2-20686DC3832B}"/>
    <cellStyle name="20% - Accent3 2 2 2 4 4" xfId="9985" xr:uid="{7360C1D7-EC61-4648-AD7C-A12B02851592}"/>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AFE986F9-DBB5-4EB6-8FA1-7E1EF4E758B7}"/>
    <cellStyle name="20% - Accent3 2 2 2 5 2 3" xfId="12543" xr:uid="{7D8B6056-1C02-4711-9501-4696B92F377A}"/>
    <cellStyle name="20% - Accent3 2 2 2 5 3" xfId="6177" xr:uid="{00000000-0005-0000-0000-000054010000}"/>
    <cellStyle name="20% - Accent3 2 2 2 5 3 2" xfId="14616" xr:uid="{137FD3E2-BCD3-41FA-9119-3F618F692E4D}"/>
    <cellStyle name="20% - Accent3 2 2 2 5 4" xfId="10398" xr:uid="{4CE6E069-7AB3-4F16-B92C-07083C4A2E92}"/>
    <cellStyle name="20% - Accent3 2 2 2 6" xfId="2283" xr:uid="{00000000-0005-0000-0000-000055010000}"/>
    <cellStyle name="20% - Accent3 2 2 2 6 2" xfId="6590" xr:uid="{00000000-0005-0000-0000-000056010000}"/>
    <cellStyle name="20% - Accent3 2 2 2 6 2 2" xfId="15029" xr:uid="{4DE039A3-48C9-4AF5-8021-E20D40C32A2C}"/>
    <cellStyle name="20% - Accent3 2 2 2 6 3" xfId="10811" xr:uid="{DC0C9A2E-DD4E-4369-9AE5-F44EA434ED5A}"/>
    <cellStyle name="20% - Accent3 2 2 2 7" xfId="4524" xr:uid="{00000000-0005-0000-0000-000057010000}"/>
    <cellStyle name="20% - Accent3 2 2 2 7 2" xfId="12963" xr:uid="{934F1E52-95EA-43BE-B33E-9579A72741B0}"/>
    <cellStyle name="20% - Accent3 2 2 2 8" xfId="8745" xr:uid="{3A3DF7DA-1DBA-4591-9622-B3BF48F74886}"/>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55B6CBAB-06F6-4981-8EE1-48C9ADEE00F7}"/>
    <cellStyle name="20% - Accent3 2 2 3 2 3" xfId="11303" xr:uid="{F64C0B83-D1A4-4E25-BDA4-463EA2B2DE95}"/>
    <cellStyle name="20% - Accent3 2 2 3 3" xfId="4937" xr:uid="{00000000-0005-0000-0000-00005B010000}"/>
    <cellStyle name="20% - Accent3 2 2 3 3 2" xfId="13376" xr:uid="{9F2A9371-B51E-40F7-A045-5EA3A79BC96E}"/>
    <cellStyle name="20% - Accent3 2 2 3 4" xfId="9158" xr:uid="{00A3371E-3504-44D9-AEAF-48DD1792D06C}"/>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A158FF8C-023A-4D61-A2E0-9B197F8B4D32}"/>
    <cellStyle name="20% - Accent3 2 2 4 2 3" xfId="11716" xr:uid="{7164A5DE-AE48-4367-8E11-3A6FF85A7E6E}"/>
    <cellStyle name="20% - Accent3 2 2 4 3" xfId="5350" xr:uid="{00000000-0005-0000-0000-00005F010000}"/>
    <cellStyle name="20% - Accent3 2 2 4 3 2" xfId="13789" xr:uid="{601728DE-8974-44EA-930D-ECD66276CD97}"/>
    <cellStyle name="20% - Accent3 2 2 4 4" xfId="9571" xr:uid="{60210C01-BEFA-40CB-901A-649D55D98529}"/>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B8B63533-A4DA-4C08-A8F0-4F297602CED6}"/>
    <cellStyle name="20% - Accent3 2 2 5 2 3" xfId="12129" xr:uid="{48884E21-9242-4A56-8228-9D1A1A04E800}"/>
    <cellStyle name="20% - Accent3 2 2 5 3" xfId="5763" xr:uid="{00000000-0005-0000-0000-000063010000}"/>
    <cellStyle name="20% - Accent3 2 2 5 3 2" xfId="14202" xr:uid="{12EF11A8-0A8B-4176-8570-517FC641621C}"/>
    <cellStyle name="20% - Accent3 2 2 5 4" xfId="9984" xr:uid="{BA6934C5-4004-4E33-86A6-81E19CF81C79}"/>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F51D0558-F909-4613-9149-464752F8C31D}"/>
    <cellStyle name="20% - Accent3 2 2 6 2 3" xfId="12542" xr:uid="{F9604BAF-F1D1-4366-9E4F-9557BC1215B6}"/>
    <cellStyle name="20% - Accent3 2 2 6 3" xfId="6176" xr:uid="{00000000-0005-0000-0000-000067010000}"/>
    <cellStyle name="20% - Accent3 2 2 6 3 2" xfId="14615" xr:uid="{5141C7A7-AEDC-43A0-87DD-7950FA6C8DBD}"/>
    <cellStyle name="20% - Accent3 2 2 6 4" xfId="10397" xr:uid="{3829BC82-D91C-4330-ADF4-7DBFDF9B6762}"/>
    <cellStyle name="20% - Accent3 2 2 7" xfId="2282" xr:uid="{00000000-0005-0000-0000-000068010000}"/>
    <cellStyle name="20% - Accent3 2 2 7 2" xfId="6589" xr:uid="{00000000-0005-0000-0000-000069010000}"/>
    <cellStyle name="20% - Accent3 2 2 7 2 2" xfId="15028" xr:uid="{018438BC-6DAB-443C-BBDD-876B41152D66}"/>
    <cellStyle name="20% - Accent3 2 2 7 3" xfId="10810" xr:uid="{8DA91D1D-5E1D-43C5-AFA4-A2ECA8393B0B}"/>
    <cellStyle name="20% - Accent3 2 2 8" xfId="4523" xr:uid="{00000000-0005-0000-0000-00006A010000}"/>
    <cellStyle name="20% - Accent3 2 2 8 2" xfId="12962" xr:uid="{A47E2A7B-E4DD-4312-8E7F-98EB153E6FDC}"/>
    <cellStyle name="20% - Accent3 2 2 9" xfId="8744" xr:uid="{CEFF6302-4F38-4A65-88BE-96F2D1C309DB}"/>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13633472-F8C1-4696-A9DE-4F153562B5CC}"/>
    <cellStyle name="20% - Accent3 2 3 2 2 3" xfId="11305" xr:uid="{E93279A1-4A03-4E65-9DF5-4EB2319A0276}"/>
    <cellStyle name="20% - Accent3 2 3 2 3" xfId="4939" xr:uid="{00000000-0005-0000-0000-00006F010000}"/>
    <cellStyle name="20% - Accent3 2 3 2 3 2" xfId="13378" xr:uid="{0AE880B7-174E-4FCC-97B7-862E64615EC7}"/>
    <cellStyle name="20% - Accent3 2 3 2 4" xfId="9160" xr:uid="{6D6B3C64-FD8D-43C1-BD80-6C0850A78EA3}"/>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66A3C57E-9ECF-4BDA-AECB-570AF342CD98}"/>
    <cellStyle name="20% - Accent3 2 3 3 2 3" xfId="11718" xr:uid="{4D2D63BA-CF86-4ED6-8180-3D4D643DC23F}"/>
    <cellStyle name="20% - Accent3 2 3 3 3" xfId="5352" xr:uid="{00000000-0005-0000-0000-000073010000}"/>
    <cellStyle name="20% - Accent3 2 3 3 3 2" xfId="13791" xr:uid="{DCCB8505-E423-44EE-A860-057B64C2F428}"/>
    <cellStyle name="20% - Accent3 2 3 3 4" xfId="9573" xr:uid="{4146B00E-F1AD-4FB7-9380-531DD688E3B5}"/>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D3B05FF0-5997-4EE0-913C-329DE78C594C}"/>
    <cellStyle name="20% - Accent3 2 3 4 2 3" xfId="12131" xr:uid="{C1BE703B-FE2A-4EA1-861F-F7DB8886A317}"/>
    <cellStyle name="20% - Accent3 2 3 4 3" xfId="5765" xr:uid="{00000000-0005-0000-0000-000077010000}"/>
    <cellStyle name="20% - Accent3 2 3 4 3 2" xfId="14204" xr:uid="{556D6DAC-5260-4470-887B-48985651215E}"/>
    <cellStyle name="20% - Accent3 2 3 4 4" xfId="9986" xr:uid="{80CC72AF-9A5E-4695-A29B-74D619F7FAF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891CF409-E33B-4EB4-BAD1-4439A783F2E1}"/>
    <cellStyle name="20% - Accent3 2 3 5 2 3" xfId="12544" xr:uid="{6C2E6360-AB19-48C0-A6FF-FACBB13AD165}"/>
    <cellStyle name="20% - Accent3 2 3 5 3" xfId="6178" xr:uid="{00000000-0005-0000-0000-00007B010000}"/>
    <cellStyle name="20% - Accent3 2 3 5 3 2" xfId="14617" xr:uid="{3F5291DB-3F9D-40DC-8B86-3C06BAE5E67F}"/>
    <cellStyle name="20% - Accent3 2 3 5 4" xfId="10399" xr:uid="{6A399A6A-4EB8-492E-88E4-1392FE0FFF98}"/>
    <cellStyle name="20% - Accent3 2 3 6" xfId="2284" xr:uid="{00000000-0005-0000-0000-00007C010000}"/>
    <cellStyle name="20% - Accent3 2 3 6 2" xfId="6591" xr:uid="{00000000-0005-0000-0000-00007D010000}"/>
    <cellStyle name="20% - Accent3 2 3 6 2 2" xfId="15030" xr:uid="{C2C1C481-B266-41C6-8AE8-894FA120370A}"/>
    <cellStyle name="20% - Accent3 2 3 6 3" xfId="10812" xr:uid="{9DDB738E-71BA-40FA-9680-0AEF271CD53E}"/>
    <cellStyle name="20% - Accent3 2 3 7" xfId="4525" xr:uid="{00000000-0005-0000-0000-00007E010000}"/>
    <cellStyle name="20% - Accent3 2 3 7 2" xfId="12964" xr:uid="{C46D588D-6E05-41CB-8115-5F0D4CCA306A}"/>
    <cellStyle name="20% - Accent3 2 3 8" xfId="8746" xr:uid="{A4578FFA-A67A-4605-B2C0-75E55E91A30A}"/>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94C25C8A-E13E-4981-BEE6-C949E5BEB258}"/>
    <cellStyle name="20% - Accent3 2 4 2 3" xfId="11302" xr:uid="{92D76047-3EBC-44F1-896B-5FEECD924AEE}"/>
    <cellStyle name="20% - Accent3 2 4 3" xfId="4936" xr:uid="{00000000-0005-0000-0000-000082010000}"/>
    <cellStyle name="20% - Accent3 2 4 3 2" xfId="13375" xr:uid="{D567E2F0-327B-40DD-8475-BF247A608754}"/>
    <cellStyle name="20% - Accent3 2 4 4" xfId="9157" xr:uid="{E1D8C3CD-2BF4-48B5-B50E-03F7B4E7DD33}"/>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3B0ACE85-3982-4795-8434-C2BCF9309D66}"/>
    <cellStyle name="20% - Accent3 2 5 2 3" xfId="11715" xr:uid="{6CA01851-4EA1-40AB-A36A-67CB8674DE42}"/>
    <cellStyle name="20% - Accent3 2 5 3" xfId="5349" xr:uid="{00000000-0005-0000-0000-000086010000}"/>
    <cellStyle name="20% - Accent3 2 5 3 2" xfId="13788" xr:uid="{74CEE16E-53F4-4C90-91D9-8ACC03DEC3F2}"/>
    <cellStyle name="20% - Accent3 2 5 4" xfId="9570" xr:uid="{D95F86E0-B364-4E8E-9A2B-3936C7028551}"/>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B253720F-298C-45E0-9B1F-6F5172044FEF}"/>
    <cellStyle name="20% - Accent3 2 6 2 3" xfId="12128" xr:uid="{FC2EB752-8C5C-4CD6-944E-58D0F02D3C43}"/>
    <cellStyle name="20% - Accent3 2 6 3" xfId="5762" xr:uid="{00000000-0005-0000-0000-00008A010000}"/>
    <cellStyle name="20% - Accent3 2 6 3 2" xfId="14201" xr:uid="{76D32302-5CAB-414C-B552-49B494AF99D7}"/>
    <cellStyle name="20% - Accent3 2 6 4" xfId="9983" xr:uid="{F477430F-ECC0-48A6-9FF9-8025DFC1F457}"/>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BC816773-0377-4D99-8CF0-18862DEA6081}"/>
    <cellStyle name="20% - Accent3 2 7 2 3" xfId="12541" xr:uid="{04C00A51-D7B0-4C3A-9261-F16C20415EB9}"/>
    <cellStyle name="20% - Accent3 2 7 3" xfId="6175" xr:uid="{00000000-0005-0000-0000-00008E010000}"/>
    <cellStyle name="20% - Accent3 2 7 3 2" xfId="14614" xr:uid="{4379E7B4-8F49-485D-B0F7-E6C573037795}"/>
    <cellStyle name="20% - Accent3 2 7 4" xfId="10396" xr:uid="{9DD86907-5B31-494A-8A56-39AF922C257A}"/>
    <cellStyle name="20% - Accent3 2 8" xfId="2281" xr:uid="{00000000-0005-0000-0000-00008F010000}"/>
    <cellStyle name="20% - Accent3 2 8 2" xfId="6588" xr:uid="{00000000-0005-0000-0000-000090010000}"/>
    <cellStyle name="20% - Accent3 2 8 2 2" xfId="15027" xr:uid="{A7CBA5E5-485A-4F07-AD3F-B93B92CAA8F4}"/>
    <cellStyle name="20% - Accent3 2 8 3" xfId="10809" xr:uid="{E1A868B5-07C4-41B5-BB52-B8134F44A477}"/>
    <cellStyle name="20% - Accent3 2 9" xfId="4522" xr:uid="{00000000-0005-0000-0000-000091010000}"/>
    <cellStyle name="20% - Accent3 2 9 2" xfId="12961" xr:uid="{A6C4ABF3-7647-4175-896F-51A0FECC4B4F}"/>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9C303CFB-E624-43F8-B864-210FB3515880}"/>
    <cellStyle name="20% - Accent3 3 2 2 2 3" xfId="11307" xr:uid="{EFFEF973-661A-4647-8F11-609776823E98}"/>
    <cellStyle name="20% - Accent3 3 2 2 3" xfId="4941" xr:uid="{00000000-0005-0000-0000-000097010000}"/>
    <cellStyle name="20% - Accent3 3 2 2 3 2" xfId="13380" xr:uid="{51FBEDEE-0D4A-43DB-A249-7504F304CC02}"/>
    <cellStyle name="20% - Accent3 3 2 2 4" xfId="9162" xr:uid="{2885F8F1-7317-406E-8E56-AA34930551FE}"/>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38AD471E-ECD4-4882-BAD4-681E7C61D60C}"/>
    <cellStyle name="20% - Accent3 3 2 3 2 3" xfId="11720" xr:uid="{34929AC4-8A6D-456D-B587-BD5B7E648D66}"/>
    <cellStyle name="20% - Accent3 3 2 3 3" xfId="5354" xr:uid="{00000000-0005-0000-0000-00009B010000}"/>
    <cellStyle name="20% - Accent3 3 2 3 3 2" xfId="13793" xr:uid="{4A69E142-77DB-4C2C-81D6-655DAF5C791F}"/>
    <cellStyle name="20% - Accent3 3 2 3 4" xfId="9575" xr:uid="{6A064D1C-549B-43C3-8C3A-BA0ECB047A1D}"/>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F729F26C-F312-4CC9-9E34-C13622C502BE}"/>
    <cellStyle name="20% - Accent3 3 2 4 2 3" xfId="12133" xr:uid="{C15DB7CC-DCCF-4895-BA3D-4E1F84E3CF19}"/>
    <cellStyle name="20% - Accent3 3 2 4 3" xfId="5767" xr:uid="{00000000-0005-0000-0000-00009F010000}"/>
    <cellStyle name="20% - Accent3 3 2 4 3 2" xfId="14206" xr:uid="{2B59C32E-7192-4815-A890-2D7BADF97220}"/>
    <cellStyle name="20% - Accent3 3 2 4 4" xfId="9988" xr:uid="{B1096B07-EE53-418D-BE27-0D77D1A9B66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0EFD0A4E-A4F7-4F7A-B582-CFDC6714EE73}"/>
    <cellStyle name="20% - Accent3 3 2 5 2 3" xfId="12546" xr:uid="{55A34767-4D1E-48BD-9398-645A25200E08}"/>
    <cellStyle name="20% - Accent3 3 2 5 3" xfId="6180" xr:uid="{00000000-0005-0000-0000-0000A3010000}"/>
    <cellStyle name="20% - Accent3 3 2 5 3 2" xfId="14619" xr:uid="{611853FE-27A1-4F43-9FF0-DD7ABEBD4999}"/>
    <cellStyle name="20% - Accent3 3 2 5 4" xfId="10401" xr:uid="{9B046925-E263-4B31-A95E-D0D141E2BBA6}"/>
    <cellStyle name="20% - Accent3 3 2 6" xfId="2286" xr:uid="{00000000-0005-0000-0000-0000A4010000}"/>
    <cellStyle name="20% - Accent3 3 2 6 2" xfId="6593" xr:uid="{00000000-0005-0000-0000-0000A5010000}"/>
    <cellStyle name="20% - Accent3 3 2 6 2 2" xfId="15032" xr:uid="{1F859A4E-2622-4B0A-92C0-95E83024E6C5}"/>
    <cellStyle name="20% - Accent3 3 2 6 3" xfId="10814" xr:uid="{C227BCE7-FE4A-4E55-B0CA-4F7771D18AC9}"/>
    <cellStyle name="20% - Accent3 3 2 7" xfId="4527" xr:uid="{00000000-0005-0000-0000-0000A6010000}"/>
    <cellStyle name="20% - Accent3 3 2 7 2" xfId="12966" xr:uid="{E0CD2AD2-7C7B-40A1-A969-1377F2601780}"/>
    <cellStyle name="20% - Accent3 3 2 8" xfId="8748" xr:uid="{A20D2912-D72C-4D72-A385-0C8DFC15ECAB}"/>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26479A48-4974-4042-A37F-F62321709ED6}"/>
    <cellStyle name="20% - Accent3 3 3 2 3" xfId="11306" xr:uid="{F5298922-6726-41C1-94CF-3626CF0F9D49}"/>
    <cellStyle name="20% - Accent3 3 3 3" xfId="4940" xr:uid="{00000000-0005-0000-0000-0000AA010000}"/>
    <cellStyle name="20% - Accent3 3 3 3 2" xfId="13379" xr:uid="{1C93F5A8-0C50-4BB3-8239-C99652E4A599}"/>
    <cellStyle name="20% - Accent3 3 3 4" xfId="9161" xr:uid="{550DE2F5-7849-40E4-BDF8-B47880C3884A}"/>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4600B45C-BD4B-4381-9951-DB8C58E47B2B}"/>
    <cellStyle name="20% - Accent3 3 4 2 3" xfId="11719" xr:uid="{2E184155-1D17-4453-B69F-2939B9295B99}"/>
    <cellStyle name="20% - Accent3 3 4 3" xfId="5353" xr:uid="{00000000-0005-0000-0000-0000AE010000}"/>
    <cellStyle name="20% - Accent3 3 4 3 2" xfId="13792" xr:uid="{F105D4E7-3E14-4FA2-99AB-B9349F7300A3}"/>
    <cellStyle name="20% - Accent3 3 4 4" xfId="9574" xr:uid="{77901DAA-05FB-4EE6-878B-43EB2A246ED0}"/>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E4BFD02A-AACE-4C05-831E-49A5469E0813}"/>
    <cellStyle name="20% - Accent3 3 5 2 3" xfId="12132" xr:uid="{CAE3E8C6-DD9E-490D-B1E8-0DF6E046F842}"/>
    <cellStyle name="20% - Accent3 3 5 3" xfId="5766" xr:uid="{00000000-0005-0000-0000-0000B2010000}"/>
    <cellStyle name="20% - Accent3 3 5 3 2" xfId="14205" xr:uid="{AF8812E3-7F9E-43E2-8D1D-4BF1EFB16C38}"/>
    <cellStyle name="20% - Accent3 3 5 4" xfId="9987" xr:uid="{BE1730D0-1B0B-4554-A2BC-5D5EB628AFC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A0FBD350-9E99-4BA2-9EF8-8CAFBB16E489}"/>
    <cellStyle name="20% - Accent3 3 6 2 3" xfId="12545" xr:uid="{44435C42-282B-4030-92FF-B71E2E2EBD64}"/>
    <cellStyle name="20% - Accent3 3 6 3" xfId="6179" xr:uid="{00000000-0005-0000-0000-0000B6010000}"/>
    <cellStyle name="20% - Accent3 3 6 3 2" xfId="14618" xr:uid="{087BD55E-EA9C-43DF-89AA-1A88C3E5A45B}"/>
    <cellStyle name="20% - Accent3 3 6 4" xfId="10400" xr:uid="{8C5ADA4F-80E4-41BF-B3E5-12B91B089160}"/>
    <cellStyle name="20% - Accent3 3 7" xfId="2285" xr:uid="{00000000-0005-0000-0000-0000B7010000}"/>
    <cellStyle name="20% - Accent3 3 7 2" xfId="6592" xr:uid="{00000000-0005-0000-0000-0000B8010000}"/>
    <cellStyle name="20% - Accent3 3 7 2 2" xfId="15031" xr:uid="{6708EF36-035E-48B3-AF5A-4519867C06AC}"/>
    <cellStyle name="20% - Accent3 3 7 3" xfId="10813" xr:uid="{5ED45E38-1CD9-4972-B957-30B739434B44}"/>
    <cellStyle name="20% - Accent3 3 8" xfId="4526" xr:uid="{00000000-0005-0000-0000-0000B9010000}"/>
    <cellStyle name="20% - Accent3 3 8 2" xfId="12965" xr:uid="{7E8E5312-9A25-4056-AAAA-2A794A16E041}"/>
    <cellStyle name="20% - Accent3 3 9" xfId="8747" xr:uid="{B5CCC699-0141-400F-B40F-4FA1C70D163D}"/>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C4F26873-8481-4CE6-9042-8E7885BEA376}"/>
    <cellStyle name="20% - Accent3 4 2 2 3" xfId="11308" xr:uid="{AA3D3645-EC8B-4F64-B308-AB01D218DEC2}"/>
    <cellStyle name="20% - Accent3 4 2 3" xfId="4942" xr:uid="{00000000-0005-0000-0000-0000BE010000}"/>
    <cellStyle name="20% - Accent3 4 2 3 2" xfId="13381" xr:uid="{D303F162-11A3-49B7-A285-0750FEF6552B}"/>
    <cellStyle name="20% - Accent3 4 2 4" xfId="9163" xr:uid="{07B9EA23-438B-4F4D-9AB1-2CD8D187612C}"/>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15A94D3A-73D6-4B7A-A54C-B6B21044DEE6}"/>
    <cellStyle name="20% - Accent3 4 3 2 3" xfId="11721" xr:uid="{196F4531-A192-402F-8E7D-350600411B39}"/>
    <cellStyle name="20% - Accent3 4 3 3" xfId="5355" xr:uid="{00000000-0005-0000-0000-0000C2010000}"/>
    <cellStyle name="20% - Accent3 4 3 3 2" xfId="13794" xr:uid="{3E64E96C-1651-4350-AF8B-1B65324306FD}"/>
    <cellStyle name="20% - Accent3 4 3 4" xfId="9576" xr:uid="{D25B237C-6C8F-42FE-A82A-14F1ECCDAA7A}"/>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0476557F-4473-46FD-8C4F-1401C80D487B}"/>
    <cellStyle name="20% - Accent3 4 4 2 3" xfId="12134" xr:uid="{F40A5613-7E91-4485-BDAE-DA82602030A1}"/>
    <cellStyle name="20% - Accent3 4 4 3" xfId="5768" xr:uid="{00000000-0005-0000-0000-0000C6010000}"/>
    <cellStyle name="20% - Accent3 4 4 3 2" xfId="14207" xr:uid="{9C2419D6-8FF2-425D-8C59-31FECA370EE8}"/>
    <cellStyle name="20% - Accent3 4 4 4" xfId="9989" xr:uid="{E37B76D9-8286-4FFB-A688-0EDFEEF26661}"/>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0DA7C306-2926-483F-B2BE-4888D6F52752}"/>
    <cellStyle name="20% - Accent3 4 5 2 3" xfId="12547" xr:uid="{21D77A7E-900C-4B72-98AC-D476048A66B6}"/>
    <cellStyle name="20% - Accent3 4 5 3" xfId="6181" xr:uid="{00000000-0005-0000-0000-0000CA010000}"/>
    <cellStyle name="20% - Accent3 4 5 3 2" xfId="14620" xr:uid="{EBA81717-2487-4352-B37E-B412B098BF5A}"/>
    <cellStyle name="20% - Accent3 4 5 4" xfId="10402" xr:uid="{BD71E73A-3640-456D-9272-1FE64AB72305}"/>
    <cellStyle name="20% - Accent3 4 6" xfId="2287" xr:uid="{00000000-0005-0000-0000-0000CB010000}"/>
    <cellStyle name="20% - Accent3 4 6 2" xfId="6594" xr:uid="{00000000-0005-0000-0000-0000CC010000}"/>
    <cellStyle name="20% - Accent3 4 6 2 2" xfId="15033" xr:uid="{213F2BD4-2149-4CC3-AEC3-470B95AB7F35}"/>
    <cellStyle name="20% - Accent3 4 6 3" xfId="10815" xr:uid="{BE884941-BE66-4A2A-A689-7DFE3D17E727}"/>
    <cellStyle name="20% - Accent3 4 7" xfId="4528" xr:uid="{00000000-0005-0000-0000-0000CD010000}"/>
    <cellStyle name="20% - Accent3 4 7 2" xfId="12967" xr:uid="{46483BEC-8766-4B89-9A0D-1DC1D5DB000E}"/>
    <cellStyle name="20% - Accent3 4 8" xfId="8749" xr:uid="{B83D3ED6-DBA1-44A0-9CC7-CCA0E0AAF171}"/>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FC0FB8BB-D39C-43FC-BE62-0CEEDF342076}"/>
    <cellStyle name="20% - Accent3 5 2 3" xfId="11301" xr:uid="{D6CE33C8-2EAD-42C7-B1CF-C11F437D16CE}"/>
    <cellStyle name="20% - Accent3 5 3" xfId="4935" xr:uid="{00000000-0005-0000-0000-0000D1010000}"/>
    <cellStyle name="20% - Accent3 5 3 2" xfId="13374" xr:uid="{332E3A23-7A4F-4733-BE63-B3F92D975F8B}"/>
    <cellStyle name="20% - Accent3 5 4" xfId="9156" xr:uid="{37630BF7-D9D7-4F29-9E39-E97BCCF2141C}"/>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3A70E376-C2BE-4D66-8CC7-D4564068B81E}"/>
    <cellStyle name="20% - Accent3 6 2 3" xfId="11714" xr:uid="{28ADC3C9-E391-4DEE-88DF-1D24F08A1991}"/>
    <cellStyle name="20% - Accent3 6 3" xfId="5348" xr:uid="{00000000-0005-0000-0000-0000D5010000}"/>
    <cellStyle name="20% - Accent3 6 3 2" xfId="13787" xr:uid="{D8CF82DF-21E6-4BC9-AB1E-E563FD11EF14}"/>
    <cellStyle name="20% - Accent3 6 4" xfId="9569" xr:uid="{05C72D27-038E-477E-8E2C-A8501D5BAE21}"/>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482F729C-04CC-44BE-A7B2-497EFED3CD15}"/>
    <cellStyle name="20% - Accent3 7 2 3" xfId="12127" xr:uid="{6A6E01D8-30E4-4CB3-884D-BB195F8E9DCD}"/>
    <cellStyle name="20% - Accent3 7 3" xfId="5761" xr:uid="{00000000-0005-0000-0000-0000D9010000}"/>
    <cellStyle name="20% - Accent3 7 3 2" xfId="14200" xr:uid="{B284AC7B-243E-447D-A478-909A4DC58CC9}"/>
    <cellStyle name="20% - Accent3 7 4" xfId="9982" xr:uid="{84EE9AEF-67C5-4E49-9CAE-5D9E9FC459ED}"/>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8A4B8DF2-3BFB-40E1-92FC-B705172E64CF}"/>
    <cellStyle name="20% - Accent3 8 2 3" xfId="12540" xr:uid="{96EE4E17-8567-49CE-83A2-055808B9EDCD}"/>
    <cellStyle name="20% - Accent3 8 3" xfId="6174" xr:uid="{00000000-0005-0000-0000-0000DD010000}"/>
    <cellStyle name="20% - Accent3 8 3 2" xfId="14613" xr:uid="{6ABDBBFE-7ECC-4C1B-995A-32B7745F00B2}"/>
    <cellStyle name="20% - Accent3 8 4" xfId="10395" xr:uid="{B8D351FC-A58B-4CB9-AAF1-116BDDB9D713}"/>
    <cellStyle name="20% - Accent3 9" xfId="2280" xr:uid="{00000000-0005-0000-0000-0000DE010000}"/>
    <cellStyle name="20% - Accent3 9 2" xfId="6587" xr:uid="{00000000-0005-0000-0000-0000DF010000}"/>
    <cellStyle name="20% - Accent3 9 2 2" xfId="15026" xr:uid="{E1F58798-C341-48DE-98D2-FFD98862AA24}"/>
    <cellStyle name="20% - Accent3 9 3" xfId="10808" xr:uid="{E391D170-B4C7-491B-A9D4-82462609EC29}"/>
    <cellStyle name="20% - Accent4" xfId="25" builtinId="42" customBuiltin="1"/>
    <cellStyle name="20% - Accent4 10" xfId="4529" xr:uid="{00000000-0005-0000-0000-0000E1010000}"/>
    <cellStyle name="20% - Accent4 10 2" xfId="12968" xr:uid="{1A0EB393-5A5F-46C4-9F56-8E984F70CD11}"/>
    <cellStyle name="20% - Accent4 11" xfId="8750" xr:uid="{BFA6885F-7687-4EA6-906B-01AF2D6E9FAA}"/>
    <cellStyle name="20% - Accent4 2" xfId="26" xr:uid="{00000000-0005-0000-0000-0000E2010000}"/>
    <cellStyle name="20% - Accent4 2 10" xfId="8751" xr:uid="{ED8A6532-C3E1-41B5-ADF5-C90705824A9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ABF2E2E9-3B23-4455-919F-6216B203B9F4}"/>
    <cellStyle name="20% - Accent4 2 2 2 2 2 3" xfId="11312" xr:uid="{400CD53E-21AE-4767-9780-2F7AD9326260}"/>
    <cellStyle name="20% - Accent4 2 2 2 2 3" xfId="4946" xr:uid="{00000000-0005-0000-0000-0000E8010000}"/>
    <cellStyle name="20% - Accent4 2 2 2 2 3 2" xfId="13385" xr:uid="{85C80311-22DA-4A6E-B3B3-B79C94A0C2A6}"/>
    <cellStyle name="20% - Accent4 2 2 2 2 4" xfId="9167" xr:uid="{78BB416C-1B7B-4E1A-8751-5789DA3AE80B}"/>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9AB98A4E-83F6-45C2-9E3E-BCB83ADE5AA5}"/>
    <cellStyle name="20% - Accent4 2 2 2 3 2 3" xfId="11725" xr:uid="{C8D3D833-3636-4888-B4BA-9664DF54BA17}"/>
    <cellStyle name="20% - Accent4 2 2 2 3 3" xfId="5359" xr:uid="{00000000-0005-0000-0000-0000EC010000}"/>
    <cellStyle name="20% - Accent4 2 2 2 3 3 2" xfId="13798" xr:uid="{41B0149D-A67F-48DA-AAB1-6B0C67D1F113}"/>
    <cellStyle name="20% - Accent4 2 2 2 3 4" xfId="9580" xr:uid="{8FEB2C50-4238-4EDF-BA86-A804EFCFDEEE}"/>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CC889F17-16AD-44B9-BE55-A947B9A90481}"/>
    <cellStyle name="20% - Accent4 2 2 2 4 2 3" xfId="12138" xr:uid="{AA8FEB76-3EBA-4F0C-B6AF-F03BA21C2E4D}"/>
    <cellStyle name="20% - Accent4 2 2 2 4 3" xfId="5772" xr:uid="{00000000-0005-0000-0000-0000F0010000}"/>
    <cellStyle name="20% - Accent4 2 2 2 4 3 2" xfId="14211" xr:uid="{591C82D8-4A72-4895-84F8-C197FFE4DB55}"/>
    <cellStyle name="20% - Accent4 2 2 2 4 4" xfId="9993" xr:uid="{CB9D8536-1E9F-4CA6-963E-122534F30BD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D9ADD429-0694-44F4-A226-E927AE4966E0}"/>
    <cellStyle name="20% - Accent4 2 2 2 5 2 3" xfId="12551" xr:uid="{22C8C17A-B7C4-43F4-89AC-0F79092EE5E5}"/>
    <cellStyle name="20% - Accent4 2 2 2 5 3" xfId="6185" xr:uid="{00000000-0005-0000-0000-0000F4010000}"/>
    <cellStyle name="20% - Accent4 2 2 2 5 3 2" xfId="14624" xr:uid="{97FBAEE2-B437-4ECB-9F3F-06FD075BB30E}"/>
    <cellStyle name="20% - Accent4 2 2 2 5 4" xfId="10406" xr:uid="{5B48BB5C-F308-47CF-9AF8-19CE999C0984}"/>
    <cellStyle name="20% - Accent4 2 2 2 6" xfId="2291" xr:uid="{00000000-0005-0000-0000-0000F5010000}"/>
    <cellStyle name="20% - Accent4 2 2 2 6 2" xfId="6598" xr:uid="{00000000-0005-0000-0000-0000F6010000}"/>
    <cellStyle name="20% - Accent4 2 2 2 6 2 2" xfId="15037" xr:uid="{D53B69F1-FF8A-4D45-A0D0-D09FDB107EBF}"/>
    <cellStyle name="20% - Accent4 2 2 2 6 3" xfId="10819" xr:uid="{EC75EB89-4A1B-4535-8C8E-148DEF9A56ED}"/>
    <cellStyle name="20% - Accent4 2 2 2 7" xfId="4532" xr:uid="{00000000-0005-0000-0000-0000F7010000}"/>
    <cellStyle name="20% - Accent4 2 2 2 7 2" xfId="12971" xr:uid="{63AEA67D-E8B9-4E6C-B4AB-303DB7C32E68}"/>
    <cellStyle name="20% - Accent4 2 2 2 8" xfId="8753" xr:uid="{F81FF110-F47E-4DDA-B8AD-F7B640B4AECC}"/>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42A28C9D-9088-44B9-8969-C18BD449C87B}"/>
    <cellStyle name="20% - Accent4 2 2 3 2 3" xfId="11311" xr:uid="{6E08B8A3-5DA2-4BDF-B9B9-592E5FD3EBE5}"/>
    <cellStyle name="20% - Accent4 2 2 3 3" xfId="4945" xr:uid="{00000000-0005-0000-0000-0000FB010000}"/>
    <cellStyle name="20% - Accent4 2 2 3 3 2" xfId="13384" xr:uid="{358FCAAC-BD49-4CC7-B618-2990704A2A06}"/>
    <cellStyle name="20% - Accent4 2 2 3 4" xfId="9166" xr:uid="{15C2B62C-306C-44E5-A9BA-AD03750C412E}"/>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A4DC0A6A-30EB-4C00-BDC5-E51CA7140523}"/>
    <cellStyle name="20% - Accent4 2 2 4 2 3" xfId="11724" xr:uid="{6F22ED00-FEBB-40AD-9E41-CDF2E54ACD31}"/>
    <cellStyle name="20% - Accent4 2 2 4 3" xfId="5358" xr:uid="{00000000-0005-0000-0000-0000FF010000}"/>
    <cellStyle name="20% - Accent4 2 2 4 3 2" xfId="13797" xr:uid="{A8F02AEF-85E7-4389-B8DC-44DF5345CAFF}"/>
    <cellStyle name="20% - Accent4 2 2 4 4" xfId="9579" xr:uid="{A0AC0682-7031-41D7-87C3-B2C1A6860D62}"/>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013CF5C3-42E2-40DE-A730-692F33BD243B}"/>
    <cellStyle name="20% - Accent4 2 2 5 2 3" xfId="12137" xr:uid="{DC962E0C-A89F-4290-BC5B-A79FAF0D036A}"/>
    <cellStyle name="20% - Accent4 2 2 5 3" xfId="5771" xr:uid="{00000000-0005-0000-0000-000003020000}"/>
    <cellStyle name="20% - Accent4 2 2 5 3 2" xfId="14210" xr:uid="{4BFB84F7-520A-4121-A7B7-0C4A6838A248}"/>
    <cellStyle name="20% - Accent4 2 2 5 4" xfId="9992" xr:uid="{4FE082E7-3ECA-48B9-963B-2C0DA9CC3A9C}"/>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5D072364-9B0C-423B-840B-E71649CF289A}"/>
    <cellStyle name="20% - Accent4 2 2 6 2 3" xfId="12550" xr:uid="{FEEE6409-639A-4A5C-A5F0-41883B728657}"/>
    <cellStyle name="20% - Accent4 2 2 6 3" xfId="6184" xr:uid="{00000000-0005-0000-0000-000007020000}"/>
    <cellStyle name="20% - Accent4 2 2 6 3 2" xfId="14623" xr:uid="{0998C46C-92D8-43F8-868F-63D088B33765}"/>
    <cellStyle name="20% - Accent4 2 2 6 4" xfId="10405" xr:uid="{80E2DE7D-8A12-458A-9A73-93F9FF4FB499}"/>
    <cellStyle name="20% - Accent4 2 2 7" xfId="2290" xr:uid="{00000000-0005-0000-0000-000008020000}"/>
    <cellStyle name="20% - Accent4 2 2 7 2" xfId="6597" xr:uid="{00000000-0005-0000-0000-000009020000}"/>
    <cellStyle name="20% - Accent4 2 2 7 2 2" xfId="15036" xr:uid="{D0548F22-C23F-4113-8607-9AB23331A740}"/>
    <cellStyle name="20% - Accent4 2 2 7 3" xfId="10818" xr:uid="{FBCB5FC5-2A5D-41E8-9803-50C144B1B0EF}"/>
    <cellStyle name="20% - Accent4 2 2 8" xfId="4531" xr:uid="{00000000-0005-0000-0000-00000A020000}"/>
    <cellStyle name="20% - Accent4 2 2 8 2" xfId="12970" xr:uid="{FCBB2A25-E83B-411F-8233-5AAE10D1857C}"/>
    <cellStyle name="20% - Accent4 2 2 9" xfId="8752" xr:uid="{3CFE9EE7-9ED5-43DA-8E01-2EAB29D3E1C3}"/>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3775667F-262D-4695-9D41-FC25C9978884}"/>
    <cellStyle name="20% - Accent4 2 3 2 2 3" xfId="11313" xr:uid="{A05A663C-C7A2-416A-AC87-DDF8EF0586A5}"/>
    <cellStyle name="20% - Accent4 2 3 2 3" xfId="4947" xr:uid="{00000000-0005-0000-0000-00000F020000}"/>
    <cellStyle name="20% - Accent4 2 3 2 3 2" xfId="13386" xr:uid="{CCACEEA4-2693-4A47-B7C1-B48B15039E8C}"/>
    <cellStyle name="20% - Accent4 2 3 2 4" xfId="9168" xr:uid="{79AED1FE-9DAD-478F-8FCB-4656F3BFE855}"/>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0C4DD2BF-60D9-40D7-8601-7776E18A3F1E}"/>
    <cellStyle name="20% - Accent4 2 3 3 2 3" xfId="11726" xr:uid="{6F227DEB-6518-47E3-B6EF-374738E39E25}"/>
    <cellStyle name="20% - Accent4 2 3 3 3" xfId="5360" xr:uid="{00000000-0005-0000-0000-000013020000}"/>
    <cellStyle name="20% - Accent4 2 3 3 3 2" xfId="13799" xr:uid="{A10FC47D-65A3-455B-94D8-B8B263CF4955}"/>
    <cellStyle name="20% - Accent4 2 3 3 4" xfId="9581" xr:uid="{2CF093E8-2F04-41B0-BF36-3F214232B2B2}"/>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8C0D19C6-2B89-4C47-8436-1FB71B7EBB8F}"/>
    <cellStyle name="20% - Accent4 2 3 4 2 3" xfId="12139" xr:uid="{5D210E8E-9278-4CE4-AC5D-AC8632A69D06}"/>
    <cellStyle name="20% - Accent4 2 3 4 3" xfId="5773" xr:uid="{00000000-0005-0000-0000-000017020000}"/>
    <cellStyle name="20% - Accent4 2 3 4 3 2" xfId="14212" xr:uid="{66E5C6D8-309E-4AA0-A846-050F161A454A}"/>
    <cellStyle name="20% - Accent4 2 3 4 4" xfId="9994" xr:uid="{998196CB-6F9E-47C4-9AC0-79797498299F}"/>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E87399A7-8370-48E7-85C4-B2C776C60B26}"/>
    <cellStyle name="20% - Accent4 2 3 5 2 3" xfId="12552" xr:uid="{CB1BC85D-2215-4D84-882A-7FC59B659F0D}"/>
    <cellStyle name="20% - Accent4 2 3 5 3" xfId="6186" xr:uid="{00000000-0005-0000-0000-00001B020000}"/>
    <cellStyle name="20% - Accent4 2 3 5 3 2" xfId="14625" xr:uid="{E51E702D-AA94-404F-87FF-CAB7BE97C481}"/>
    <cellStyle name="20% - Accent4 2 3 5 4" xfId="10407" xr:uid="{EBFD19E5-1170-4A1F-9AD6-B00A633BBB80}"/>
    <cellStyle name="20% - Accent4 2 3 6" xfId="2292" xr:uid="{00000000-0005-0000-0000-00001C020000}"/>
    <cellStyle name="20% - Accent4 2 3 6 2" xfId="6599" xr:uid="{00000000-0005-0000-0000-00001D020000}"/>
    <cellStyle name="20% - Accent4 2 3 6 2 2" xfId="15038" xr:uid="{ADB887C2-D66A-4F54-BDC9-CAAC9EE14CF3}"/>
    <cellStyle name="20% - Accent4 2 3 6 3" xfId="10820" xr:uid="{0A6C2CB8-8C6B-45B8-8F4D-F5A39A141FE5}"/>
    <cellStyle name="20% - Accent4 2 3 7" xfId="4533" xr:uid="{00000000-0005-0000-0000-00001E020000}"/>
    <cellStyle name="20% - Accent4 2 3 7 2" xfId="12972" xr:uid="{A31B085D-45A1-41F9-BD31-489494F31EEC}"/>
    <cellStyle name="20% - Accent4 2 3 8" xfId="8754" xr:uid="{852BC25F-4D81-4DDE-A16C-770ED886638F}"/>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18EF369B-8925-4E8A-B761-C60276723FD3}"/>
    <cellStyle name="20% - Accent4 2 4 2 3" xfId="11310" xr:uid="{FED99C15-0EB9-4C4B-BBC7-ED9F54A7CA44}"/>
    <cellStyle name="20% - Accent4 2 4 3" xfId="4944" xr:uid="{00000000-0005-0000-0000-000022020000}"/>
    <cellStyle name="20% - Accent4 2 4 3 2" xfId="13383" xr:uid="{1C26C8F1-AF36-4FFD-9538-C56663AA17CF}"/>
    <cellStyle name="20% - Accent4 2 4 4" xfId="9165" xr:uid="{7A1072D5-8C2A-4D09-B815-C7AC8BA1FE3A}"/>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BC870FCC-6E19-44EE-8CC1-AC2A24C3F6A6}"/>
    <cellStyle name="20% - Accent4 2 5 2 3" xfId="11723" xr:uid="{11747010-E781-4B88-8D61-6FA4334DE749}"/>
    <cellStyle name="20% - Accent4 2 5 3" xfId="5357" xr:uid="{00000000-0005-0000-0000-000026020000}"/>
    <cellStyle name="20% - Accent4 2 5 3 2" xfId="13796" xr:uid="{4954781C-BE67-489F-A78A-24C35F0D690E}"/>
    <cellStyle name="20% - Accent4 2 5 4" xfId="9578" xr:uid="{FBB6A421-BED5-455F-B25D-6E3E9BE3963E}"/>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B370A3DE-3290-44C4-80EB-E1C804D335B9}"/>
    <cellStyle name="20% - Accent4 2 6 2 3" xfId="12136" xr:uid="{277C8CCE-FF88-4863-B880-225FF8E9D39F}"/>
    <cellStyle name="20% - Accent4 2 6 3" xfId="5770" xr:uid="{00000000-0005-0000-0000-00002A020000}"/>
    <cellStyle name="20% - Accent4 2 6 3 2" xfId="14209" xr:uid="{69B8FBEC-8B6B-4835-90F3-71548D9AB0F3}"/>
    <cellStyle name="20% - Accent4 2 6 4" xfId="9991" xr:uid="{186CF68C-1A61-4B2B-8A78-FEA48A34067F}"/>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D52328BC-C3A1-4D4C-8A3F-334E25B94C0C}"/>
    <cellStyle name="20% - Accent4 2 7 2 3" xfId="12549" xr:uid="{AD774E53-6C96-43AA-952A-3F355E2FA7C2}"/>
    <cellStyle name="20% - Accent4 2 7 3" xfId="6183" xr:uid="{00000000-0005-0000-0000-00002E020000}"/>
    <cellStyle name="20% - Accent4 2 7 3 2" xfId="14622" xr:uid="{28AF667A-FBEC-4E09-9E2A-A988A5CCFC8D}"/>
    <cellStyle name="20% - Accent4 2 7 4" xfId="10404" xr:uid="{9DAED0BA-A820-4624-A490-5778F30B2FBA}"/>
    <cellStyle name="20% - Accent4 2 8" xfId="2289" xr:uid="{00000000-0005-0000-0000-00002F020000}"/>
    <cellStyle name="20% - Accent4 2 8 2" xfId="6596" xr:uid="{00000000-0005-0000-0000-000030020000}"/>
    <cellStyle name="20% - Accent4 2 8 2 2" xfId="15035" xr:uid="{77789F29-3313-4E82-830F-C63709CCEBD5}"/>
    <cellStyle name="20% - Accent4 2 8 3" xfId="10817" xr:uid="{5F329903-375D-4B39-95C1-A960B4119BD0}"/>
    <cellStyle name="20% - Accent4 2 9" xfId="4530" xr:uid="{00000000-0005-0000-0000-000031020000}"/>
    <cellStyle name="20% - Accent4 2 9 2" xfId="12969" xr:uid="{39AC1A9E-3948-4E7D-AF8B-03C409B3FBDB}"/>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90657738-6525-4E82-BE2F-C2A0EF475ACB}"/>
    <cellStyle name="20% - Accent4 3 2 2 2 3" xfId="11315" xr:uid="{EE9EFB3A-CE89-4983-BDC2-52A2FDD0436A}"/>
    <cellStyle name="20% - Accent4 3 2 2 3" xfId="4949" xr:uid="{00000000-0005-0000-0000-000037020000}"/>
    <cellStyle name="20% - Accent4 3 2 2 3 2" xfId="13388" xr:uid="{3408EA74-9F8F-47C9-8ACE-93D3C735B220}"/>
    <cellStyle name="20% - Accent4 3 2 2 4" xfId="9170" xr:uid="{1308BB7B-CE79-4593-8F6C-41C8666FECE4}"/>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77BBFA5B-C9A1-4BF7-A1E2-3283B8722835}"/>
    <cellStyle name="20% - Accent4 3 2 3 2 3" xfId="11728" xr:uid="{A1DEFCF8-02BE-4A3D-8AF7-6FC596A363E3}"/>
    <cellStyle name="20% - Accent4 3 2 3 3" xfId="5362" xr:uid="{00000000-0005-0000-0000-00003B020000}"/>
    <cellStyle name="20% - Accent4 3 2 3 3 2" xfId="13801" xr:uid="{63DAA10C-9118-4830-9F32-50474B3617A4}"/>
    <cellStyle name="20% - Accent4 3 2 3 4" xfId="9583" xr:uid="{97D16C97-E7DB-4B3D-AD67-B134387C661E}"/>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373000B1-6F51-4EF2-B7A8-29B439457FD1}"/>
    <cellStyle name="20% - Accent4 3 2 4 2 3" xfId="12141" xr:uid="{BF2F8031-4522-410F-AD34-8C4CC60CC5E6}"/>
    <cellStyle name="20% - Accent4 3 2 4 3" xfId="5775" xr:uid="{00000000-0005-0000-0000-00003F020000}"/>
    <cellStyle name="20% - Accent4 3 2 4 3 2" xfId="14214" xr:uid="{05F5E6BB-22BF-4560-AB3C-B731196D47B2}"/>
    <cellStyle name="20% - Accent4 3 2 4 4" xfId="9996" xr:uid="{F394D29A-C15C-402C-A589-E563DD27273B}"/>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98D795DE-9CAF-43F3-8BA2-9271CEBCADDA}"/>
    <cellStyle name="20% - Accent4 3 2 5 2 3" xfId="12554" xr:uid="{BF572041-5E28-41F2-86E7-079C6065DF2E}"/>
    <cellStyle name="20% - Accent4 3 2 5 3" xfId="6188" xr:uid="{00000000-0005-0000-0000-000043020000}"/>
    <cellStyle name="20% - Accent4 3 2 5 3 2" xfId="14627" xr:uid="{98368F84-DDD9-4696-8DE2-FDCC38B796E5}"/>
    <cellStyle name="20% - Accent4 3 2 5 4" xfId="10409" xr:uid="{8369BAC4-D493-4530-9E90-A131EE8D14FD}"/>
    <cellStyle name="20% - Accent4 3 2 6" xfId="2294" xr:uid="{00000000-0005-0000-0000-000044020000}"/>
    <cellStyle name="20% - Accent4 3 2 6 2" xfId="6601" xr:uid="{00000000-0005-0000-0000-000045020000}"/>
    <cellStyle name="20% - Accent4 3 2 6 2 2" xfId="15040" xr:uid="{BAE6F140-8009-419E-96D6-72882A1982A2}"/>
    <cellStyle name="20% - Accent4 3 2 6 3" xfId="10822" xr:uid="{7E071B0A-A3EE-45B8-8B0A-16BE7171E83B}"/>
    <cellStyle name="20% - Accent4 3 2 7" xfId="4535" xr:uid="{00000000-0005-0000-0000-000046020000}"/>
    <cellStyle name="20% - Accent4 3 2 7 2" xfId="12974" xr:uid="{C220B979-C704-4603-9176-2A9EE9393A84}"/>
    <cellStyle name="20% - Accent4 3 2 8" xfId="8756" xr:uid="{E9C0BF35-1FA4-4BD8-9F45-3A9219D10941}"/>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9F97CE3E-988A-4178-8BC5-52190AB5DF46}"/>
    <cellStyle name="20% - Accent4 3 3 2 3" xfId="11314" xr:uid="{31F29800-789D-4648-A70C-DE17C2E0D08B}"/>
    <cellStyle name="20% - Accent4 3 3 3" xfId="4948" xr:uid="{00000000-0005-0000-0000-00004A020000}"/>
    <cellStyle name="20% - Accent4 3 3 3 2" xfId="13387" xr:uid="{AB2AB1D8-85FC-4090-8BE3-9662770F92B0}"/>
    <cellStyle name="20% - Accent4 3 3 4" xfId="9169" xr:uid="{605C14AC-88A4-4020-84A6-19064D6CB060}"/>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DE9593D1-3AED-4FB7-ADF4-76471BB29018}"/>
    <cellStyle name="20% - Accent4 3 4 2 3" xfId="11727" xr:uid="{8F62027A-9000-46C5-8812-5778DC860898}"/>
    <cellStyle name="20% - Accent4 3 4 3" xfId="5361" xr:uid="{00000000-0005-0000-0000-00004E020000}"/>
    <cellStyle name="20% - Accent4 3 4 3 2" xfId="13800" xr:uid="{408079A1-F702-44A8-9CF3-40CDB1B4441B}"/>
    <cellStyle name="20% - Accent4 3 4 4" xfId="9582" xr:uid="{3212666A-50E9-4F01-981E-61970FBC4FBC}"/>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E2F4C7A4-49DC-44A5-B34A-92560293E6B2}"/>
    <cellStyle name="20% - Accent4 3 5 2 3" xfId="12140" xr:uid="{108656DA-3BB9-472B-814B-A62B60CFAB1D}"/>
    <cellStyle name="20% - Accent4 3 5 3" xfId="5774" xr:uid="{00000000-0005-0000-0000-000052020000}"/>
    <cellStyle name="20% - Accent4 3 5 3 2" xfId="14213" xr:uid="{9D0AA25F-327D-4F4E-A7F2-BB739DD352DB}"/>
    <cellStyle name="20% - Accent4 3 5 4" xfId="9995" xr:uid="{1816837F-A7E4-4B96-B150-5DFAD4537914}"/>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438C901A-BA71-458B-901C-6C66BF4A4216}"/>
    <cellStyle name="20% - Accent4 3 6 2 3" xfId="12553" xr:uid="{E64C25E3-1D72-4495-8FEB-7A4B92A920CF}"/>
    <cellStyle name="20% - Accent4 3 6 3" xfId="6187" xr:uid="{00000000-0005-0000-0000-000056020000}"/>
    <cellStyle name="20% - Accent4 3 6 3 2" xfId="14626" xr:uid="{DFC79B4A-8118-4A08-9A6D-07A50A471398}"/>
    <cellStyle name="20% - Accent4 3 6 4" xfId="10408" xr:uid="{5A145F52-5563-4FE3-8CC6-ACCA3113AE3D}"/>
    <cellStyle name="20% - Accent4 3 7" xfId="2293" xr:uid="{00000000-0005-0000-0000-000057020000}"/>
    <cellStyle name="20% - Accent4 3 7 2" xfId="6600" xr:uid="{00000000-0005-0000-0000-000058020000}"/>
    <cellStyle name="20% - Accent4 3 7 2 2" xfId="15039" xr:uid="{5A5A82CA-9E05-4376-9C1A-2F63A6DDCC74}"/>
    <cellStyle name="20% - Accent4 3 7 3" xfId="10821" xr:uid="{10150B56-D207-4429-AC3E-3F9216184C68}"/>
    <cellStyle name="20% - Accent4 3 8" xfId="4534" xr:uid="{00000000-0005-0000-0000-000059020000}"/>
    <cellStyle name="20% - Accent4 3 8 2" xfId="12973" xr:uid="{A51BA5A0-2E1F-4A8B-9BF3-C624E6FFA955}"/>
    <cellStyle name="20% - Accent4 3 9" xfId="8755" xr:uid="{21680711-0C85-4572-957A-923CE7A4E211}"/>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1494D476-3CCE-442C-A446-0D0C96D81032}"/>
    <cellStyle name="20% - Accent4 4 2 2 3" xfId="11316" xr:uid="{B5312690-BDE4-4B97-8B79-B0443AACB635}"/>
    <cellStyle name="20% - Accent4 4 2 3" xfId="4950" xr:uid="{00000000-0005-0000-0000-00005E020000}"/>
    <cellStyle name="20% - Accent4 4 2 3 2" xfId="13389" xr:uid="{D5C0F55C-CD84-4042-915A-05A6F84878ED}"/>
    <cellStyle name="20% - Accent4 4 2 4" xfId="9171" xr:uid="{24640E3B-3243-426A-B56A-0A57A238397E}"/>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075D2F0D-D783-41BB-82FD-C6F9F6C4E460}"/>
    <cellStyle name="20% - Accent4 4 3 2 3" xfId="11729" xr:uid="{C4178783-DB9B-4406-A097-CA547F1D0D08}"/>
    <cellStyle name="20% - Accent4 4 3 3" xfId="5363" xr:uid="{00000000-0005-0000-0000-000062020000}"/>
    <cellStyle name="20% - Accent4 4 3 3 2" xfId="13802" xr:uid="{2B254F42-4FAA-4061-B8B6-99694E3BDFE3}"/>
    <cellStyle name="20% - Accent4 4 3 4" xfId="9584" xr:uid="{0F3A9CA0-CEA0-469B-BB13-DEAAD2535D55}"/>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3EA1FCA4-304C-4A1B-84B3-838A8F3A3CA6}"/>
    <cellStyle name="20% - Accent4 4 4 2 3" xfId="12142" xr:uid="{FA3C6CAB-AA5F-455D-9F46-CA662D0C6447}"/>
    <cellStyle name="20% - Accent4 4 4 3" xfId="5776" xr:uid="{00000000-0005-0000-0000-000066020000}"/>
    <cellStyle name="20% - Accent4 4 4 3 2" xfId="14215" xr:uid="{60F56241-6F08-4C19-9037-C07A64F998DE}"/>
    <cellStyle name="20% - Accent4 4 4 4" xfId="9997" xr:uid="{D1BEB2C6-2678-4D69-977B-7E14799CE8DF}"/>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A01A43DF-0B41-4EC7-8D3A-575501E50F34}"/>
    <cellStyle name="20% - Accent4 4 5 2 3" xfId="12555" xr:uid="{6509E07B-CEF7-4B32-B5BF-1D370D6787E6}"/>
    <cellStyle name="20% - Accent4 4 5 3" xfId="6189" xr:uid="{00000000-0005-0000-0000-00006A020000}"/>
    <cellStyle name="20% - Accent4 4 5 3 2" xfId="14628" xr:uid="{8275B3A3-3DB5-4B57-AFEB-EA30A419DCAA}"/>
    <cellStyle name="20% - Accent4 4 5 4" xfId="10410" xr:uid="{F83BFCC0-08CD-4621-BBFC-B48178BF2A77}"/>
    <cellStyle name="20% - Accent4 4 6" xfId="2295" xr:uid="{00000000-0005-0000-0000-00006B020000}"/>
    <cellStyle name="20% - Accent4 4 6 2" xfId="6602" xr:uid="{00000000-0005-0000-0000-00006C020000}"/>
    <cellStyle name="20% - Accent4 4 6 2 2" xfId="15041" xr:uid="{478E40BB-F43E-4E72-A2EB-CB3D2581F645}"/>
    <cellStyle name="20% - Accent4 4 6 3" xfId="10823" xr:uid="{A4D33F26-3EC5-4F88-BE33-4F357AFB5134}"/>
    <cellStyle name="20% - Accent4 4 7" xfId="4536" xr:uid="{00000000-0005-0000-0000-00006D020000}"/>
    <cellStyle name="20% - Accent4 4 7 2" xfId="12975" xr:uid="{E98EAE95-185C-49CF-B3C4-A79F38D427ED}"/>
    <cellStyle name="20% - Accent4 4 8" xfId="8757" xr:uid="{90E22D42-9A15-449A-890B-CAD386CEC30A}"/>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7FFB8C65-6B19-4207-8AAF-3980F1C27374}"/>
    <cellStyle name="20% - Accent4 5 2 3" xfId="11309" xr:uid="{B5DDE4FC-4C5E-4D54-87EA-567B1DEC1CE5}"/>
    <cellStyle name="20% - Accent4 5 3" xfId="4943" xr:uid="{00000000-0005-0000-0000-000071020000}"/>
    <cellStyle name="20% - Accent4 5 3 2" xfId="13382" xr:uid="{8CEF381A-4183-4BE8-AC1D-3DCFBC8BD8F0}"/>
    <cellStyle name="20% - Accent4 5 4" xfId="9164" xr:uid="{036CF618-DBAC-48E1-8A5F-05A7DA48A855}"/>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101C81AB-5F6F-4AE6-8864-5D74290085A8}"/>
    <cellStyle name="20% - Accent4 6 2 3" xfId="11722" xr:uid="{C5B860D8-0D8D-44A5-B627-450C7E246D38}"/>
    <cellStyle name="20% - Accent4 6 3" xfId="5356" xr:uid="{00000000-0005-0000-0000-000075020000}"/>
    <cellStyle name="20% - Accent4 6 3 2" xfId="13795" xr:uid="{17512043-1731-4C16-905F-FBC30DAC999E}"/>
    <cellStyle name="20% - Accent4 6 4" xfId="9577" xr:uid="{49DDEEA4-C057-4E2A-992C-15FBB5596E09}"/>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49687F4D-79CB-4A91-B721-51AB5653F40C}"/>
    <cellStyle name="20% - Accent4 7 2 3" xfId="12135" xr:uid="{1CF03B7C-E697-4C1E-9A86-E21C0CBFD6F7}"/>
    <cellStyle name="20% - Accent4 7 3" xfId="5769" xr:uid="{00000000-0005-0000-0000-000079020000}"/>
    <cellStyle name="20% - Accent4 7 3 2" xfId="14208" xr:uid="{0B48BC44-70A4-4702-99DF-347C4B76B864}"/>
    <cellStyle name="20% - Accent4 7 4" xfId="9990" xr:uid="{68255AB9-DBE8-4F1D-9D87-A77D5DE049CC}"/>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994735E4-59BA-436E-B831-B34CAC93B42E}"/>
    <cellStyle name="20% - Accent4 8 2 3" xfId="12548" xr:uid="{001883AE-1472-419A-942A-524C6CA951DA}"/>
    <cellStyle name="20% - Accent4 8 3" xfId="6182" xr:uid="{00000000-0005-0000-0000-00007D020000}"/>
    <cellStyle name="20% - Accent4 8 3 2" xfId="14621" xr:uid="{6A4D28CA-B09B-4252-9BB4-844A71A1DBBF}"/>
    <cellStyle name="20% - Accent4 8 4" xfId="10403" xr:uid="{249772B9-13E7-4CAD-A073-39B70821C1B4}"/>
    <cellStyle name="20% - Accent4 9" xfId="2288" xr:uid="{00000000-0005-0000-0000-00007E020000}"/>
    <cellStyle name="20% - Accent4 9 2" xfId="6595" xr:uid="{00000000-0005-0000-0000-00007F020000}"/>
    <cellStyle name="20% - Accent4 9 2 2" xfId="15034" xr:uid="{07FE3926-F5A1-488D-A824-633D3DCFF627}"/>
    <cellStyle name="20% - Accent4 9 3" xfId="10816" xr:uid="{78430E8B-72F1-4DED-97D8-BD8555486316}"/>
    <cellStyle name="20% - Accent5" xfId="33" builtinId="46" customBuiltin="1"/>
    <cellStyle name="20% - Accent5 10" xfId="4537" xr:uid="{00000000-0005-0000-0000-000081020000}"/>
    <cellStyle name="20% - Accent5 10 2" xfId="12976" xr:uid="{ED9C1F4A-12E2-4DC6-B0F1-D1CEBD6D6226}"/>
    <cellStyle name="20% - Accent5 11" xfId="8758" xr:uid="{081FD14C-C523-4B1E-96A2-EB0D9746E64B}"/>
    <cellStyle name="20% - Accent5 2" xfId="34" xr:uid="{00000000-0005-0000-0000-000082020000}"/>
    <cellStyle name="20% - Accent5 2 10" xfId="8759" xr:uid="{F322E276-A829-467F-A8CF-930C180A20DF}"/>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BDB2DDC8-4580-4099-82E7-EC37FEE78A51}"/>
    <cellStyle name="20% - Accent5 2 2 2 2 2 3" xfId="11320" xr:uid="{75B16664-1242-424D-8DCB-9138B33775E5}"/>
    <cellStyle name="20% - Accent5 2 2 2 2 3" xfId="4954" xr:uid="{00000000-0005-0000-0000-000088020000}"/>
    <cellStyle name="20% - Accent5 2 2 2 2 3 2" xfId="13393" xr:uid="{62188119-1705-413C-8ECE-16579B61C20D}"/>
    <cellStyle name="20% - Accent5 2 2 2 2 4" xfId="9175" xr:uid="{E40562F6-4A76-4EB6-BAA3-5255FE558327}"/>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482250F8-FE8A-4889-8772-AC34A7C87844}"/>
    <cellStyle name="20% - Accent5 2 2 2 3 2 3" xfId="11733" xr:uid="{1A47DE13-794C-4008-881F-76CA68FEC78A}"/>
    <cellStyle name="20% - Accent5 2 2 2 3 3" xfId="5367" xr:uid="{00000000-0005-0000-0000-00008C020000}"/>
    <cellStyle name="20% - Accent5 2 2 2 3 3 2" xfId="13806" xr:uid="{17F54B62-1BF2-4582-A1B8-E1159185989E}"/>
    <cellStyle name="20% - Accent5 2 2 2 3 4" xfId="9588" xr:uid="{0E142668-8DE0-44D7-B4A9-1DC2133FACDA}"/>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D07565F1-A01B-47E5-95D5-763F38953FDD}"/>
    <cellStyle name="20% - Accent5 2 2 2 4 2 3" xfId="12146" xr:uid="{ECE480FD-F438-41CD-A61F-442060880158}"/>
    <cellStyle name="20% - Accent5 2 2 2 4 3" xfId="5780" xr:uid="{00000000-0005-0000-0000-000090020000}"/>
    <cellStyle name="20% - Accent5 2 2 2 4 3 2" xfId="14219" xr:uid="{55AC459A-9630-4B54-B122-51A4406E1F5E}"/>
    <cellStyle name="20% - Accent5 2 2 2 4 4" xfId="10001" xr:uid="{322EAFCE-BF19-42E5-9A38-1051AD2E6A4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7412B465-0021-43ED-90AC-D26D3A6B326A}"/>
    <cellStyle name="20% - Accent5 2 2 2 5 2 3" xfId="12559" xr:uid="{C1B6C5D7-B624-4A53-B204-7DD3BF8CF6F4}"/>
    <cellStyle name="20% - Accent5 2 2 2 5 3" xfId="6193" xr:uid="{00000000-0005-0000-0000-000094020000}"/>
    <cellStyle name="20% - Accent5 2 2 2 5 3 2" xfId="14632" xr:uid="{D29CE115-09A6-47F1-A8DC-2D1DFAA0029A}"/>
    <cellStyle name="20% - Accent5 2 2 2 5 4" xfId="10414" xr:uid="{95C48B0A-71E5-4C6B-8F5D-C6346ECE5B68}"/>
    <cellStyle name="20% - Accent5 2 2 2 6" xfId="2299" xr:uid="{00000000-0005-0000-0000-000095020000}"/>
    <cellStyle name="20% - Accent5 2 2 2 6 2" xfId="6606" xr:uid="{00000000-0005-0000-0000-000096020000}"/>
    <cellStyle name="20% - Accent5 2 2 2 6 2 2" xfId="15045" xr:uid="{B934F8F5-12AE-4694-BA63-B3C2AF706D46}"/>
    <cellStyle name="20% - Accent5 2 2 2 6 3" xfId="10827" xr:uid="{2CA39E22-630B-412B-AB45-CA79B2F6ACB3}"/>
    <cellStyle name="20% - Accent5 2 2 2 7" xfId="4540" xr:uid="{00000000-0005-0000-0000-000097020000}"/>
    <cellStyle name="20% - Accent5 2 2 2 7 2" xfId="12979" xr:uid="{6508BCFF-BB5F-4276-9A44-A6EDA7FE7EC6}"/>
    <cellStyle name="20% - Accent5 2 2 2 8" xfId="8761" xr:uid="{D2044571-2201-4913-94C2-A912DBE46B0C}"/>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CBEE8890-AD0E-4886-A08E-1AC7EE3AEB2E}"/>
    <cellStyle name="20% - Accent5 2 2 3 2 3" xfId="11319" xr:uid="{80CC0A56-30EC-48FE-BA17-8C7669B65A8E}"/>
    <cellStyle name="20% - Accent5 2 2 3 3" xfId="4953" xr:uid="{00000000-0005-0000-0000-00009B020000}"/>
    <cellStyle name="20% - Accent5 2 2 3 3 2" xfId="13392" xr:uid="{9C2C8155-75FE-4859-988C-4FBB63E1C0FD}"/>
    <cellStyle name="20% - Accent5 2 2 3 4" xfId="9174" xr:uid="{35B838AB-7C6E-4DDF-B9FA-1747B4A52E44}"/>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CD94D602-AE50-44A1-9361-389F8BB468B6}"/>
    <cellStyle name="20% - Accent5 2 2 4 2 3" xfId="11732" xr:uid="{E2187058-2399-4A55-9919-A90C5EBF0C8A}"/>
    <cellStyle name="20% - Accent5 2 2 4 3" xfId="5366" xr:uid="{00000000-0005-0000-0000-00009F020000}"/>
    <cellStyle name="20% - Accent5 2 2 4 3 2" xfId="13805" xr:uid="{DB6C2961-CA3A-42F2-8A87-A5905B9E3874}"/>
    <cellStyle name="20% - Accent5 2 2 4 4" xfId="9587" xr:uid="{0ABECEBE-5673-47A7-A3F8-83873BB776F9}"/>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DF3E1919-ABC9-4405-85A0-9225720DFEAA}"/>
    <cellStyle name="20% - Accent5 2 2 5 2 3" xfId="12145" xr:uid="{39CCFDBF-EBA7-4AAF-A6CF-F63878C847FE}"/>
    <cellStyle name="20% - Accent5 2 2 5 3" xfId="5779" xr:uid="{00000000-0005-0000-0000-0000A3020000}"/>
    <cellStyle name="20% - Accent5 2 2 5 3 2" xfId="14218" xr:uid="{5C3D7631-2429-4147-A2CF-70130A6730C2}"/>
    <cellStyle name="20% - Accent5 2 2 5 4" xfId="10000" xr:uid="{072FCCEA-6F0F-4D25-838B-F194220610E1}"/>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BD5FB9AB-7C85-4A33-A60C-438F205865A4}"/>
    <cellStyle name="20% - Accent5 2 2 6 2 3" xfId="12558" xr:uid="{82953811-7846-45EF-AE18-0959F16EB992}"/>
    <cellStyle name="20% - Accent5 2 2 6 3" xfId="6192" xr:uid="{00000000-0005-0000-0000-0000A7020000}"/>
    <cellStyle name="20% - Accent5 2 2 6 3 2" xfId="14631" xr:uid="{33ACBE8C-FB99-45BD-B056-1730ACD93749}"/>
    <cellStyle name="20% - Accent5 2 2 6 4" xfId="10413" xr:uid="{AB140E3E-02E8-410D-80DF-F3A0DAAB13A6}"/>
    <cellStyle name="20% - Accent5 2 2 7" xfId="2298" xr:uid="{00000000-0005-0000-0000-0000A8020000}"/>
    <cellStyle name="20% - Accent5 2 2 7 2" xfId="6605" xr:uid="{00000000-0005-0000-0000-0000A9020000}"/>
    <cellStyle name="20% - Accent5 2 2 7 2 2" xfId="15044" xr:uid="{78F37437-576A-4BC7-97D6-08BDF0179EE1}"/>
    <cellStyle name="20% - Accent5 2 2 7 3" xfId="10826" xr:uid="{8532AF48-9BBA-4A73-A1B2-965A4B3E1D97}"/>
    <cellStyle name="20% - Accent5 2 2 8" xfId="4539" xr:uid="{00000000-0005-0000-0000-0000AA020000}"/>
    <cellStyle name="20% - Accent5 2 2 8 2" xfId="12978" xr:uid="{DD5EB990-4EA0-42BE-ADF7-D0FD3B44FB35}"/>
    <cellStyle name="20% - Accent5 2 2 9" xfId="8760" xr:uid="{9FFFB168-1DE5-4B4F-8EB5-8D3FAE46EE83}"/>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36801979-F7D7-40DA-97A1-BBC31B3876FB}"/>
    <cellStyle name="20% - Accent5 2 3 2 2 3" xfId="11321" xr:uid="{947FC7D4-A2C0-4188-9D0D-6631226B0E82}"/>
    <cellStyle name="20% - Accent5 2 3 2 3" xfId="4955" xr:uid="{00000000-0005-0000-0000-0000AF020000}"/>
    <cellStyle name="20% - Accent5 2 3 2 3 2" xfId="13394" xr:uid="{D767037C-5DFF-4412-82DD-4EA3641E3DA3}"/>
    <cellStyle name="20% - Accent5 2 3 2 4" xfId="9176" xr:uid="{82460AD9-BDDE-4617-9600-F1121782B50D}"/>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D43E6991-4194-4329-B819-285536FCBFDA}"/>
    <cellStyle name="20% - Accent5 2 3 3 2 3" xfId="11734" xr:uid="{18167297-6415-43A0-AB80-7C3B60A207E8}"/>
    <cellStyle name="20% - Accent5 2 3 3 3" xfId="5368" xr:uid="{00000000-0005-0000-0000-0000B3020000}"/>
    <cellStyle name="20% - Accent5 2 3 3 3 2" xfId="13807" xr:uid="{0935D1C2-388F-4789-BC1A-603DCF903542}"/>
    <cellStyle name="20% - Accent5 2 3 3 4" xfId="9589" xr:uid="{9A72745B-A3AA-4B4C-B9C0-6A9A56C4886E}"/>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67BD6836-4F72-4716-927C-8157EBA1F613}"/>
    <cellStyle name="20% - Accent5 2 3 4 2 3" xfId="12147" xr:uid="{7C603CDD-31C3-40D3-913D-1D429A11B970}"/>
    <cellStyle name="20% - Accent5 2 3 4 3" xfId="5781" xr:uid="{00000000-0005-0000-0000-0000B7020000}"/>
    <cellStyle name="20% - Accent5 2 3 4 3 2" xfId="14220" xr:uid="{C82D1595-E68B-4704-B248-8475BC6134A2}"/>
    <cellStyle name="20% - Accent5 2 3 4 4" xfId="10002" xr:uid="{C7396332-AEBC-4DA7-9E5D-EE3C5AEC4AEA}"/>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450AEDEE-77CE-498C-BE89-C0D8FEEEA8E8}"/>
    <cellStyle name="20% - Accent5 2 3 5 2 3" xfId="12560" xr:uid="{6856773F-CF9C-4E88-8D91-254E00272E3B}"/>
    <cellStyle name="20% - Accent5 2 3 5 3" xfId="6194" xr:uid="{00000000-0005-0000-0000-0000BB020000}"/>
    <cellStyle name="20% - Accent5 2 3 5 3 2" xfId="14633" xr:uid="{3F6B4514-3B22-4B36-8352-3F7321A6C669}"/>
    <cellStyle name="20% - Accent5 2 3 5 4" xfId="10415" xr:uid="{C33F5489-DBE0-414A-A6E5-B8EAC07FCF10}"/>
    <cellStyle name="20% - Accent5 2 3 6" xfId="2300" xr:uid="{00000000-0005-0000-0000-0000BC020000}"/>
    <cellStyle name="20% - Accent5 2 3 6 2" xfId="6607" xr:uid="{00000000-0005-0000-0000-0000BD020000}"/>
    <cellStyle name="20% - Accent5 2 3 6 2 2" xfId="15046" xr:uid="{F9A8F31F-A22F-4A28-8FAE-16AECEE0BF42}"/>
    <cellStyle name="20% - Accent5 2 3 6 3" xfId="10828" xr:uid="{2B1B8CE7-482A-4735-89CE-7C75B11698F6}"/>
    <cellStyle name="20% - Accent5 2 3 7" xfId="4541" xr:uid="{00000000-0005-0000-0000-0000BE020000}"/>
    <cellStyle name="20% - Accent5 2 3 7 2" xfId="12980" xr:uid="{0B111221-99E0-4E29-A010-3A239B417C03}"/>
    <cellStyle name="20% - Accent5 2 3 8" xfId="8762" xr:uid="{B3F80B10-BC35-4F57-8DE8-031D4B2D829E}"/>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90705C6C-AC69-48C0-AB7E-2697FBF780F5}"/>
    <cellStyle name="20% - Accent5 2 4 2 3" xfId="11318" xr:uid="{3EDF9951-49B9-4197-92B5-2BBA053840B3}"/>
    <cellStyle name="20% - Accent5 2 4 3" xfId="4952" xr:uid="{00000000-0005-0000-0000-0000C2020000}"/>
    <cellStyle name="20% - Accent5 2 4 3 2" xfId="13391" xr:uid="{77ADC1AC-0F86-4442-BEA3-C6B29B2B3E83}"/>
    <cellStyle name="20% - Accent5 2 4 4" xfId="9173" xr:uid="{4B589868-3692-4ADA-85D8-5A3180ED4A2F}"/>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7703389E-FCF1-4899-B21A-7284965AB624}"/>
    <cellStyle name="20% - Accent5 2 5 2 3" xfId="11731" xr:uid="{BF3ADB1A-788B-4FD8-8BEF-D735CCC52D1B}"/>
    <cellStyle name="20% - Accent5 2 5 3" xfId="5365" xr:uid="{00000000-0005-0000-0000-0000C6020000}"/>
    <cellStyle name="20% - Accent5 2 5 3 2" xfId="13804" xr:uid="{89F21E71-91EA-490B-BAF0-138BF93BEDC7}"/>
    <cellStyle name="20% - Accent5 2 5 4" xfId="9586" xr:uid="{913C0BDE-E1FA-488C-AAB1-1CB7E91A4991}"/>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105926F7-D997-433A-8C47-C2F0D16D817A}"/>
    <cellStyle name="20% - Accent5 2 6 2 3" xfId="12144" xr:uid="{E2E981D0-24C2-4C5F-ADD1-2747F093D1DE}"/>
    <cellStyle name="20% - Accent5 2 6 3" xfId="5778" xr:uid="{00000000-0005-0000-0000-0000CA020000}"/>
    <cellStyle name="20% - Accent5 2 6 3 2" xfId="14217" xr:uid="{F1D5BCF3-AEED-49B1-AD62-457B84927DD2}"/>
    <cellStyle name="20% - Accent5 2 6 4" xfId="9999" xr:uid="{2ED53BF8-0185-473C-AB03-A6600635BA92}"/>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E488E957-9578-434A-B5BB-4862071CE3D4}"/>
    <cellStyle name="20% - Accent5 2 7 2 3" xfId="12557" xr:uid="{419F738E-6E29-47B4-9DDD-5D12E83F3951}"/>
    <cellStyle name="20% - Accent5 2 7 3" xfId="6191" xr:uid="{00000000-0005-0000-0000-0000CE020000}"/>
    <cellStyle name="20% - Accent5 2 7 3 2" xfId="14630" xr:uid="{DA4ED946-8B2C-4D43-B9E3-623746700ED0}"/>
    <cellStyle name="20% - Accent5 2 7 4" xfId="10412" xr:uid="{D08705A8-7C07-4A57-8AD1-5DBF78885C6F}"/>
    <cellStyle name="20% - Accent5 2 8" xfId="2297" xr:uid="{00000000-0005-0000-0000-0000CF020000}"/>
    <cellStyle name="20% - Accent5 2 8 2" xfId="6604" xr:uid="{00000000-0005-0000-0000-0000D0020000}"/>
    <cellStyle name="20% - Accent5 2 8 2 2" xfId="15043" xr:uid="{3CF412B5-D245-42A6-A823-02A96EA12781}"/>
    <cellStyle name="20% - Accent5 2 8 3" xfId="10825" xr:uid="{022FB8AC-87E8-4965-BB19-45999F8C25FF}"/>
    <cellStyle name="20% - Accent5 2 9" xfId="4538" xr:uid="{00000000-0005-0000-0000-0000D1020000}"/>
    <cellStyle name="20% - Accent5 2 9 2" xfId="12977" xr:uid="{3899E80B-889C-4376-8BA7-CC653A90D604}"/>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FCFFCF40-4541-4316-9179-103D2DB97848}"/>
    <cellStyle name="20% - Accent5 3 2 2 2 3" xfId="11323" xr:uid="{115D327D-A162-4A96-8CAF-70541B5FC65D}"/>
    <cellStyle name="20% - Accent5 3 2 2 3" xfId="4957" xr:uid="{00000000-0005-0000-0000-0000D7020000}"/>
    <cellStyle name="20% - Accent5 3 2 2 3 2" xfId="13396" xr:uid="{01FE3A9E-4124-4C57-8CC9-A642E77B2E13}"/>
    <cellStyle name="20% - Accent5 3 2 2 4" xfId="9178" xr:uid="{7A0B8540-05A9-4D90-A658-BA9DB9D66A33}"/>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D75D07DF-24AE-41DC-B0D8-57AF0EB22C84}"/>
    <cellStyle name="20% - Accent5 3 2 3 2 3" xfId="11736" xr:uid="{0FC5712A-0B88-4B02-B6E1-E68B67E7C3B5}"/>
    <cellStyle name="20% - Accent5 3 2 3 3" xfId="5370" xr:uid="{00000000-0005-0000-0000-0000DB020000}"/>
    <cellStyle name="20% - Accent5 3 2 3 3 2" xfId="13809" xr:uid="{07C20589-C718-4D7A-8B87-0B8F1CFB0430}"/>
    <cellStyle name="20% - Accent5 3 2 3 4" xfId="9591" xr:uid="{3A3D49B4-95BF-48BC-8DC6-AEAF4A4B8BCC}"/>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F1BAECE4-67B0-426D-90EF-B7D968FBFDBC}"/>
    <cellStyle name="20% - Accent5 3 2 4 2 3" xfId="12149" xr:uid="{98D31E38-ACBC-42B3-9255-7FDC3D56042B}"/>
    <cellStyle name="20% - Accent5 3 2 4 3" xfId="5783" xr:uid="{00000000-0005-0000-0000-0000DF020000}"/>
    <cellStyle name="20% - Accent5 3 2 4 3 2" xfId="14222" xr:uid="{DC433D47-5BD3-43C9-9FA0-E96D62721615}"/>
    <cellStyle name="20% - Accent5 3 2 4 4" xfId="10004" xr:uid="{85330C94-83B1-41FB-AB0C-FDE7FD61A813}"/>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D490C41E-75C1-4064-A3A9-A8AB5A43A791}"/>
    <cellStyle name="20% - Accent5 3 2 5 2 3" xfId="12562" xr:uid="{B823D052-FBB4-464D-A6D7-CDA9534873C0}"/>
    <cellStyle name="20% - Accent5 3 2 5 3" xfId="6196" xr:uid="{00000000-0005-0000-0000-0000E3020000}"/>
    <cellStyle name="20% - Accent5 3 2 5 3 2" xfId="14635" xr:uid="{2914BEB5-8546-4680-8FB8-4183334CB214}"/>
    <cellStyle name="20% - Accent5 3 2 5 4" xfId="10417" xr:uid="{FDCD7417-6C34-4EAA-8DBE-2C9F0EBE4EC1}"/>
    <cellStyle name="20% - Accent5 3 2 6" xfId="2302" xr:uid="{00000000-0005-0000-0000-0000E4020000}"/>
    <cellStyle name="20% - Accent5 3 2 6 2" xfId="6609" xr:uid="{00000000-0005-0000-0000-0000E5020000}"/>
    <cellStyle name="20% - Accent5 3 2 6 2 2" xfId="15048" xr:uid="{44F7AB17-30AF-4BDA-A3AD-07F5231A5840}"/>
    <cellStyle name="20% - Accent5 3 2 6 3" xfId="10830" xr:uid="{C9348214-DFDA-4577-B43F-24636C5EB7AE}"/>
    <cellStyle name="20% - Accent5 3 2 7" xfId="4543" xr:uid="{00000000-0005-0000-0000-0000E6020000}"/>
    <cellStyle name="20% - Accent5 3 2 7 2" xfId="12982" xr:uid="{6762DBDD-3951-40B3-AD0A-2DD7685D4FC1}"/>
    <cellStyle name="20% - Accent5 3 2 8" xfId="8764" xr:uid="{6D163322-CE04-4438-86EA-9BD1549CD97A}"/>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301BBB66-893E-47D5-9509-9A02C87C6B9A}"/>
    <cellStyle name="20% - Accent5 3 3 2 3" xfId="11322" xr:uid="{80470A61-9710-4702-BCEC-9906B53D33BC}"/>
    <cellStyle name="20% - Accent5 3 3 3" xfId="4956" xr:uid="{00000000-0005-0000-0000-0000EA020000}"/>
    <cellStyle name="20% - Accent5 3 3 3 2" xfId="13395" xr:uid="{A50ED9B2-1975-420C-895E-6F7169AADF18}"/>
    <cellStyle name="20% - Accent5 3 3 4" xfId="9177" xr:uid="{72D459C0-4A42-4E61-B885-4BA90BD035B8}"/>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8BFB5351-B122-4400-A66E-D6405101BDD1}"/>
    <cellStyle name="20% - Accent5 3 4 2 3" xfId="11735" xr:uid="{1ADACF18-5A8D-439A-B7C7-A90A18CF118A}"/>
    <cellStyle name="20% - Accent5 3 4 3" xfId="5369" xr:uid="{00000000-0005-0000-0000-0000EE020000}"/>
    <cellStyle name="20% - Accent5 3 4 3 2" xfId="13808" xr:uid="{326AAC7C-F443-4DC9-A6C4-8A1C8A35AF3D}"/>
    <cellStyle name="20% - Accent5 3 4 4" xfId="9590" xr:uid="{A9395307-5559-4F42-9450-589679A826E3}"/>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B3AC3F91-2656-45A0-A8BD-B7C5CE80F69F}"/>
    <cellStyle name="20% - Accent5 3 5 2 3" xfId="12148" xr:uid="{FEE3B777-054C-42BE-B583-E2F31C261CFA}"/>
    <cellStyle name="20% - Accent5 3 5 3" xfId="5782" xr:uid="{00000000-0005-0000-0000-0000F2020000}"/>
    <cellStyle name="20% - Accent5 3 5 3 2" xfId="14221" xr:uid="{5C64E000-54BD-4578-94A3-79D4D6D6121F}"/>
    <cellStyle name="20% - Accent5 3 5 4" xfId="10003" xr:uid="{F85853F2-D4CA-46BD-82F5-DD395CFB9299}"/>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AAC430DD-D861-4796-830C-14A28DD29CEF}"/>
    <cellStyle name="20% - Accent5 3 6 2 3" xfId="12561" xr:uid="{7D143732-B6E2-408C-9AE1-0BBB3A4019B4}"/>
    <cellStyle name="20% - Accent5 3 6 3" xfId="6195" xr:uid="{00000000-0005-0000-0000-0000F6020000}"/>
    <cellStyle name="20% - Accent5 3 6 3 2" xfId="14634" xr:uid="{5EA6763B-F77A-4EA0-A40E-EB226A0FCF1B}"/>
    <cellStyle name="20% - Accent5 3 6 4" xfId="10416" xr:uid="{FB25A495-D169-494C-9DBE-2FBDEBC44E1E}"/>
    <cellStyle name="20% - Accent5 3 7" xfId="2301" xr:uid="{00000000-0005-0000-0000-0000F7020000}"/>
    <cellStyle name="20% - Accent5 3 7 2" xfId="6608" xr:uid="{00000000-0005-0000-0000-0000F8020000}"/>
    <cellStyle name="20% - Accent5 3 7 2 2" xfId="15047" xr:uid="{788341CE-1565-43FC-A7C6-8333392EED76}"/>
    <cellStyle name="20% - Accent5 3 7 3" xfId="10829" xr:uid="{5FE352C6-5195-4A57-86D0-71B51866CAD5}"/>
    <cellStyle name="20% - Accent5 3 8" xfId="4542" xr:uid="{00000000-0005-0000-0000-0000F9020000}"/>
    <cellStyle name="20% - Accent5 3 8 2" xfId="12981" xr:uid="{5F33B251-1BBF-4578-A84C-3EBA650CA417}"/>
    <cellStyle name="20% - Accent5 3 9" xfId="8763" xr:uid="{B383591C-1A53-4621-BF64-D880EA5A0A5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08B9FA35-306E-4E28-9D89-FE6AF48B2A1F}"/>
    <cellStyle name="20% - Accent5 4 2 2 3" xfId="11324" xr:uid="{E8593F40-6D35-4F51-9FBE-B689CC1BA11B}"/>
    <cellStyle name="20% - Accent5 4 2 3" xfId="4958" xr:uid="{00000000-0005-0000-0000-0000FE020000}"/>
    <cellStyle name="20% - Accent5 4 2 3 2" xfId="13397" xr:uid="{1A8D505B-1BC5-4E6F-9FB5-C6465497A769}"/>
    <cellStyle name="20% - Accent5 4 2 4" xfId="9179" xr:uid="{EC3C773A-2E64-4FD7-8745-C0B20DA26A6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2B16F7A3-B5DA-474C-9193-8D7EE059AFDF}"/>
    <cellStyle name="20% - Accent5 4 3 2 3" xfId="11737" xr:uid="{FD78322D-18C2-446C-8917-EB2104F060F2}"/>
    <cellStyle name="20% - Accent5 4 3 3" xfId="5371" xr:uid="{00000000-0005-0000-0000-000002030000}"/>
    <cellStyle name="20% - Accent5 4 3 3 2" xfId="13810" xr:uid="{79A18F63-F0B8-4212-8485-D61971A9CBEC}"/>
    <cellStyle name="20% - Accent5 4 3 4" xfId="9592" xr:uid="{C442D46B-6FA1-421E-B98B-BFE3FCAC03F2}"/>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24652C55-4551-46BB-A354-3ECD8329136A}"/>
    <cellStyle name="20% - Accent5 4 4 2 3" xfId="12150" xr:uid="{94E3A97C-B9F2-4326-87D9-4B82BAFBFCDA}"/>
    <cellStyle name="20% - Accent5 4 4 3" xfId="5784" xr:uid="{00000000-0005-0000-0000-000006030000}"/>
    <cellStyle name="20% - Accent5 4 4 3 2" xfId="14223" xr:uid="{5DEF8EC5-A487-41F8-871E-844B54D6397F}"/>
    <cellStyle name="20% - Accent5 4 4 4" xfId="10005" xr:uid="{96111D63-01BC-4DEE-A217-E1C9A7F02B01}"/>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90E4F98F-C5B3-4C99-B363-F465D1DFCC6D}"/>
    <cellStyle name="20% - Accent5 4 5 2 3" xfId="12563" xr:uid="{CEBFE95A-9CE4-427E-8991-28CED15A575B}"/>
    <cellStyle name="20% - Accent5 4 5 3" xfId="6197" xr:uid="{00000000-0005-0000-0000-00000A030000}"/>
    <cellStyle name="20% - Accent5 4 5 3 2" xfId="14636" xr:uid="{5E14739C-0518-4952-A13D-5EC0C9A987A1}"/>
    <cellStyle name="20% - Accent5 4 5 4" xfId="10418" xr:uid="{E51A37EA-E1A8-4D17-B00E-BA7994F57DDD}"/>
    <cellStyle name="20% - Accent5 4 6" xfId="2303" xr:uid="{00000000-0005-0000-0000-00000B030000}"/>
    <cellStyle name="20% - Accent5 4 6 2" xfId="6610" xr:uid="{00000000-0005-0000-0000-00000C030000}"/>
    <cellStyle name="20% - Accent5 4 6 2 2" xfId="15049" xr:uid="{D9FE56A7-2666-4F19-9511-F132A4B03F0F}"/>
    <cellStyle name="20% - Accent5 4 6 3" xfId="10831" xr:uid="{709E2729-A6BF-4A8B-9FD2-9DF95DE6577C}"/>
    <cellStyle name="20% - Accent5 4 7" xfId="4544" xr:uid="{00000000-0005-0000-0000-00000D030000}"/>
    <cellStyle name="20% - Accent5 4 7 2" xfId="12983" xr:uid="{CBB0A5AE-7A01-4E2B-9225-A39CC7E232C1}"/>
    <cellStyle name="20% - Accent5 4 8" xfId="8765" xr:uid="{D751080E-9646-4829-A9B6-18087A3D3FD7}"/>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F402E5F8-4A15-4746-A360-3E4CDEE1A5A5}"/>
    <cellStyle name="20% - Accent5 5 2 3" xfId="11317" xr:uid="{7F86D552-20C8-46CA-B28C-FC18AF4B159D}"/>
    <cellStyle name="20% - Accent5 5 3" xfId="4951" xr:uid="{00000000-0005-0000-0000-000011030000}"/>
    <cellStyle name="20% - Accent5 5 3 2" xfId="13390" xr:uid="{232FC62A-9CC5-4903-8C3D-C5661EAEE588}"/>
    <cellStyle name="20% - Accent5 5 4" xfId="9172" xr:uid="{925F22FB-6BEA-48D3-ADAA-D1ADE18FB993}"/>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81EE74ED-1C43-48F5-B63A-317002BFEB16}"/>
    <cellStyle name="20% - Accent5 6 2 3" xfId="11730" xr:uid="{C8FB5707-E318-424C-B538-523A5E00DE9E}"/>
    <cellStyle name="20% - Accent5 6 3" xfId="5364" xr:uid="{00000000-0005-0000-0000-000015030000}"/>
    <cellStyle name="20% - Accent5 6 3 2" xfId="13803" xr:uid="{7BAE185D-8A8C-428F-A06C-8AE39607988D}"/>
    <cellStyle name="20% - Accent5 6 4" xfId="9585" xr:uid="{DFE198F3-51CE-4280-8976-7CCF7437883A}"/>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24F043AE-53BC-436D-A5BF-5325187B5550}"/>
    <cellStyle name="20% - Accent5 7 2 3" xfId="12143" xr:uid="{629D76C0-770D-4DB8-91FD-8CB2F1249871}"/>
    <cellStyle name="20% - Accent5 7 3" xfId="5777" xr:uid="{00000000-0005-0000-0000-000019030000}"/>
    <cellStyle name="20% - Accent5 7 3 2" xfId="14216" xr:uid="{B072DAC5-2630-4C14-AC81-F55270FF5A4C}"/>
    <cellStyle name="20% - Accent5 7 4" xfId="9998" xr:uid="{D30609C1-6148-4CB5-B42C-4BD057FF9F15}"/>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A23AE5B7-F68E-4334-86CC-10C23AEC54F6}"/>
    <cellStyle name="20% - Accent5 8 2 3" xfId="12556" xr:uid="{55581823-A516-4FF7-8583-D6519397F288}"/>
    <cellStyle name="20% - Accent5 8 3" xfId="6190" xr:uid="{00000000-0005-0000-0000-00001D030000}"/>
    <cellStyle name="20% - Accent5 8 3 2" xfId="14629" xr:uid="{7FFEC250-0E98-44FA-B4F5-EE501ADE15B6}"/>
    <cellStyle name="20% - Accent5 8 4" xfId="10411" xr:uid="{C3AA846A-CEE8-4D90-90AD-11539B1AF475}"/>
    <cellStyle name="20% - Accent5 9" xfId="2296" xr:uid="{00000000-0005-0000-0000-00001E030000}"/>
    <cellStyle name="20% - Accent5 9 2" xfId="6603" xr:uid="{00000000-0005-0000-0000-00001F030000}"/>
    <cellStyle name="20% - Accent5 9 2 2" xfId="15042" xr:uid="{8F885046-3A2D-4F6D-B8BE-DD630236BA56}"/>
    <cellStyle name="20% - Accent5 9 3" xfId="10824" xr:uid="{B7BA493C-6F3B-4471-885E-EBA402C6058F}"/>
    <cellStyle name="20% - Accent6" xfId="41" builtinId="50" customBuiltin="1"/>
    <cellStyle name="20% - Accent6 10" xfId="4545" xr:uid="{00000000-0005-0000-0000-000021030000}"/>
    <cellStyle name="20% - Accent6 10 2" xfId="12984" xr:uid="{87EC56CE-2401-459A-9D57-9759049B6D54}"/>
    <cellStyle name="20% - Accent6 11" xfId="8766" xr:uid="{2371060E-D080-41E0-906B-9B97108D9E35}"/>
    <cellStyle name="20% - Accent6 2" xfId="42" xr:uid="{00000000-0005-0000-0000-000022030000}"/>
    <cellStyle name="20% - Accent6 2 10" xfId="8767" xr:uid="{0DB85F31-43BA-4BFE-9246-AC53DB99BAD4}"/>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CFFE42DD-D3D3-4A1C-AB04-199864E4BEFF}"/>
    <cellStyle name="20% - Accent6 2 2 2 2 2 3" xfId="11328" xr:uid="{7E8123A4-E224-4D44-9DC1-E6923FFB2697}"/>
    <cellStyle name="20% - Accent6 2 2 2 2 3" xfId="4962" xr:uid="{00000000-0005-0000-0000-000028030000}"/>
    <cellStyle name="20% - Accent6 2 2 2 2 3 2" xfId="13401" xr:uid="{FEADC6F8-59A2-487D-AFFD-97609669D486}"/>
    <cellStyle name="20% - Accent6 2 2 2 2 4" xfId="9183" xr:uid="{0A9CB2BA-A095-424A-9A08-6283D22A11DC}"/>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B8881D1F-6CDE-4A91-BBF9-AE6F34833286}"/>
    <cellStyle name="20% - Accent6 2 2 2 3 2 3" xfId="11741" xr:uid="{BA10AED0-D2B4-445E-AA5C-0DF5755F2F5D}"/>
    <cellStyle name="20% - Accent6 2 2 2 3 3" xfId="5375" xr:uid="{00000000-0005-0000-0000-00002C030000}"/>
    <cellStyle name="20% - Accent6 2 2 2 3 3 2" xfId="13814" xr:uid="{EFB18F75-D0B6-49AA-B3BC-EF85BB7D9620}"/>
    <cellStyle name="20% - Accent6 2 2 2 3 4" xfId="9596" xr:uid="{BDC9E5B0-B9DB-45F9-9B13-DE997C77B42B}"/>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56AD3815-8AF6-4026-BF02-FEC2D0D2EEA3}"/>
    <cellStyle name="20% - Accent6 2 2 2 4 2 3" xfId="12154" xr:uid="{E3FDB7AD-29DF-4608-92E5-40A5BEA10A4C}"/>
    <cellStyle name="20% - Accent6 2 2 2 4 3" xfId="5788" xr:uid="{00000000-0005-0000-0000-000030030000}"/>
    <cellStyle name="20% - Accent6 2 2 2 4 3 2" xfId="14227" xr:uid="{06A5AEB8-302C-4A4A-B959-C2C41013BCD5}"/>
    <cellStyle name="20% - Accent6 2 2 2 4 4" xfId="10009" xr:uid="{94D4B35A-4768-4DCA-9B47-7474DDF1849E}"/>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F726BC9F-65CC-4E86-8755-AF683078CB9E}"/>
    <cellStyle name="20% - Accent6 2 2 2 5 2 3" xfId="12567" xr:uid="{70855FB7-EA1E-48EA-A042-5B7BB6BA7848}"/>
    <cellStyle name="20% - Accent6 2 2 2 5 3" xfId="6201" xr:uid="{00000000-0005-0000-0000-000034030000}"/>
    <cellStyle name="20% - Accent6 2 2 2 5 3 2" xfId="14640" xr:uid="{D26DF5E1-0925-4AF4-A762-5CA93DDF4554}"/>
    <cellStyle name="20% - Accent6 2 2 2 5 4" xfId="10422" xr:uid="{2A507D02-3B55-4972-8630-64AC21E98ECF}"/>
    <cellStyle name="20% - Accent6 2 2 2 6" xfId="2307" xr:uid="{00000000-0005-0000-0000-000035030000}"/>
    <cellStyle name="20% - Accent6 2 2 2 6 2" xfId="6614" xr:uid="{00000000-0005-0000-0000-000036030000}"/>
    <cellStyle name="20% - Accent6 2 2 2 6 2 2" xfId="15053" xr:uid="{6B711DD7-C687-4EDF-9F12-B2C8323C4E0E}"/>
    <cellStyle name="20% - Accent6 2 2 2 6 3" xfId="10835" xr:uid="{8EC817AB-8C93-4249-B072-B562129DA543}"/>
    <cellStyle name="20% - Accent6 2 2 2 7" xfId="4548" xr:uid="{00000000-0005-0000-0000-000037030000}"/>
    <cellStyle name="20% - Accent6 2 2 2 7 2" xfId="12987" xr:uid="{750BB7D8-9886-44B5-97F4-9457B66DD887}"/>
    <cellStyle name="20% - Accent6 2 2 2 8" xfId="8769" xr:uid="{D53CD22E-0B96-433E-AE51-5B642B024570}"/>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096E63BC-9070-4B15-8B13-731391960A40}"/>
    <cellStyle name="20% - Accent6 2 2 3 2 3" xfId="11327" xr:uid="{D307D3B9-5553-49FD-9EF6-55DDEE5E1E85}"/>
    <cellStyle name="20% - Accent6 2 2 3 3" xfId="4961" xr:uid="{00000000-0005-0000-0000-00003B030000}"/>
    <cellStyle name="20% - Accent6 2 2 3 3 2" xfId="13400" xr:uid="{65BBBA51-9D79-41D8-BF2D-9D8F54FAA4ED}"/>
    <cellStyle name="20% - Accent6 2 2 3 4" xfId="9182" xr:uid="{684F70F2-C089-4841-9F74-754A0F2BC579}"/>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6A8E3812-83F0-4B0E-B59F-718275967FFB}"/>
    <cellStyle name="20% - Accent6 2 2 4 2 3" xfId="11740" xr:uid="{C65E820B-83EF-4E58-9A97-B983A0E39B15}"/>
    <cellStyle name="20% - Accent6 2 2 4 3" xfId="5374" xr:uid="{00000000-0005-0000-0000-00003F030000}"/>
    <cellStyle name="20% - Accent6 2 2 4 3 2" xfId="13813" xr:uid="{BF5597DF-7E78-48F7-9CF8-134FAB9FF260}"/>
    <cellStyle name="20% - Accent6 2 2 4 4" xfId="9595" xr:uid="{827367F1-3153-4B40-AF5A-EAB9EF325353}"/>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01DF6862-A478-4A21-B199-7E0F0E377D15}"/>
    <cellStyle name="20% - Accent6 2 2 5 2 3" xfId="12153" xr:uid="{0508B4EB-13A4-4142-8575-318D5AC09C2B}"/>
    <cellStyle name="20% - Accent6 2 2 5 3" xfId="5787" xr:uid="{00000000-0005-0000-0000-000043030000}"/>
    <cellStyle name="20% - Accent6 2 2 5 3 2" xfId="14226" xr:uid="{83400883-C12A-4DB2-B280-1299F09550A6}"/>
    <cellStyle name="20% - Accent6 2 2 5 4" xfId="10008" xr:uid="{C5C10961-A99C-468A-BEE2-C54E10950069}"/>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EF910E31-6E4C-4D79-9670-5F0B83E75C4E}"/>
    <cellStyle name="20% - Accent6 2 2 6 2 3" xfId="12566" xr:uid="{229FEB1B-42C6-41F0-BC98-44397AAC1E23}"/>
    <cellStyle name="20% - Accent6 2 2 6 3" xfId="6200" xr:uid="{00000000-0005-0000-0000-000047030000}"/>
    <cellStyle name="20% - Accent6 2 2 6 3 2" xfId="14639" xr:uid="{BB65DB3A-9261-434F-A0F9-C00DC4397FC3}"/>
    <cellStyle name="20% - Accent6 2 2 6 4" xfId="10421" xr:uid="{3705F20C-9F22-4600-957B-9F6E2551E587}"/>
    <cellStyle name="20% - Accent6 2 2 7" xfId="2306" xr:uid="{00000000-0005-0000-0000-000048030000}"/>
    <cellStyle name="20% - Accent6 2 2 7 2" xfId="6613" xr:uid="{00000000-0005-0000-0000-000049030000}"/>
    <cellStyle name="20% - Accent6 2 2 7 2 2" xfId="15052" xr:uid="{DCCD3CE9-090A-45B5-B365-49D77F79827B}"/>
    <cellStyle name="20% - Accent6 2 2 7 3" xfId="10834" xr:uid="{83BC1EC1-4018-42A4-A46B-8A9A632DF078}"/>
    <cellStyle name="20% - Accent6 2 2 8" xfId="4547" xr:uid="{00000000-0005-0000-0000-00004A030000}"/>
    <cellStyle name="20% - Accent6 2 2 8 2" xfId="12986" xr:uid="{84A69C2E-CEEA-40F0-AD55-A8895298A129}"/>
    <cellStyle name="20% - Accent6 2 2 9" xfId="8768" xr:uid="{DD52BD4A-F74A-41DA-A7E1-D675FB39FC9C}"/>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78110E41-2440-4ADB-B58B-F216619865B9}"/>
    <cellStyle name="20% - Accent6 2 3 2 2 3" xfId="11329" xr:uid="{94E27D5B-B525-4F10-878D-2D1A287C879F}"/>
    <cellStyle name="20% - Accent6 2 3 2 3" xfId="4963" xr:uid="{00000000-0005-0000-0000-00004F030000}"/>
    <cellStyle name="20% - Accent6 2 3 2 3 2" xfId="13402" xr:uid="{1806D934-5AAB-4EBA-A565-949E625DC30B}"/>
    <cellStyle name="20% - Accent6 2 3 2 4" xfId="9184" xr:uid="{F6DE3CED-994F-4FC5-8CC3-60D017906F64}"/>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A9E9C094-4A80-4F7F-A687-1D4EB79E33E1}"/>
    <cellStyle name="20% - Accent6 2 3 3 2 3" xfId="11742" xr:uid="{8C7BDB0B-B02E-432F-A9F6-FC78009EE6F7}"/>
    <cellStyle name="20% - Accent6 2 3 3 3" xfId="5376" xr:uid="{00000000-0005-0000-0000-000053030000}"/>
    <cellStyle name="20% - Accent6 2 3 3 3 2" xfId="13815" xr:uid="{4467310B-8CF2-4774-868F-12F1263B09E7}"/>
    <cellStyle name="20% - Accent6 2 3 3 4" xfId="9597" xr:uid="{8A26F039-9AAB-4841-ACCF-967DAC1870F3}"/>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63A2AD0C-13A1-43DA-8E95-A62BC07D91C0}"/>
    <cellStyle name="20% - Accent6 2 3 4 2 3" xfId="12155" xr:uid="{CD7BA9B5-6615-488A-9AF3-1904F67B48C2}"/>
    <cellStyle name="20% - Accent6 2 3 4 3" xfId="5789" xr:uid="{00000000-0005-0000-0000-000057030000}"/>
    <cellStyle name="20% - Accent6 2 3 4 3 2" xfId="14228" xr:uid="{A9D74680-0B55-44BE-9AB1-A3B46DD4ED10}"/>
    <cellStyle name="20% - Accent6 2 3 4 4" xfId="10010" xr:uid="{A3195785-D8F6-4464-A08C-94220CED870C}"/>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1C7A5E77-4A35-4CCA-9CF5-917E0EEB7DBD}"/>
    <cellStyle name="20% - Accent6 2 3 5 2 3" xfId="12568" xr:uid="{BC583182-A1BB-478D-B377-986B138664A3}"/>
    <cellStyle name="20% - Accent6 2 3 5 3" xfId="6202" xr:uid="{00000000-0005-0000-0000-00005B030000}"/>
    <cellStyle name="20% - Accent6 2 3 5 3 2" xfId="14641" xr:uid="{CDEAFC00-F46D-45AC-8989-A84010343F7F}"/>
    <cellStyle name="20% - Accent6 2 3 5 4" xfId="10423" xr:uid="{347FE6F7-B672-4D1E-9657-D1790B39CF6D}"/>
    <cellStyle name="20% - Accent6 2 3 6" xfId="2308" xr:uid="{00000000-0005-0000-0000-00005C030000}"/>
    <cellStyle name="20% - Accent6 2 3 6 2" xfId="6615" xr:uid="{00000000-0005-0000-0000-00005D030000}"/>
    <cellStyle name="20% - Accent6 2 3 6 2 2" xfId="15054" xr:uid="{738025BF-C182-41E1-9228-867143840195}"/>
    <cellStyle name="20% - Accent6 2 3 6 3" xfId="10836" xr:uid="{19F24D57-73F3-48F1-9C1A-25DA7260233F}"/>
    <cellStyle name="20% - Accent6 2 3 7" xfId="4549" xr:uid="{00000000-0005-0000-0000-00005E030000}"/>
    <cellStyle name="20% - Accent6 2 3 7 2" xfId="12988" xr:uid="{8673A9F4-75F8-456C-AB0C-851DE23A1F30}"/>
    <cellStyle name="20% - Accent6 2 3 8" xfId="8770" xr:uid="{68152BD1-549A-4261-8443-E1441C52BEB4}"/>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AA13D046-4F39-4BCA-9A95-15AD3A015F45}"/>
    <cellStyle name="20% - Accent6 2 4 2 3" xfId="11326" xr:uid="{968E1068-DC76-45C0-9498-C6E89E875653}"/>
    <cellStyle name="20% - Accent6 2 4 3" xfId="4960" xr:uid="{00000000-0005-0000-0000-000062030000}"/>
    <cellStyle name="20% - Accent6 2 4 3 2" xfId="13399" xr:uid="{C901205E-69EA-4F24-875A-D98F5C372243}"/>
    <cellStyle name="20% - Accent6 2 4 4" xfId="9181" xr:uid="{1CD91FAE-8387-45AD-BD11-6875105A954B}"/>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A8D149E5-D73E-411C-9FDC-4F2DB3F4E5B7}"/>
    <cellStyle name="20% - Accent6 2 5 2 3" xfId="11739" xr:uid="{CEE6E3DE-69CF-4830-BCEF-36878B9B78C1}"/>
    <cellStyle name="20% - Accent6 2 5 3" xfId="5373" xr:uid="{00000000-0005-0000-0000-000066030000}"/>
    <cellStyle name="20% - Accent6 2 5 3 2" xfId="13812" xr:uid="{105BAF87-55CF-4165-93E1-50DDD1A16D96}"/>
    <cellStyle name="20% - Accent6 2 5 4" xfId="9594" xr:uid="{9D585368-228A-49EF-8C96-00702073B05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FDC1703C-FE38-427B-A6FF-3E3C3DD4FF54}"/>
    <cellStyle name="20% - Accent6 2 6 2 3" xfId="12152" xr:uid="{A5EA9070-FDFF-4D8C-91C1-24AA9650786C}"/>
    <cellStyle name="20% - Accent6 2 6 3" xfId="5786" xr:uid="{00000000-0005-0000-0000-00006A030000}"/>
    <cellStyle name="20% - Accent6 2 6 3 2" xfId="14225" xr:uid="{8C088B52-6EAD-4463-8B2F-28765DBB3E38}"/>
    <cellStyle name="20% - Accent6 2 6 4" xfId="10007" xr:uid="{127D03DE-3F8D-40AE-89D6-FAD5B17B1D67}"/>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8ED9FF69-811E-4845-B7EF-BCADC38DCB23}"/>
    <cellStyle name="20% - Accent6 2 7 2 3" xfId="12565" xr:uid="{E43AF25F-53EE-4B8D-B49C-796C668CD9A9}"/>
    <cellStyle name="20% - Accent6 2 7 3" xfId="6199" xr:uid="{00000000-0005-0000-0000-00006E030000}"/>
    <cellStyle name="20% - Accent6 2 7 3 2" xfId="14638" xr:uid="{6F71F258-5C48-4D33-9EFC-6A6681837E40}"/>
    <cellStyle name="20% - Accent6 2 7 4" xfId="10420" xr:uid="{DDAA3FAC-9618-4218-BAFA-EC4962CFF6F1}"/>
    <cellStyle name="20% - Accent6 2 8" xfId="2305" xr:uid="{00000000-0005-0000-0000-00006F030000}"/>
    <cellStyle name="20% - Accent6 2 8 2" xfId="6612" xr:uid="{00000000-0005-0000-0000-000070030000}"/>
    <cellStyle name="20% - Accent6 2 8 2 2" xfId="15051" xr:uid="{9F5A6688-AE7C-44C6-9DC7-5ADA31AEC828}"/>
    <cellStyle name="20% - Accent6 2 8 3" xfId="10833" xr:uid="{034DE526-D820-4974-AB09-A8B8498C5475}"/>
    <cellStyle name="20% - Accent6 2 9" xfId="4546" xr:uid="{00000000-0005-0000-0000-000071030000}"/>
    <cellStyle name="20% - Accent6 2 9 2" xfId="12985" xr:uid="{E480D400-9F19-4E7C-8594-723D361CF071}"/>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2518C646-6527-4B87-94E7-A9051EF68E66}"/>
    <cellStyle name="20% - Accent6 3 2 2 2 3" xfId="11331" xr:uid="{8F4BA813-4B3E-4F90-BF5F-2213D067E225}"/>
    <cellStyle name="20% - Accent6 3 2 2 3" xfId="4965" xr:uid="{00000000-0005-0000-0000-000077030000}"/>
    <cellStyle name="20% - Accent6 3 2 2 3 2" xfId="13404" xr:uid="{BF369640-7F9A-4E3D-A32A-7F2F2146ABE1}"/>
    <cellStyle name="20% - Accent6 3 2 2 4" xfId="9186" xr:uid="{BB0944F7-0BE5-4CE4-B68D-496B3AC4CFB8}"/>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D8A94B23-60B6-42BF-8498-7B6629D1DD32}"/>
    <cellStyle name="20% - Accent6 3 2 3 2 3" xfId="11744" xr:uid="{6C7817AA-38B0-4AC5-97C2-0DC0AEDFB9C7}"/>
    <cellStyle name="20% - Accent6 3 2 3 3" xfId="5378" xr:uid="{00000000-0005-0000-0000-00007B030000}"/>
    <cellStyle name="20% - Accent6 3 2 3 3 2" xfId="13817" xr:uid="{F8838BA4-BA03-4B94-946B-3BA6B39FC022}"/>
    <cellStyle name="20% - Accent6 3 2 3 4" xfId="9599" xr:uid="{3B36766D-01E8-499F-B898-2E28F82B2BE2}"/>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546692C0-0820-4A53-B53E-2AA26967EB06}"/>
    <cellStyle name="20% - Accent6 3 2 4 2 3" xfId="12157" xr:uid="{F3719A6A-073E-4EE8-82F4-4B4F4B1EF2AD}"/>
    <cellStyle name="20% - Accent6 3 2 4 3" xfId="5791" xr:uid="{00000000-0005-0000-0000-00007F030000}"/>
    <cellStyle name="20% - Accent6 3 2 4 3 2" xfId="14230" xr:uid="{F9288403-42EC-4309-8FF9-418B4A8129B3}"/>
    <cellStyle name="20% - Accent6 3 2 4 4" xfId="10012" xr:uid="{491353F2-F188-499C-826E-28DDE4B739BD}"/>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D80CB686-45BB-43E9-9D87-AB884CA23D02}"/>
    <cellStyle name="20% - Accent6 3 2 5 2 3" xfId="12570" xr:uid="{0649C8D6-D199-4FF9-BD8A-B596B1C31D46}"/>
    <cellStyle name="20% - Accent6 3 2 5 3" xfId="6204" xr:uid="{00000000-0005-0000-0000-000083030000}"/>
    <cellStyle name="20% - Accent6 3 2 5 3 2" xfId="14643" xr:uid="{8A3D479F-9E2A-46F9-9721-678554F314CD}"/>
    <cellStyle name="20% - Accent6 3 2 5 4" xfId="10425" xr:uid="{536B4AC3-6802-4618-8E73-8CF56F125A8A}"/>
    <cellStyle name="20% - Accent6 3 2 6" xfId="2310" xr:uid="{00000000-0005-0000-0000-000084030000}"/>
    <cellStyle name="20% - Accent6 3 2 6 2" xfId="6617" xr:uid="{00000000-0005-0000-0000-000085030000}"/>
    <cellStyle name="20% - Accent6 3 2 6 2 2" xfId="15056" xr:uid="{8EC377B9-7F08-4AE0-BC1A-4961270BB825}"/>
    <cellStyle name="20% - Accent6 3 2 6 3" xfId="10838" xr:uid="{FE30DEAA-3EB5-4F06-B6DE-40E5CC6FEFE0}"/>
    <cellStyle name="20% - Accent6 3 2 7" xfId="4551" xr:uid="{00000000-0005-0000-0000-000086030000}"/>
    <cellStyle name="20% - Accent6 3 2 7 2" xfId="12990" xr:uid="{C4AC91E7-6164-4FB8-A9AC-E29DB6482426}"/>
    <cellStyle name="20% - Accent6 3 2 8" xfId="8772" xr:uid="{8014DF4E-ADD2-4E92-96BA-CA6E7540F0AC}"/>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0AA12022-E47A-4B24-BC2B-5D43161A46A4}"/>
    <cellStyle name="20% - Accent6 3 3 2 3" xfId="11330" xr:uid="{ADD2BD3F-FADC-44E3-96D6-EBC9D1F2D0CB}"/>
    <cellStyle name="20% - Accent6 3 3 3" xfId="4964" xr:uid="{00000000-0005-0000-0000-00008A030000}"/>
    <cellStyle name="20% - Accent6 3 3 3 2" xfId="13403" xr:uid="{9C8A63F7-506C-46A7-A029-B4AE42558804}"/>
    <cellStyle name="20% - Accent6 3 3 4" xfId="9185" xr:uid="{48729010-116C-4D9B-9DFD-0122BF6D626C}"/>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EB10FDD7-CE80-4215-8593-631F4CFEC307}"/>
    <cellStyle name="20% - Accent6 3 4 2 3" xfId="11743" xr:uid="{0FC7501B-8D5F-46A3-9CE5-ADB843EFA6C5}"/>
    <cellStyle name="20% - Accent6 3 4 3" xfId="5377" xr:uid="{00000000-0005-0000-0000-00008E030000}"/>
    <cellStyle name="20% - Accent6 3 4 3 2" xfId="13816" xr:uid="{9D8C2C26-3DA9-44CD-BBA8-F6B14C16404B}"/>
    <cellStyle name="20% - Accent6 3 4 4" xfId="9598" xr:uid="{34882551-F964-41E1-9250-7A0ADB6834CD}"/>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327E234D-A61E-4B33-8C14-99A7ECFB0286}"/>
    <cellStyle name="20% - Accent6 3 5 2 3" xfId="12156" xr:uid="{88AEC83A-D80A-4647-86B0-45F04AEB0B2E}"/>
    <cellStyle name="20% - Accent6 3 5 3" xfId="5790" xr:uid="{00000000-0005-0000-0000-000092030000}"/>
    <cellStyle name="20% - Accent6 3 5 3 2" xfId="14229" xr:uid="{78F734C6-996E-44DD-AF23-DFEFFCCC4D65}"/>
    <cellStyle name="20% - Accent6 3 5 4" xfId="10011" xr:uid="{DEFA74B3-DEFD-4DC4-AFCA-ABCB2BB5B8A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66EC23EF-8BE3-467F-929A-D6C721E18E95}"/>
    <cellStyle name="20% - Accent6 3 6 2 3" xfId="12569" xr:uid="{6935AB3D-D814-435C-902E-147144A3F82A}"/>
    <cellStyle name="20% - Accent6 3 6 3" xfId="6203" xr:uid="{00000000-0005-0000-0000-000096030000}"/>
    <cellStyle name="20% - Accent6 3 6 3 2" xfId="14642" xr:uid="{D9333128-233F-4768-950C-65F86F46E8D2}"/>
    <cellStyle name="20% - Accent6 3 6 4" xfId="10424" xr:uid="{67745D67-DC6D-46EB-843F-B5E8DD288EC8}"/>
    <cellStyle name="20% - Accent6 3 7" xfId="2309" xr:uid="{00000000-0005-0000-0000-000097030000}"/>
    <cellStyle name="20% - Accent6 3 7 2" xfId="6616" xr:uid="{00000000-0005-0000-0000-000098030000}"/>
    <cellStyle name="20% - Accent6 3 7 2 2" xfId="15055" xr:uid="{7BD99AF1-DCB5-431B-89E1-C2A4E8DFC13F}"/>
    <cellStyle name="20% - Accent6 3 7 3" xfId="10837" xr:uid="{FA95BDED-2F17-4798-8BFE-DF0710D9C5E1}"/>
    <cellStyle name="20% - Accent6 3 8" xfId="4550" xr:uid="{00000000-0005-0000-0000-000099030000}"/>
    <cellStyle name="20% - Accent6 3 8 2" xfId="12989" xr:uid="{A7B7708A-2F6D-49ED-AAFE-23914EBDD3F2}"/>
    <cellStyle name="20% - Accent6 3 9" xfId="8771" xr:uid="{74E27694-DAC3-4EBF-ACF2-EA773EA5805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974F7AE6-D274-49F1-81C9-9F0345207ADA}"/>
    <cellStyle name="20% - Accent6 4 2 2 3" xfId="11332" xr:uid="{6E6F961F-B2C4-4A5B-949D-8E1F2535AEC7}"/>
    <cellStyle name="20% - Accent6 4 2 3" xfId="4966" xr:uid="{00000000-0005-0000-0000-00009E030000}"/>
    <cellStyle name="20% - Accent6 4 2 3 2" xfId="13405" xr:uid="{FCB042B4-5AD9-4C78-96B8-9F0A042C1774}"/>
    <cellStyle name="20% - Accent6 4 2 4" xfId="9187" xr:uid="{081DA880-0800-4E01-A2E5-6F6308E45062}"/>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EFB8D438-EDAF-4AFC-90B6-FB8B62F78F73}"/>
    <cellStyle name="20% - Accent6 4 3 2 3" xfId="11745" xr:uid="{5149A7D3-8F87-4145-8D01-8A3B873025CF}"/>
    <cellStyle name="20% - Accent6 4 3 3" xfId="5379" xr:uid="{00000000-0005-0000-0000-0000A2030000}"/>
    <cellStyle name="20% - Accent6 4 3 3 2" xfId="13818" xr:uid="{219B3822-83AF-497B-9F0F-5D1E264590A9}"/>
    <cellStyle name="20% - Accent6 4 3 4" xfId="9600" xr:uid="{109166AC-B953-4C27-8F12-048083137332}"/>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A0C9F9C9-E99D-4BFF-B612-E168908EB021}"/>
    <cellStyle name="20% - Accent6 4 4 2 3" xfId="12158" xr:uid="{2325C78B-B456-4E77-956A-344EA597BD64}"/>
    <cellStyle name="20% - Accent6 4 4 3" xfId="5792" xr:uid="{00000000-0005-0000-0000-0000A6030000}"/>
    <cellStyle name="20% - Accent6 4 4 3 2" xfId="14231" xr:uid="{FD8F41C5-4F80-4C81-AF42-CCA21FA2C180}"/>
    <cellStyle name="20% - Accent6 4 4 4" xfId="10013" xr:uid="{6AE53212-9FD7-4AD4-B196-A40964B8EB57}"/>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C227B52A-59E4-42A9-9CEB-5F2802848332}"/>
    <cellStyle name="20% - Accent6 4 5 2 3" xfId="12571" xr:uid="{24B70324-BAC0-4282-8548-D8BD009E2F2A}"/>
    <cellStyle name="20% - Accent6 4 5 3" xfId="6205" xr:uid="{00000000-0005-0000-0000-0000AA030000}"/>
    <cellStyle name="20% - Accent6 4 5 3 2" xfId="14644" xr:uid="{D20B0927-A064-4F59-83E8-B500376F8536}"/>
    <cellStyle name="20% - Accent6 4 5 4" xfId="10426" xr:uid="{124AB0C0-7A89-492F-B348-C50FE5263AD0}"/>
    <cellStyle name="20% - Accent6 4 6" xfId="2311" xr:uid="{00000000-0005-0000-0000-0000AB030000}"/>
    <cellStyle name="20% - Accent6 4 6 2" xfId="6618" xr:uid="{00000000-0005-0000-0000-0000AC030000}"/>
    <cellStyle name="20% - Accent6 4 6 2 2" xfId="15057" xr:uid="{58DF5D8E-FF6F-4393-AA5B-9969430045E8}"/>
    <cellStyle name="20% - Accent6 4 6 3" xfId="10839" xr:uid="{EC40EFE5-2F83-4E5C-AD65-C864D1DDFAAD}"/>
    <cellStyle name="20% - Accent6 4 7" xfId="4552" xr:uid="{00000000-0005-0000-0000-0000AD030000}"/>
    <cellStyle name="20% - Accent6 4 7 2" xfId="12991" xr:uid="{16368C8C-DA0C-47A8-AE0B-5269591C22F1}"/>
    <cellStyle name="20% - Accent6 4 8" xfId="8773" xr:uid="{7FEEDE07-E0F3-440A-980B-2431E2A2D7EF}"/>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A9AE5AAC-6DDF-47E3-B7FE-DAA59CB982D9}"/>
    <cellStyle name="20% - Accent6 5 2 3" xfId="11325" xr:uid="{19B993C4-D798-4903-9C2A-E66373CB1B32}"/>
    <cellStyle name="20% - Accent6 5 3" xfId="4959" xr:uid="{00000000-0005-0000-0000-0000B1030000}"/>
    <cellStyle name="20% - Accent6 5 3 2" xfId="13398" xr:uid="{A313690F-0BBE-4132-8550-608B2A5498B0}"/>
    <cellStyle name="20% - Accent6 5 4" xfId="9180" xr:uid="{FB7857AA-8361-4AB3-8688-1910BEEF581A}"/>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EB76B27C-D0D7-42A0-8173-E264E9A04C08}"/>
    <cellStyle name="20% - Accent6 6 2 3" xfId="11738" xr:uid="{9A456A74-1262-4E9D-94AB-6323C641A5D2}"/>
    <cellStyle name="20% - Accent6 6 3" xfId="5372" xr:uid="{00000000-0005-0000-0000-0000B5030000}"/>
    <cellStyle name="20% - Accent6 6 3 2" xfId="13811" xr:uid="{36DC6E92-646D-4DCF-BB8F-53FE8197B9F8}"/>
    <cellStyle name="20% - Accent6 6 4" xfId="9593" xr:uid="{E4A3EE3A-7B74-48C9-A7C6-C60A5898B41D}"/>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C8EA6357-D3C5-4935-8437-137C409EBC39}"/>
    <cellStyle name="20% - Accent6 7 2 3" xfId="12151" xr:uid="{8D2F67FF-26DE-487F-A9E7-46444ACDD974}"/>
    <cellStyle name="20% - Accent6 7 3" xfId="5785" xr:uid="{00000000-0005-0000-0000-0000B9030000}"/>
    <cellStyle name="20% - Accent6 7 3 2" xfId="14224" xr:uid="{9E39B82D-1F38-4CE2-9E71-23215D494250}"/>
    <cellStyle name="20% - Accent6 7 4" xfId="10006" xr:uid="{67BC3B6E-4441-47FF-AD30-86E00E796B65}"/>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4A6392CE-B2D6-4561-B9F6-A8631A568AF4}"/>
    <cellStyle name="20% - Accent6 8 2 3" xfId="12564" xr:uid="{CF6F47D4-5009-47DB-8DA4-B3B540AFBF2B}"/>
    <cellStyle name="20% - Accent6 8 3" xfId="6198" xr:uid="{00000000-0005-0000-0000-0000BD030000}"/>
    <cellStyle name="20% - Accent6 8 3 2" xfId="14637" xr:uid="{419C550D-81F6-4297-95D2-9DC66B8CEAEF}"/>
    <cellStyle name="20% - Accent6 8 4" xfId="10419" xr:uid="{4CB4D6E7-CB9D-45CF-A904-441A05BD7409}"/>
    <cellStyle name="20% - Accent6 9" xfId="2304" xr:uid="{00000000-0005-0000-0000-0000BE030000}"/>
    <cellStyle name="20% - Accent6 9 2" xfId="6611" xr:uid="{00000000-0005-0000-0000-0000BF030000}"/>
    <cellStyle name="20% - Accent6 9 2 2" xfId="15050" xr:uid="{6029C3AA-E71A-4E05-8C33-7BA99AD2E150}"/>
    <cellStyle name="20% - Accent6 9 3" xfId="10832" xr:uid="{C2AEF512-B73D-4211-B450-4B419A75F37D}"/>
    <cellStyle name="40% - Accent1" xfId="49" builtinId="31" customBuiltin="1"/>
    <cellStyle name="40% - Accent1 10" xfId="4553" xr:uid="{00000000-0005-0000-0000-0000C1030000}"/>
    <cellStyle name="40% - Accent1 10 2" xfId="12992" xr:uid="{76735BF9-7918-4565-8CE4-0B4D9A52C3F7}"/>
    <cellStyle name="40% - Accent1 11" xfId="8774" xr:uid="{8182ECE9-537F-4515-9427-4EE51287B4F3}"/>
    <cellStyle name="40% - Accent1 2" xfId="50" xr:uid="{00000000-0005-0000-0000-0000C2030000}"/>
    <cellStyle name="40% - Accent1 2 10" xfId="8775" xr:uid="{AD29E2EA-8A7B-4EF9-B972-4DE35FC833E7}"/>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F864DC02-6089-4DC2-A99B-991E50310C62}"/>
    <cellStyle name="40% - Accent1 2 2 2 2 2 3" xfId="11336" xr:uid="{3533D5EE-68DD-4868-9172-91814F352E32}"/>
    <cellStyle name="40% - Accent1 2 2 2 2 3" xfId="4970" xr:uid="{00000000-0005-0000-0000-0000C8030000}"/>
    <cellStyle name="40% - Accent1 2 2 2 2 3 2" xfId="13409" xr:uid="{4DCA7DBD-BF83-4141-9EE1-B8F46F7FD0B3}"/>
    <cellStyle name="40% - Accent1 2 2 2 2 4" xfId="9191" xr:uid="{93DF3771-C075-42A4-A5D6-3177F2096FE5}"/>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A0A2010C-1C1B-45FB-9C20-F8A2B820899F}"/>
    <cellStyle name="40% - Accent1 2 2 2 3 2 3" xfId="11749" xr:uid="{A6C7B125-182F-4A9D-AE7A-018A8A3EDE74}"/>
    <cellStyle name="40% - Accent1 2 2 2 3 3" xfId="5383" xr:uid="{00000000-0005-0000-0000-0000CC030000}"/>
    <cellStyle name="40% - Accent1 2 2 2 3 3 2" xfId="13822" xr:uid="{213AB125-849E-4688-9513-D2CBF5DFA834}"/>
    <cellStyle name="40% - Accent1 2 2 2 3 4" xfId="9604" xr:uid="{4ADA6B0B-67BF-4AF1-B80B-AFBFDED4333A}"/>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A6D7E076-B052-4B45-8FBC-959032CD4473}"/>
    <cellStyle name="40% - Accent1 2 2 2 4 2 3" xfId="12162" xr:uid="{9425AB17-7646-49F3-AA5F-AA83DE079422}"/>
    <cellStyle name="40% - Accent1 2 2 2 4 3" xfId="5796" xr:uid="{00000000-0005-0000-0000-0000D0030000}"/>
    <cellStyle name="40% - Accent1 2 2 2 4 3 2" xfId="14235" xr:uid="{A260434F-1027-42B1-8243-7146924383A3}"/>
    <cellStyle name="40% - Accent1 2 2 2 4 4" xfId="10017" xr:uid="{B8F0A961-5272-4998-807C-2DE84B0E711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046911E6-1F76-483F-8542-0486D9702A12}"/>
    <cellStyle name="40% - Accent1 2 2 2 5 2 3" xfId="12575" xr:uid="{FB044DD3-D7FF-4D5F-A2E5-87CEF607D9F0}"/>
    <cellStyle name="40% - Accent1 2 2 2 5 3" xfId="6209" xr:uid="{00000000-0005-0000-0000-0000D4030000}"/>
    <cellStyle name="40% - Accent1 2 2 2 5 3 2" xfId="14648" xr:uid="{7AABDCCA-0CE4-4C3E-9092-92E3A01F58C5}"/>
    <cellStyle name="40% - Accent1 2 2 2 5 4" xfId="10430" xr:uid="{0A4FF6FD-A72E-4C88-8FCE-60758E2F24CF}"/>
    <cellStyle name="40% - Accent1 2 2 2 6" xfId="2315" xr:uid="{00000000-0005-0000-0000-0000D5030000}"/>
    <cellStyle name="40% - Accent1 2 2 2 6 2" xfId="6622" xr:uid="{00000000-0005-0000-0000-0000D6030000}"/>
    <cellStyle name="40% - Accent1 2 2 2 6 2 2" xfId="15061" xr:uid="{328DFD9D-AD4E-42F5-AEB8-EC09A9BCEE52}"/>
    <cellStyle name="40% - Accent1 2 2 2 6 3" xfId="10843" xr:uid="{408200CA-ED3E-43DE-B627-DF13E80BE2B5}"/>
    <cellStyle name="40% - Accent1 2 2 2 7" xfId="4556" xr:uid="{00000000-0005-0000-0000-0000D7030000}"/>
    <cellStyle name="40% - Accent1 2 2 2 7 2" xfId="12995" xr:uid="{840F2DC4-138E-43AE-94E3-2A8725088E0B}"/>
    <cellStyle name="40% - Accent1 2 2 2 8" xfId="8777" xr:uid="{875FB733-B0E9-43E3-898A-5297013C8CEF}"/>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3046F64A-65D9-47F4-B3CE-EE75E3A97DDC}"/>
    <cellStyle name="40% - Accent1 2 2 3 2 3" xfId="11335" xr:uid="{842ACA45-6747-4AC2-9E51-AC3401E8FEF2}"/>
    <cellStyle name="40% - Accent1 2 2 3 3" xfId="4969" xr:uid="{00000000-0005-0000-0000-0000DB030000}"/>
    <cellStyle name="40% - Accent1 2 2 3 3 2" xfId="13408" xr:uid="{C7ACF4FE-4321-4CF5-90DB-FB2CE491E790}"/>
    <cellStyle name="40% - Accent1 2 2 3 4" xfId="9190" xr:uid="{4D82BD65-DFB6-42A3-976F-E45BC4B08BC6}"/>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3A77B865-6BFB-4CAF-8316-3324B7944CB5}"/>
    <cellStyle name="40% - Accent1 2 2 4 2 3" xfId="11748" xr:uid="{1996E8B0-DEEC-4328-BDD4-CB10954C7E05}"/>
    <cellStyle name="40% - Accent1 2 2 4 3" xfId="5382" xr:uid="{00000000-0005-0000-0000-0000DF030000}"/>
    <cellStyle name="40% - Accent1 2 2 4 3 2" xfId="13821" xr:uid="{C740A08B-C808-48BB-84A1-76EB70DF5AA2}"/>
    <cellStyle name="40% - Accent1 2 2 4 4" xfId="9603" xr:uid="{EF304E90-9B95-4B1E-B7E8-F24EF79E6EC2}"/>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10E7C5A3-41CC-46E0-94ED-0B3CF80ED67D}"/>
    <cellStyle name="40% - Accent1 2 2 5 2 3" xfId="12161" xr:uid="{CAEE934D-25F2-4981-94B6-348FF5C2EED4}"/>
    <cellStyle name="40% - Accent1 2 2 5 3" xfId="5795" xr:uid="{00000000-0005-0000-0000-0000E3030000}"/>
    <cellStyle name="40% - Accent1 2 2 5 3 2" xfId="14234" xr:uid="{711AF0CF-FBD2-440B-80A7-55D254126693}"/>
    <cellStyle name="40% - Accent1 2 2 5 4" xfId="10016" xr:uid="{9185D714-EA01-4D96-AAF5-E93E71CD784C}"/>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5EB751CE-52AB-4C0E-B1BD-37A3379B9F87}"/>
    <cellStyle name="40% - Accent1 2 2 6 2 3" xfId="12574" xr:uid="{9B73A501-3411-4E9D-AF77-954A3247A4E2}"/>
    <cellStyle name="40% - Accent1 2 2 6 3" xfId="6208" xr:uid="{00000000-0005-0000-0000-0000E7030000}"/>
    <cellStyle name="40% - Accent1 2 2 6 3 2" xfId="14647" xr:uid="{7EAD7872-952D-49D5-9416-C19F491F1BF6}"/>
    <cellStyle name="40% - Accent1 2 2 6 4" xfId="10429" xr:uid="{99B1130E-013B-452A-B0A3-6090072A2549}"/>
    <cellStyle name="40% - Accent1 2 2 7" xfId="2314" xr:uid="{00000000-0005-0000-0000-0000E8030000}"/>
    <cellStyle name="40% - Accent1 2 2 7 2" xfId="6621" xr:uid="{00000000-0005-0000-0000-0000E9030000}"/>
    <cellStyle name="40% - Accent1 2 2 7 2 2" xfId="15060" xr:uid="{4DE6E837-9906-428E-AD0A-60C6C3969E1E}"/>
    <cellStyle name="40% - Accent1 2 2 7 3" xfId="10842" xr:uid="{0EABDD18-F517-4E03-972A-7C3E1CEF6852}"/>
    <cellStyle name="40% - Accent1 2 2 8" xfId="4555" xr:uid="{00000000-0005-0000-0000-0000EA030000}"/>
    <cellStyle name="40% - Accent1 2 2 8 2" xfId="12994" xr:uid="{54087E55-7F0F-4AB1-8E00-E43A014F51AF}"/>
    <cellStyle name="40% - Accent1 2 2 9" xfId="8776" xr:uid="{A977B852-20A7-43D6-A52C-4EAE0D707C43}"/>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E7422D14-E62A-493F-A360-870D0D0A7910}"/>
    <cellStyle name="40% - Accent1 2 3 2 2 3" xfId="11337" xr:uid="{0FCDC745-0C57-49D1-9E43-8AAD6A584874}"/>
    <cellStyle name="40% - Accent1 2 3 2 3" xfId="4971" xr:uid="{00000000-0005-0000-0000-0000EF030000}"/>
    <cellStyle name="40% - Accent1 2 3 2 3 2" xfId="13410" xr:uid="{3C078DDC-8ED1-45C6-AE77-44BF517C38B5}"/>
    <cellStyle name="40% - Accent1 2 3 2 4" xfId="9192" xr:uid="{4F721DA8-A7A7-45DA-9700-2AD596AA89CA}"/>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94E7AC76-1126-44FF-99FA-FC43D1EE83EB}"/>
    <cellStyle name="40% - Accent1 2 3 3 2 3" xfId="11750" xr:uid="{B57AA185-CD55-41CA-81ED-FA5D92E25217}"/>
    <cellStyle name="40% - Accent1 2 3 3 3" xfId="5384" xr:uid="{00000000-0005-0000-0000-0000F3030000}"/>
    <cellStyle name="40% - Accent1 2 3 3 3 2" xfId="13823" xr:uid="{A647A8BF-CB9B-46F8-81C5-F915F7370D8B}"/>
    <cellStyle name="40% - Accent1 2 3 3 4" xfId="9605" xr:uid="{D32C9A85-9B40-45BC-9093-DC7571EB5072}"/>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3692F481-6AA5-4ABE-990D-BBE660E08F84}"/>
    <cellStyle name="40% - Accent1 2 3 4 2 3" xfId="12163" xr:uid="{1FF43028-4A3B-4273-B9CE-573F88F74B1F}"/>
    <cellStyle name="40% - Accent1 2 3 4 3" xfId="5797" xr:uid="{00000000-0005-0000-0000-0000F7030000}"/>
    <cellStyle name="40% - Accent1 2 3 4 3 2" xfId="14236" xr:uid="{28788C44-E5BB-4B73-8CE2-56536C9EA814}"/>
    <cellStyle name="40% - Accent1 2 3 4 4" xfId="10018" xr:uid="{9C3C4558-90AE-4C5E-B09F-9579343A35EE}"/>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45DFF63C-989B-4E93-A9DD-06FA16B98D9F}"/>
    <cellStyle name="40% - Accent1 2 3 5 2 3" xfId="12576" xr:uid="{D947883F-4681-4C9D-9B83-92B65F6EF23C}"/>
    <cellStyle name="40% - Accent1 2 3 5 3" xfId="6210" xr:uid="{00000000-0005-0000-0000-0000FB030000}"/>
    <cellStyle name="40% - Accent1 2 3 5 3 2" xfId="14649" xr:uid="{F1B5B7AA-ADED-4028-8550-63807EB12F8B}"/>
    <cellStyle name="40% - Accent1 2 3 5 4" xfId="10431" xr:uid="{624829B8-001E-42D8-8747-E3F3DC0B19A7}"/>
    <cellStyle name="40% - Accent1 2 3 6" xfId="2316" xr:uid="{00000000-0005-0000-0000-0000FC030000}"/>
    <cellStyle name="40% - Accent1 2 3 6 2" xfId="6623" xr:uid="{00000000-0005-0000-0000-0000FD030000}"/>
    <cellStyle name="40% - Accent1 2 3 6 2 2" xfId="15062" xr:uid="{33D32691-BA0B-473F-9E53-EB3BCBA9B960}"/>
    <cellStyle name="40% - Accent1 2 3 6 3" xfId="10844" xr:uid="{F2B181BE-E0B0-4DD0-AC56-86BD5E3C9E97}"/>
    <cellStyle name="40% - Accent1 2 3 7" xfId="4557" xr:uid="{00000000-0005-0000-0000-0000FE030000}"/>
    <cellStyle name="40% - Accent1 2 3 7 2" xfId="12996" xr:uid="{BE57840F-ADB6-467E-922E-90D46C57BB9B}"/>
    <cellStyle name="40% - Accent1 2 3 8" xfId="8778" xr:uid="{98A16C64-CFFC-456C-9C2B-0F2AB15F520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F2434764-5627-4AF1-A9CA-AB014F9DC260}"/>
    <cellStyle name="40% - Accent1 2 4 2 3" xfId="11334" xr:uid="{6EBFE9E2-834B-4B64-ACD7-6D1DF9D3B39F}"/>
    <cellStyle name="40% - Accent1 2 4 3" xfId="4968" xr:uid="{00000000-0005-0000-0000-000002040000}"/>
    <cellStyle name="40% - Accent1 2 4 3 2" xfId="13407" xr:uid="{EF8BA759-01EB-474F-8C40-73B5A4C591C2}"/>
    <cellStyle name="40% - Accent1 2 4 4" xfId="9189" xr:uid="{6F2B1D9D-F769-4E3D-B5F3-B3D44164958F}"/>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41377C4D-2654-4F3B-A9EE-FFD94A400968}"/>
    <cellStyle name="40% - Accent1 2 5 2 3" xfId="11747" xr:uid="{6057614F-EAE4-45B0-AD75-4EB7A1F70F15}"/>
    <cellStyle name="40% - Accent1 2 5 3" xfId="5381" xr:uid="{00000000-0005-0000-0000-000006040000}"/>
    <cellStyle name="40% - Accent1 2 5 3 2" xfId="13820" xr:uid="{D0C97FE4-DABF-40D7-A7ED-27A6A8AFF63E}"/>
    <cellStyle name="40% - Accent1 2 5 4" xfId="9602" xr:uid="{AA9DB833-8F02-4890-BA50-C69FCDC43107}"/>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0C386B87-1DA1-43DD-BF8C-758F60D84611}"/>
    <cellStyle name="40% - Accent1 2 6 2 3" xfId="12160" xr:uid="{8AAB578A-35BB-4B2C-90C8-A862095B21D9}"/>
    <cellStyle name="40% - Accent1 2 6 3" xfId="5794" xr:uid="{00000000-0005-0000-0000-00000A040000}"/>
    <cellStyle name="40% - Accent1 2 6 3 2" xfId="14233" xr:uid="{D3DC2CEA-9D93-46FC-B464-64786AE245EB}"/>
    <cellStyle name="40% - Accent1 2 6 4" xfId="10015" xr:uid="{571DD714-70E5-4BF9-946C-F5D7587BD60E}"/>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CFFCFB5E-9CAA-4A27-B440-B833976A6934}"/>
    <cellStyle name="40% - Accent1 2 7 2 3" xfId="12573" xr:uid="{1DB5E890-6A5C-4BD5-9335-FDE9A0F60F41}"/>
    <cellStyle name="40% - Accent1 2 7 3" xfId="6207" xr:uid="{00000000-0005-0000-0000-00000E040000}"/>
    <cellStyle name="40% - Accent1 2 7 3 2" xfId="14646" xr:uid="{3E6AD126-D9FD-4811-B158-7D5933011FA4}"/>
    <cellStyle name="40% - Accent1 2 7 4" xfId="10428" xr:uid="{291B0A7B-F5DF-44F2-AAA9-19773E47C3B6}"/>
    <cellStyle name="40% - Accent1 2 8" xfId="2313" xr:uid="{00000000-0005-0000-0000-00000F040000}"/>
    <cellStyle name="40% - Accent1 2 8 2" xfId="6620" xr:uid="{00000000-0005-0000-0000-000010040000}"/>
    <cellStyle name="40% - Accent1 2 8 2 2" xfId="15059" xr:uid="{F1736E32-5EC0-441C-A4C0-0787DB7CD2E5}"/>
    <cellStyle name="40% - Accent1 2 8 3" xfId="10841" xr:uid="{9C42D437-CCD3-48B9-903F-D557C201C93B}"/>
    <cellStyle name="40% - Accent1 2 9" xfId="4554" xr:uid="{00000000-0005-0000-0000-000011040000}"/>
    <cellStyle name="40% - Accent1 2 9 2" xfId="12993" xr:uid="{D0C6DFEF-C7D6-4447-929B-2170DCFE2E56}"/>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74DD77A9-2B55-4265-B147-89BF53A043A6}"/>
    <cellStyle name="40% - Accent1 3 2 2 2 3" xfId="11339" xr:uid="{60EC3A9F-3CFE-489C-88F6-C68497A79284}"/>
    <cellStyle name="40% - Accent1 3 2 2 3" xfId="4973" xr:uid="{00000000-0005-0000-0000-000017040000}"/>
    <cellStyle name="40% - Accent1 3 2 2 3 2" xfId="13412" xr:uid="{DD8ECEB4-089A-4373-AC99-242B23098723}"/>
    <cellStyle name="40% - Accent1 3 2 2 4" xfId="9194" xr:uid="{20112BA1-76E4-44CB-A843-CA2A81D4A31E}"/>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B383CD85-4141-4B63-B884-30ECDD7D03A8}"/>
    <cellStyle name="40% - Accent1 3 2 3 2 3" xfId="11752" xr:uid="{4806B433-40C6-4D35-8542-D937FCFD65F8}"/>
    <cellStyle name="40% - Accent1 3 2 3 3" xfId="5386" xr:uid="{00000000-0005-0000-0000-00001B040000}"/>
    <cellStyle name="40% - Accent1 3 2 3 3 2" xfId="13825" xr:uid="{CF02713D-46BA-4E5F-A141-DCDDA7EA1969}"/>
    <cellStyle name="40% - Accent1 3 2 3 4" xfId="9607" xr:uid="{F9518FED-ADCD-408A-A328-DE99DC81CED4}"/>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452FD6D1-0470-4F4D-8BB0-C8ABBB555BF8}"/>
    <cellStyle name="40% - Accent1 3 2 4 2 3" xfId="12165" xr:uid="{9F881273-490B-4E6C-B1B6-0B87CFE8B159}"/>
    <cellStyle name="40% - Accent1 3 2 4 3" xfId="5799" xr:uid="{00000000-0005-0000-0000-00001F040000}"/>
    <cellStyle name="40% - Accent1 3 2 4 3 2" xfId="14238" xr:uid="{3C06D25E-589C-4001-A523-C5CABEDD7FE9}"/>
    <cellStyle name="40% - Accent1 3 2 4 4" xfId="10020" xr:uid="{281AA389-0887-461A-9C41-2268B5E965EE}"/>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B1442826-9D99-422F-8E67-7B5D08EAECC4}"/>
    <cellStyle name="40% - Accent1 3 2 5 2 3" xfId="12578" xr:uid="{D7F97E75-D309-463F-BEF3-715A96182BD1}"/>
    <cellStyle name="40% - Accent1 3 2 5 3" xfId="6212" xr:uid="{00000000-0005-0000-0000-000023040000}"/>
    <cellStyle name="40% - Accent1 3 2 5 3 2" xfId="14651" xr:uid="{2C2800E7-DFC6-4537-8926-D858FA9BE549}"/>
    <cellStyle name="40% - Accent1 3 2 5 4" xfId="10433" xr:uid="{FF353E2A-7225-4300-9F55-8EDA93339E9F}"/>
    <cellStyle name="40% - Accent1 3 2 6" xfId="2318" xr:uid="{00000000-0005-0000-0000-000024040000}"/>
    <cellStyle name="40% - Accent1 3 2 6 2" xfId="6625" xr:uid="{00000000-0005-0000-0000-000025040000}"/>
    <cellStyle name="40% - Accent1 3 2 6 2 2" xfId="15064" xr:uid="{C96A73E1-834A-4578-B439-86EEA11A695A}"/>
    <cellStyle name="40% - Accent1 3 2 6 3" xfId="10846" xr:uid="{0AE978F5-D144-48FA-B199-DED4419A387C}"/>
    <cellStyle name="40% - Accent1 3 2 7" xfId="4559" xr:uid="{00000000-0005-0000-0000-000026040000}"/>
    <cellStyle name="40% - Accent1 3 2 7 2" xfId="12998" xr:uid="{5F21B595-7EFE-4015-80BF-F2EB58794B5A}"/>
    <cellStyle name="40% - Accent1 3 2 8" xfId="8780" xr:uid="{3D8FD158-A04A-4D44-AAC6-1B1CE3F97754}"/>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0F16614C-572C-4CD4-9334-0636FB69966B}"/>
    <cellStyle name="40% - Accent1 3 3 2 3" xfId="11338" xr:uid="{EF2A2EDE-BF9A-4E12-B7E7-522197081D0A}"/>
    <cellStyle name="40% - Accent1 3 3 3" xfId="4972" xr:uid="{00000000-0005-0000-0000-00002A040000}"/>
    <cellStyle name="40% - Accent1 3 3 3 2" xfId="13411" xr:uid="{4D267301-4DCC-4253-B7A4-5D70D0EC001A}"/>
    <cellStyle name="40% - Accent1 3 3 4" xfId="9193" xr:uid="{6663BA74-2DA4-4119-A202-C0F53E35E56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FE4BF712-46ED-440D-8FFE-285633D8F34F}"/>
    <cellStyle name="40% - Accent1 3 4 2 3" xfId="11751" xr:uid="{5A181AB6-3D25-460F-83EF-7D188987C2B4}"/>
    <cellStyle name="40% - Accent1 3 4 3" xfId="5385" xr:uid="{00000000-0005-0000-0000-00002E040000}"/>
    <cellStyle name="40% - Accent1 3 4 3 2" xfId="13824" xr:uid="{BA500B02-7E4A-4877-A481-B6931C913940}"/>
    <cellStyle name="40% - Accent1 3 4 4" xfId="9606" xr:uid="{EB32010D-1C3D-402E-BCED-0FA201CC5968}"/>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FB9EC800-8D5B-44BD-97EF-48F6A1029E33}"/>
    <cellStyle name="40% - Accent1 3 5 2 3" xfId="12164" xr:uid="{C6EABC1D-5FF0-420E-A651-AFC7BC8A4705}"/>
    <cellStyle name="40% - Accent1 3 5 3" xfId="5798" xr:uid="{00000000-0005-0000-0000-000032040000}"/>
    <cellStyle name="40% - Accent1 3 5 3 2" xfId="14237" xr:uid="{7F466736-4746-4F96-B1CE-5AB377C5C221}"/>
    <cellStyle name="40% - Accent1 3 5 4" xfId="10019" xr:uid="{E2E21F7C-9716-4372-AE82-F5528CE2C1E7}"/>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1BF4EE9E-8687-4D5A-BD13-B12138AEDB99}"/>
    <cellStyle name="40% - Accent1 3 6 2 3" xfId="12577" xr:uid="{0FC49B01-24B3-4B1C-AF19-F3FB7AD1B53B}"/>
    <cellStyle name="40% - Accent1 3 6 3" xfId="6211" xr:uid="{00000000-0005-0000-0000-000036040000}"/>
    <cellStyle name="40% - Accent1 3 6 3 2" xfId="14650" xr:uid="{4B0F60C6-1553-4AF8-8AEB-6B75C68602F7}"/>
    <cellStyle name="40% - Accent1 3 6 4" xfId="10432" xr:uid="{3C1D5D2E-A94A-49C5-849F-887D06717D06}"/>
    <cellStyle name="40% - Accent1 3 7" xfId="2317" xr:uid="{00000000-0005-0000-0000-000037040000}"/>
    <cellStyle name="40% - Accent1 3 7 2" xfId="6624" xr:uid="{00000000-0005-0000-0000-000038040000}"/>
    <cellStyle name="40% - Accent1 3 7 2 2" xfId="15063" xr:uid="{B0BFA2A5-FEFF-427E-A038-C7285F11B48A}"/>
    <cellStyle name="40% - Accent1 3 7 3" xfId="10845" xr:uid="{CA18C19B-FD1E-444F-A647-65C287FD018B}"/>
    <cellStyle name="40% - Accent1 3 8" xfId="4558" xr:uid="{00000000-0005-0000-0000-000039040000}"/>
    <cellStyle name="40% - Accent1 3 8 2" xfId="12997" xr:uid="{FFA58DED-282C-4C28-B269-2E65409BCEDB}"/>
    <cellStyle name="40% - Accent1 3 9" xfId="8779" xr:uid="{4B86361C-75D3-4772-97B0-9086FB1FC9A9}"/>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F0B910DB-470D-4872-92E6-8D657C4DD4A7}"/>
    <cellStyle name="40% - Accent1 4 2 2 3" xfId="11340" xr:uid="{D93A747F-D6BE-4682-A944-E6817B573F25}"/>
    <cellStyle name="40% - Accent1 4 2 3" xfId="4974" xr:uid="{00000000-0005-0000-0000-00003E040000}"/>
    <cellStyle name="40% - Accent1 4 2 3 2" xfId="13413" xr:uid="{7B84059E-141F-4A7F-B527-6C14831EF99A}"/>
    <cellStyle name="40% - Accent1 4 2 4" xfId="9195" xr:uid="{94EBFAAD-B6D7-4E6D-863D-CF6DCD0AD6A5}"/>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2E9619B9-0FE1-41A8-A82F-3B04D68CEB72}"/>
    <cellStyle name="40% - Accent1 4 3 2 3" xfId="11753" xr:uid="{F6E83B4B-F47C-4C62-94A5-BC9895692E46}"/>
    <cellStyle name="40% - Accent1 4 3 3" xfId="5387" xr:uid="{00000000-0005-0000-0000-000042040000}"/>
    <cellStyle name="40% - Accent1 4 3 3 2" xfId="13826" xr:uid="{FEB6ECEA-FD61-4E0E-B15A-AEE4FBF3F0C7}"/>
    <cellStyle name="40% - Accent1 4 3 4" xfId="9608" xr:uid="{1F954818-2EAC-4F03-B712-04EFFA7C23AF}"/>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B0A69DED-B308-49F4-8228-0534DE6453D2}"/>
    <cellStyle name="40% - Accent1 4 4 2 3" xfId="12166" xr:uid="{3A057860-53F8-41EB-B698-8EF4AE30598F}"/>
    <cellStyle name="40% - Accent1 4 4 3" xfId="5800" xr:uid="{00000000-0005-0000-0000-000046040000}"/>
    <cellStyle name="40% - Accent1 4 4 3 2" xfId="14239" xr:uid="{2B9C2ECF-EE73-4149-A381-8E677B7F5169}"/>
    <cellStyle name="40% - Accent1 4 4 4" xfId="10021" xr:uid="{19BB4B9B-CF79-47D5-BEC7-D4F60FA49574}"/>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9782BDA0-F6C9-47C1-8F34-95DF45437D8E}"/>
    <cellStyle name="40% - Accent1 4 5 2 3" xfId="12579" xr:uid="{D404FCEB-B64A-400E-8550-44266367D030}"/>
    <cellStyle name="40% - Accent1 4 5 3" xfId="6213" xr:uid="{00000000-0005-0000-0000-00004A040000}"/>
    <cellStyle name="40% - Accent1 4 5 3 2" xfId="14652" xr:uid="{31568305-4D9A-4258-B9FA-5C57FFA00E83}"/>
    <cellStyle name="40% - Accent1 4 5 4" xfId="10434" xr:uid="{058CC7A6-AECA-47F3-B027-EE574D707A20}"/>
    <cellStyle name="40% - Accent1 4 6" xfId="2319" xr:uid="{00000000-0005-0000-0000-00004B040000}"/>
    <cellStyle name="40% - Accent1 4 6 2" xfId="6626" xr:uid="{00000000-0005-0000-0000-00004C040000}"/>
    <cellStyle name="40% - Accent1 4 6 2 2" xfId="15065" xr:uid="{914E5806-1586-4EA1-9437-C8A84BB3E796}"/>
    <cellStyle name="40% - Accent1 4 6 3" xfId="10847" xr:uid="{1E000AAE-AF97-4C06-8CE4-6BFD7E2E5F50}"/>
    <cellStyle name="40% - Accent1 4 7" xfId="4560" xr:uid="{00000000-0005-0000-0000-00004D040000}"/>
    <cellStyle name="40% - Accent1 4 7 2" xfId="12999" xr:uid="{F8BA9AB3-C6D7-499F-B5B3-8C5FB9222C4F}"/>
    <cellStyle name="40% - Accent1 4 8" xfId="8781" xr:uid="{90C1E253-E16D-45A4-BDA2-1B15A89930A2}"/>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7E613F19-C137-48AF-8FB9-9B75ABFFADA3}"/>
    <cellStyle name="40% - Accent1 5 2 3" xfId="11333" xr:uid="{E0C87413-FDF9-48CC-8E71-3E882ACE4820}"/>
    <cellStyle name="40% - Accent1 5 3" xfId="4967" xr:uid="{00000000-0005-0000-0000-000051040000}"/>
    <cellStyle name="40% - Accent1 5 3 2" xfId="13406" xr:uid="{E61EB6F0-0D3B-4504-B18A-0D57CD9B333C}"/>
    <cellStyle name="40% - Accent1 5 4" xfId="9188" xr:uid="{EA491063-EDEE-45B1-9911-FC987AB3A1C3}"/>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6CA73824-D42D-4CD8-AE81-548BF5F5B791}"/>
    <cellStyle name="40% - Accent1 6 2 3" xfId="11746" xr:uid="{C0833629-5C3D-4181-B442-F8C9778F9099}"/>
    <cellStyle name="40% - Accent1 6 3" xfId="5380" xr:uid="{00000000-0005-0000-0000-000055040000}"/>
    <cellStyle name="40% - Accent1 6 3 2" xfId="13819" xr:uid="{835E909E-95D5-47F0-AF88-B214A8BF2CBF}"/>
    <cellStyle name="40% - Accent1 6 4" xfId="9601" xr:uid="{764DB0F0-F7E5-4643-99AF-C5D6D173F1C8}"/>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64F88782-F187-4D54-94DB-05F0042C83B3}"/>
    <cellStyle name="40% - Accent1 7 2 3" xfId="12159" xr:uid="{EB24BE00-007A-47EB-8F80-0410A28A1796}"/>
    <cellStyle name="40% - Accent1 7 3" xfId="5793" xr:uid="{00000000-0005-0000-0000-000059040000}"/>
    <cellStyle name="40% - Accent1 7 3 2" xfId="14232" xr:uid="{21E1DF81-4290-4C41-A02D-41BC05B0348B}"/>
    <cellStyle name="40% - Accent1 7 4" xfId="10014" xr:uid="{99155762-F717-4F09-B007-2800BD9F59FD}"/>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D43221FC-3003-4951-A87F-9672043E8B34}"/>
    <cellStyle name="40% - Accent1 8 2 3" xfId="12572" xr:uid="{5E6834B0-0F31-4C65-A32C-7F1EE10130C1}"/>
    <cellStyle name="40% - Accent1 8 3" xfId="6206" xr:uid="{00000000-0005-0000-0000-00005D040000}"/>
    <cellStyle name="40% - Accent1 8 3 2" xfId="14645" xr:uid="{1E70F317-5145-448A-AAA4-A15B24528A1B}"/>
    <cellStyle name="40% - Accent1 8 4" xfId="10427" xr:uid="{55E257EB-1B5F-4674-9FB5-CAF488CC5CC9}"/>
    <cellStyle name="40% - Accent1 9" xfId="2312" xr:uid="{00000000-0005-0000-0000-00005E040000}"/>
    <cellStyle name="40% - Accent1 9 2" xfId="6619" xr:uid="{00000000-0005-0000-0000-00005F040000}"/>
    <cellStyle name="40% - Accent1 9 2 2" xfId="15058" xr:uid="{6456BE6C-D662-48D4-A8CC-527ADE7B02F1}"/>
    <cellStyle name="40% - Accent1 9 3" xfId="10840" xr:uid="{8C352372-A61F-4541-A75D-4AF93F626885}"/>
    <cellStyle name="40% - Accent2" xfId="57" builtinId="35" customBuiltin="1"/>
    <cellStyle name="40% - Accent2 10" xfId="4561" xr:uid="{00000000-0005-0000-0000-000061040000}"/>
    <cellStyle name="40% - Accent2 10 2" xfId="13000" xr:uid="{A12FA391-468E-4B9B-80BB-1D31F3ECC0B9}"/>
    <cellStyle name="40% - Accent2 11" xfId="8782" xr:uid="{54C226C8-85C1-45D7-AF14-8B102506C572}"/>
    <cellStyle name="40% - Accent2 2" xfId="58" xr:uid="{00000000-0005-0000-0000-000062040000}"/>
    <cellStyle name="40% - Accent2 2 10" xfId="8783" xr:uid="{B81A86D1-7869-4D68-9BE5-CE487CD38FF2}"/>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52CBFE38-E1A2-4129-A667-FF0E0F14676D}"/>
    <cellStyle name="40% - Accent2 2 2 2 2 2 3" xfId="11344" xr:uid="{61DC2830-6F6C-4FFF-8FFD-5F92B16A23EE}"/>
    <cellStyle name="40% - Accent2 2 2 2 2 3" xfId="4978" xr:uid="{00000000-0005-0000-0000-000068040000}"/>
    <cellStyle name="40% - Accent2 2 2 2 2 3 2" xfId="13417" xr:uid="{C2CE63B8-81AC-46A2-AA8D-EE4BD23582B4}"/>
    <cellStyle name="40% - Accent2 2 2 2 2 4" xfId="9199" xr:uid="{B36E836B-3094-4780-896B-516557A701C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073CF34A-B5BC-43E4-8CA0-FCF3C498F8CF}"/>
    <cellStyle name="40% - Accent2 2 2 2 3 2 3" xfId="11757" xr:uid="{E902FC71-5578-45A8-B461-C7D68E6A2AC9}"/>
    <cellStyle name="40% - Accent2 2 2 2 3 3" xfId="5391" xr:uid="{00000000-0005-0000-0000-00006C040000}"/>
    <cellStyle name="40% - Accent2 2 2 2 3 3 2" xfId="13830" xr:uid="{F08CE324-5376-45A0-8BD6-21D38592FE34}"/>
    <cellStyle name="40% - Accent2 2 2 2 3 4" xfId="9612" xr:uid="{320263AE-8600-468D-9799-226B1BD29BE1}"/>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4095A71A-7461-4FA1-BCEE-7672E5BCAAE6}"/>
    <cellStyle name="40% - Accent2 2 2 2 4 2 3" xfId="12170" xr:uid="{69B6E993-1681-48E7-BEC8-3415F4E7804F}"/>
    <cellStyle name="40% - Accent2 2 2 2 4 3" xfId="5804" xr:uid="{00000000-0005-0000-0000-000070040000}"/>
    <cellStyle name="40% - Accent2 2 2 2 4 3 2" xfId="14243" xr:uid="{994D5E30-9A75-4EC9-B0E4-8B1FF6C83D39}"/>
    <cellStyle name="40% - Accent2 2 2 2 4 4" xfId="10025" xr:uid="{2CEBD399-A4F1-4048-A389-A180C77532B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8AAEC211-0930-49C9-B5F0-D19DAED0EE9E}"/>
    <cellStyle name="40% - Accent2 2 2 2 5 2 3" xfId="12583" xr:uid="{1FA46D6F-CFE1-48F6-B39E-4EDBA05D274B}"/>
    <cellStyle name="40% - Accent2 2 2 2 5 3" xfId="6217" xr:uid="{00000000-0005-0000-0000-000074040000}"/>
    <cellStyle name="40% - Accent2 2 2 2 5 3 2" xfId="14656" xr:uid="{BC7B5A26-B99D-4142-95BA-46A3FC57F78B}"/>
    <cellStyle name="40% - Accent2 2 2 2 5 4" xfId="10438" xr:uid="{A8C48731-1020-40ED-9367-9DEC58416779}"/>
    <cellStyle name="40% - Accent2 2 2 2 6" xfId="2323" xr:uid="{00000000-0005-0000-0000-000075040000}"/>
    <cellStyle name="40% - Accent2 2 2 2 6 2" xfId="6630" xr:uid="{00000000-0005-0000-0000-000076040000}"/>
    <cellStyle name="40% - Accent2 2 2 2 6 2 2" xfId="15069" xr:uid="{5599709B-CFD4-4EC4-9418-FE99C2789CE5}"/>
    <cellStyle name="40% - Accent2 2 2 2 6 3" xfId="10851" xr:uid="{0862236D-D92E-4DD0-BE52-1B8EB14CB379}"/>
    <cellStyle name="40% - Accent2 2 2 2 7" xfId="4564" xr:uid="{00000000-0005-0000-0000-000077040000}"/>
    <cellStyle name="40% - Accent2 2 2 2 7 2" xfId="13003" xr:uid="{CFA479D1-16E6-450A-AFBB-7DAB0BE3DE46}"/>
    <cellStyle name="40% - Accent2 2 2 2 8" xfId="8785" xr:uid="{67D6394D-0C6D-4A00-8807-5E6347AEB375}"/>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7DDA9C67-18B5-47C9-8F08-B2BD903C1606}"/>
    <cellStyle name="40% - Accent2 2 2 3 2 3" xfId="11343" xr:uid="{5372A1CE-DA84-4B25-A1FF-87F50D63A0DB}"/>
    <cellStyle name="40% - Accent2 2 2 3 3" xfId="4977" xr:uid="{00000000-0005-0000-0000-00007B040000}"/>
    <cellStyle name="40% - Accent2 2 2 3 3 2" xfId="13416" xr:uid="{BA2496DB-5EC6-4ED8-AFC6-AE8169878A5E}"/>
    <cellStyle name="40% - Accent2 2 2 3 4" xfId="9198" xr:uid="{B25D7D56-7332-483B-B455-4D1C9A7F1893}"/>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C2C5C9C1-F247-4ACD-8F4D-A17D2F5BC349}"/>
    <cellStyle name="40% - Accent2 2 2 4 2 3" xfId="11756" xr:uid="{1345D161-AD4E-4674-8652-8AE3ED0EC596}"/>
    <cellStyle name="40% - Accent2 2 2 4 3" xfId="5390" xr:uid="{00000000-0005-0000-0000-00007F040000}"/>
    <cellStyle name="40% - Accent2 2 2 4 3 2" xfId="13829" xr:uid="{C9934B88-DD83-4EFE-8DFA-9F5AFDF486A9}"/>
    <cellStyle name="40% - Accent2 2 2 4 4" xfId="9611" xr:uid="{6EE8FC88-5617-414E-8517-6219B1FD0AF0}"/>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292444F8-A7AA-4DF1-9778-08E40B905368}"/>
    <cellStyle name="40% - Accent2 2 2 5 2 3" xfId="12169" xr:uid="{989F5ECD-A47A-41F4-88BD-FC1E17057854}"/>
    <cellStyle name="40% - Accent2 2 2 5 3" xfId="5803" xr:uid="{00000000-0005-0000-0000-000083040000}"/>
    <cellStyle name="40% - Accent2 2 2 5 3 2" xfId="14242" xr:uid="{1E2C033F-3E6D-4D86-96AC-154E7CDF5FD2}"/>
    <cellStyle name="40% - Accent2 2 2 5 4" xfId="10024" xr:uid="{B54C3C81-A898-458F-AE90-CFEA3A77C118}"/>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F3DFFF56-7E21-40EC-BE63-DD5B1FE952A0}"/>
    <cellStyle name="40% - Accent2 2 2 6 2 3" xfId="12582" xr:uid="{DC7C7114-B3CF-4B8B-92F7-98C8D8D7914B}"/>
    <cellStyle name="40% - Accent2 2 2 6 3" xfId="6216" xr:uid="{00000000-0005-0000-0000-000087040000}"/>
    <cellStyle name="40% - Accent2 2 2 6 3 2" xfId="14655" xr:uid="{4D377906-5B04-43F5-852A-277CAB50983A}"/>
    <cellStyle name="40% - Accent2 2 2 6 4" xfId="10437" xr:uid="{69CA30AB-D9BB-4363-97D6-04F490B5C1CA}"/>
    <cellStyle name="40% - Accent2 2 2 7" xfId="2322" xr:uid="{00000000-0005-0000-0000-000088040000}"/>
    <cellStyle name="40% - Accent2 2 2 7 2" xfId="6629" xr:uid="{00000000-0005-0000-0000-000089040000}"/>
    <cellStyle name="40% - Accent2 2 2 7 2 2" xfId="15068" xr:uid="{F4A2E573-33F4-4B83-8168-89B021E776AE}"/>
    <cellStyle name="40% - Accent2 2 2 7 3" xfId="10850" xr:uid="{83B0382D-C5B4-48DD-AA70-6A25AA9054C2}"/>
    <cellStyle name="40% - Accent2 2 2 8" xfId="4563" xr:uid="{00000000-0005-0000-0000-00008A040000}"/>
    <cellStyle name="40% - Accent2 2 2 8 2" xfId="13002" xr:uid="{2E30E2A6-5801-46D2-A78A-7559DDEDECFA}"/>
    <cellStyle name="40% - Accent2 2 2 9" xfId="8784" xr:uid="{50160B38-AE89-4B57-BBEC-A79DF7D7ABA2}"/>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CC316D3B-86E0-489F-93B9-7428E9B10541}"/>
    <cellStyle name="40% - Accent2 2 3 2 2 3" xfId="11345" xr:uid="{ADEE2CA0-8893-4133-BD71-52748C2B2E1C}"/>
    <cellStyle name="40% - Accent2 2 3 2 3" xfId="4979" xr:uid="{00000000-0005-0000-0000-00008F040000}"/>
    <cellStyle name="40% - Accent2 2 3 2 3 2" xfId="13418" xr:uid="{45361871-3098-4528-A5C6-6F8C9ACEF079}"/>
    <cellStyle name="40% - Accent2 2 3 2 4" xfId="9200" xr:uid="{DE4C2EB8-A3F0-4BAD-8380-8B5C7EA0E32C}"/>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D3C02778-6321-46CE-BC68-B80E99E5249B}"/>
    <cellStyle name="40% - Accent2 2 3 3 2 3" xfId="11758" xr:uid="{825B2896-910E-43E1-8C7D-F8ED79646648}"/>
    <cellStyle name="40% - Accent2 2 3 3 3" xfId="5392" xr:uid="{00000000-0005-0000-0000-000093040000}"/>
    <cellStyle name="40% - Accent2 2 3 3 3 2" xfId="13831" xr:uid="{3331D26A-9C58-4868-BACD-31FEF32C5B0A}"/>
    <cellStyle name="40% - Accent2 2 3 3 4" xfId="9613" xr:uid="{14E90391-F7DD-4E5A-B845-89592B568533}"/>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0C5DD942-1D1A-4E23-AD7F-5BF15259FC23}"/>
    <cellStyle name="40% - Accent2 2 3 4 2 3" xfId="12171" xr:uid="{5888770E-7CA8-4A54-9685-8A18E05DF31D}"/>
    <cellStyle name="40% - Accent2 2 3 4 3" xfId="5805" xr:uid="{00000000-0005-0000-0000-000097040000}"/>
    <cellStyle name="40% - Accent2 2 3 4 3 2" xfId="14244" xr:uid="{203ADA4E-74A7-4508-B9ED-7DA9C6621256}"/>
    <cellStyle name="40% - Accent2 2 3 4 4" xfId="10026" xr:uid="{93114D55-665F-4E73-8EB3-E599AF4ACDBD}"/>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7198A7EA-115B-4265-862D-89FCB68F43FA}"/>
    <cellStyle name="40% - Accent2 2 3 5 2 3" xfId="12584" xr:uid="{4B22BF99-1A77-4FE4-B9A5-B7B1BD695252}"/>
    <cellStyle name="40% - Accent2 2 3 5 3" xfId="6218" xr:uid="{00000000-0005-0000-0000-00009B040000}"/>
    <cellStyle name="40% - Accent2 2 3 5 3 2" xfId="14657" xr:uid="{489C78F6-D574-48AC-B6A7-C515F9B3B179}"/>
    <cellStyle name="40% - Accent2 2 3 5 4" xfId="10439" xr:uid="{71BD0D70-33B7-4393-9A4B-6102B17623B5}"/>
    <cellStyle name="40% - Accent2 2 3 6" xfId="2324" xr:uid="{00000000-0005-0000-0000-00009C040000}"/>
    <cellStyle name="40% - Accent2 2 3 6 2" xfId="6631" xr:uid="{00000000-0005-0000-0000-00009D040000}"/>
    <cellStyle name="40% - Accent2 2 3 6 2 2" xfId="15070" xr:uid="{96811C20-18C0-44C1-8286-88D62DCB8122}"/>
    <cellStyle name="40% - Accent2 2 3 6 3" xfId="10852" xr:uid="{451D7C35-E6D4-496C-84A5-A5DEC2CEC0A8}"/>
    <cellStyle name="40% - Accent2 2 3 7" xfId="4565" xr:uid="{00000000-0005-0000-0000-00009E040000}"/>
    <cellStyle name="40% - Accent2 2 3 7 2" xfId="13004" xr:uid="{E290BCD7-D26E-4927-A7BC-FC7EF3D89BD8}"/>
    <cellStyle name="40% - Accent2 2 3 8" xfId="8786" xr:uid="{DB1A3E41-E7C1-433B-8C86-13A782F23FFC}"/>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BE870811-79AC-40FC-92BC-72DEF1AA2EAD}"/>
    <cellStyle name="40% - Accent2 2 4 2 3" xfId="11342" xr:uid="{8E659DE4-62F3-401D-A996-4ECE4C79A863}"/>
    <cellStyle name="40% - Accent2 2 4 3" xfId="4976" xr:uid="{00000000-0005-0000-0000-0000A2040000}"/>
    <cellStyle name="40% - Accent2 2 4 3 2" xfId="13415" xr:uid="{AD29B2F4-481C-47F6-8EA0-5B2F42BB455C}"/>
    <cellStyle name="40% - Accent2 2 4 4" xfId="9197" xr:uid="{74BA4B83-77A6-4E51-82D3-9C6FE8C1574C}"/>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34EADB19-7D22-49E6-A568-AB5B10B3376D}"/>
    <cellStyle name="40% - Accent2 2 5 2 3" xfId="11755" xr:uid="{FE75BDF2-E209-4A15-89C0-89EA8A1AB1EE}"/>
    <cellStyle name="40% - Accent2 2 5 3" xfId="5389" xr:uid="{00000000-0005-0000-0000-0000A6040000}"/>
    <cellStyle name="40% - Accent2 2 5 3 2" xfId="13828" xr:uid="{503D28F0-D207-49E6-A85F-C7AC9107B9F8}"/>
    <cellStyle name="40% - Accent2 2 5 4" xfId="9610" xr:uid="{336ACC7D-4F60-4F99-9770-618EDBD47B91}"/>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5D1541D6-34C7-4D52-AD1C-0C75EC8C1DBD}"/>
    <cellStyle name="40% - Accent2 2 6 2 3" xfId="12168" xr:uid="{4BC6801E-3989-49C3-A34B-E98767812426}"/>
    <cellStyle name="40% - Accent2 2 6 3" xfId="5802" xr:uid="{00000000-0005-0000-0000-0000AA040000}"/>
    <cellStyle name="40% - Accent2 2 6 3 2" xfId="14241" xr:uid="{65B3302F-6854-4E5E-AD8B-FAA44281D373}"/>
    <cellStyle name="40% - Accent2 2 6 4" xfId="10023" xr:uid="{F028898F-F251-4915-8F7F-389C2BD77C99}"/>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A5AD9607-BDF6-4304-BFF4-CB93B73DD125}"/>
    <cellStyle name="40% - Accent2 2 7 2 3" xfId="12581" xr:uid="{72BAF631-C36E-4944-9C3D-F6FDF5BA275B}"/>
    <cellStyle name="40% - Accent2 2 7 3" xfId="6215" xr:uid="{00000000-0005-0000-0000-0000AE040000}"/>
    <cellStyle name="40% - Accent2 2 7 3 2" xfId="14654" xr:uid="{C73937A6-4A30-4CAB-9905-9CE9BDE804D3}"/>
    <cellStyle name="40% - Accent2 2 7 4" xfId="10436" xr:uid="{9ABE80E0-63D4-4184-BAEA-8861DA0F38EC}"/>
    <cellStyle name="40% - Accent2 2 8" xfId="2321" xr:uid="{00000000-0005-0000-0000-0000AF040000}"/>
    <cellStyle name="40% - Accent2 2 8 2" xfId="6628" xr:uid="{00000000-0005-0000-0000-0000B0040000}"/>
    <cellStyle name="40% - Accent2 2 8 2 2" xfId="15067" xr:uid="{C254D9AD-2481-447F-B9E1-AF6CDE2009C7}"/>
    <cellStyle name="40% - Accent2 2 8 3" xfId="10849" xr:uid="{C2D982DC-948F-46D4-9CFF-99D94F5BA1D0}"/>
    <cellStyle name="40% - Accent2 2 9" xfId="4562" xr:uid="{00000000-0005-0000-0000-0000B1040000}"/>
    <cellStyle name="40% - Accent2 2 9 2" xfId="13001" xr:uid="{FFA8177B-677D-4685-BF25-5161C7829629}"/>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603E471C-11E4-4EC3-B87E-22285EB44027}"/>
    <cellStyle name="40% - Accent2 3 2 2 2 3" xfId="11347" xr:uid="{C6E5F0FE-F5B9-4A38-B76E-36E938030D46}"/>
    <cellStyle name="40% - Accent2 3 2 2 3" xfId="4981" xr:uid="{00000000-0005-0000-0000-0000B7040000}"/>
    <cellStyle name="40% - Accent2 3 2 2 3 2" xfId="13420" xr:uid="{F7C2A751-3307-469B-8182-527E040653C9}"/>
    <cellStyle name="40% - Accent2 3 2 2 4" xfId="9202" xr:uid="{80AEC7E6-3A12-42E8-9D88-93DD4C16CA45}"/>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775FE3AD-FB5D-4C03-9CEE-3D1BFC41A532}"/>
    <cellStyle name="40% - Accent2 3 2 3 2 3" xfId="11760" xr:uid="{59B2BB3F-56F2-4D26-B9E1-9F43E119566D}"/>
    <cellStyle name="40% - Accent2 3 2 3 3" xfId="5394" xr:uid="{00000000-0005-0000-0000-0000BB040000}"/>
    <cellStyle name="40% - Accent2 3 2 3 3 2" xfId="13833" xr:uid="{7C92C5BE-D29C-41DE-978C-FD936CBD1BF8}"/>
    <cellStyle name="40% - Accent2 3 2 3 4" xfId="9615" xr:uid="{8BDB0CE8-DBB1-4EE0-B909-C5E7EB516EE6}"/>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5D615DDF-CDC6-49A0-8B3C-F32DFFE30952}"/>
    <cellStyle name="40% - Accent2 3 2 4 2 3" xfId="12173" xr:uid="{1DD6577E-2625-4B3E-BE5E-59FBB63435C9}"/>
    <cellStyle name="40% - Accent2 3 2 4 3" xfId="5807" xr:uid="{00000000-0005-0000-0000-0000BF040000}"/>
    <cellStyle name="40% - Accent2 3 2 4 3 2" xfId="14246" xr:uid="{4854635C-ED0B-4F42-810C-A50DFDE49313}"/>
    <cellStyle name="40% - Accent2 3 2 4 4" xfId="10028" xr:uid="{11A105F8-591E-437A-8702-EB18DB0E8F79}"/>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849E12A0-FBAB-4036-ADFC-3B650EA93C4D}"/>
    <cellStyle name="40% - Accent2 3 2 5 2 3" xfId="12586" xr:uid="{1F60F2AD-7B76-4CE1-B0F7-7264CE2448A1}"/>
    <cellStyle name="40% - Accent2 3 2 5 3" xfId="6220" xr:uid="{00000000-0005-0000-0000-0000C3040000}"/>
    <cellStyle name="40% - Accent2 3 2 5 3 2" xfId="14659" xr:uid="{B3150BD6-5DE5-4A33-A249-7B605BFA58D9}"/>
    <cellStyle name="40% - Accent2 3 2 5 4" xfId="10441" xr:uid="{3D3D1A10-A9B4-46D3-A428-940D5E2F0F09}"/>
    <cellStyle name="40% - Accent2 3 2 6" xfId="2326" xr:uid="{00000000-0005-0000-0000-0000C4040000}"/>
    <cellStyle name="40% - Accent2 3 2 6 2" xfId="6633" xr:uid="{00000000-0005-0000-0000-0000C5040000}"/>
    <cellStyle name="40% - Accent2 3 2 6 2 2" xfId="15072" xr:uid="{B653EAB8-FB31-443C-9F3F-9F11D4868444}"/>
    <cellStyle name="40% - Accent2 3 2 6 3" xfId="10854" xr:uid="{6F83F04A-1E34-4AD5-A441-F681320976C0}"/>
    <cellStyle name="40% - Accent2 3 2 7" xfId="4567" xr:uid="{00000000-0005-0000-0000-0000C6040000}"/>
    <cellStyle name="40% - Accent2 3 2 7 2" xfId="13006" xr:uid="{5A601253-3742-4C4B-A45B-C624F147E1B4}"/>
    <cellStyle name="40% - Accent2 3 2 8" xfId="8788" xr:uid="{A3DE3853-4165-495A-A15E-26B2171CC197}"/>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27B1FE02-528A-41C4-AB72-3F99F57B5EB1}"/>
    <cellStyle name="40% - Accent2 3 3 2 3" xfId="11346" xr:uid="{19818901-96EA-4F40-BCC7-23717ECAC953}"/>
    <cellStyle name="40% - Accent2 3 3 3" xfId="4980" xr:uid="{00000000-0005-0000-0000-0000CA040000}"/>
    <cellStyle name="40% - Accent2 3 3 3 2" xfId="13419" xr:uid="{0122E629-BEA7-4816-9DCB-1DF4AC6498E5}"/>
    <cellStyle name="40% - Accent2 3 3 4" xfId="9201" xr:uid="{533488A3-E22D-432C-A74A-1960F6EA9B54}"/>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71474BC9-9145-4A0D-B8E1-AAFD173C032F}"/>
    <cellStyle name="40% - Accent2 3 4 2 3" xfId="11759" xr:uid="{89C55C61-7D50-4345-8F32-C62439FCB52E}"/>
    <cellStyle name="40% - Accent2 3 4 3" xfId="5393" xr:uid="{00000000-0005-0000-0000-0000CE040000}"/>
    <cellStyle name="40% - Accent2 3 4 3 2" xfId="13832" xr:uid="{AB1E3C25-3898-4C91-BC96-09B8F573439B}"/>
    <cellStyle name="40% - Accent2 3 4 4" xfId="9614" xr:uid="{D5B27B3C-682B-43B0-995D-BC77A7D4A48F}"/>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2B9058AE-BABB-488B-88AC-A5217A288B15}"/>
    <cellStyle name="40% - Accent2 3 5 2 3" xfId="12172" xr:uid="{05A9833A-7641-4320-B56D-406EB77E2549}"/>
    <cellStyle name="40% - Accent2 3 5 3" xfId="5806" xr:uid="{00000000-0005-0000-0000-0000D2040000}"/>
    <cellStyle name="40% - Accent2 3 5 3 2" xfId="14245" xr:uid="{636BD9F2-15F3-4E6A-B573-185B963D81B0}"/>
    <cellStyle name="40% - Accent2 3 5 4" xfId="10027" xr:uid="{602E3FFF-F94B-45F1-A462-5D4DB72D55AB}"/>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6D95B8E8-78A7-45C3-AA45-F75A9CB99987}"/>
    <cellStyle name="40% - Accent2 3 6 2 3" xfId="12585" xr:uid="{C266B71D-B2E7-4435-A9BD-CE9B8DF3535A}"/>
    <cellStyle name="40% - Accent2 3 6 3" xfId="6219" xr:uid="{00000000-0005-0000-0000-0000D6040000}"/>
    <cellStyle name="40% - Accent2 3 6 3 2" xfId="14658" xr:uid="{D8B91E12-7E6A-4AE6-8043-25648A8D2A8B}"/>
    <cellStyle name="40% - Accent2 3 6 4" xfId="10440" xr:uid="{5332966E-FC1D-4569-B012-0DAA2E507562}"/>
    <cellStyle name="40% - Accent2 3 7" xfId="2325" xr:uid="{00000000-0005-0000-0000-0000D7040000}"/>
    <cellStyle name="40% - Accent2 3 7 2" xfId="6632" xr:uid="{00000000-0005-0000-0000-0000D8040000}"/>
    <cellStyle name="40% - Accent2 3 7 2 2" xfId="15071" xr:uid="{A732511C-A839-4812-9E8A-7FCC256B0D14}"/>
    <cellStyle name="40% - Accent2 3 7 3" xfId="10853" xr:uid="{2C686BB3-F43A-45F0-85FC-29AE58B87A12}"/>
    <cellStyle name="40% - Accent2 3 8" xfId="4566" xr:uid="{00000000-0005-0000-0000-0000D9040000}"/>
    <cellStyle name="40% - Accent2 3 8 2" xfId="13005" xr:uid="{BD025799-8FD0-4D61-B2E8-65F6D0BFD3E0}"/>
    <cellStyle name="40% - Accent2 3 9" xfId="8787" xr:uid="{7B9F0D22-01AA-4000-9539-822FA376377D}"/>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4C37E2FE-7059-4D1C-AB58-A310491D0431}"/>
    <cellStyle name="40% - Accent2 4 2 2 3" xfId="11348" xr:uid="{A00CF301-8115-41AF-9A63-0EFAD8F4FF1C}"/>
    <cellStyle name="40% - Accent2 4 2 3" xfId="4982" xr:uid="{00000000-0005-0000-0000-0000DE040000}"/>
    <cellStyle name="40% - Accent2 4 2 3 2" xfId="13421" xr:uid="{60085DC8-AD04-4C44-9844-AA60AFFBA2B1}"/>
    <cellStyle name="40% - Accent2 4 2 4" xfId="9203" xr:uid="{D8EC8117-75BF-4AD6-AC25-647E9B747291}"/>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42ABC646-7343-40C3-A936-3E816726185D}"/>
    <cellStyle name="40% - Accent2 4 3 2 3" xfId="11761" xr:uid="{7E7BA1FC-A006-4CBC-B563-BA8BDBA4D4FA}"/>
    <cellStyle name="40% - Accent2 4 3 3" xfId="5395" xr:uid="{00000000-0005-0000-0000-0000E2040000}"/>
    <cellStyle name="40% - Accent2 4 3 3 2" xfId="13834" xr:uid="{70F2AA3D-2106-4D9A-84B9-2E541389318A}"/>
    <cellStyle name="40% - Accent2 4 3 4" xfId="9616" xr:uid="{94BF3B0F-9C9F-4B92-BAED-21DE2BBD8688}"/>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A506AB55-52E3-40C9-B3E9-95E9C8E4F361}"/>
    <cellStyle name="40% - Accent2 4 4 2 3" xfId="12174" xr:uid="{988D29F7-E386-4398-8D6C-A445FA08A53C}"/>
    <cellStyle name="40% - Accent2 4 4 3" xfId="5808" xr:uid="{00000000-0005-0000-0000-0000E6040000}"/>
    <cellStyle name="40% - Accent2 4 4 3 2" xfId="14247" xr:uid="{D853AE18-D547-4A90-B2C6-AF27CCDEAD24}"/>
    <cellStyle name="40% - Accent2 4 4 4" xfId="10029" xr:uid="{AA1F5C33-7F68-4862-A7D9-631E90BF4730}"/>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99CD41A6-628B-4CDE-A0E5-4F1F0EAE3B9E}"/>
    <cellStyle name="40% - Accent2 4 5 2 3" xfId="12587" xr:uid="{8CE60A64-3EAB-4E9E-94E0-6882F566C692}"/>
    <cellStyle name="40% - Accent2 4 5 3" xfId="6221" xr:uid="{00000000-0005-0000-0000-0000EA040000}"/>
    <cellStyle name="40% - Accent2 4 5 3 2" xfId="14660" xr:uid="{AFCDF53E-D708-482C-9A2A-662F36C3F6E8}"/>
    <cellStyle name="40% - Accent2 4 5 4" xfId="10442" xr:uid="{43CDBB54-7762-44ED-B1B5-610639F4CE48}"/>
    <cellStyle name="40% - Accent2 4 6" xfId="2327" xr:uid="{00000000-0005-0000-0000-0000EB040000}"/>
    <cellStyle name="40% - Accent2 4 6 2" xfId="6634" xr:uid="{00000000-0005-0000-0000-0000EC040000}"/>
    <cellStyle name="40% - Accent2 4 6 2 2" xfId="15073" xr:uid="{5C612D20-E419-4E13-B841-E5BFAAD248B1}"/>
    <cellStyle name="40% - Accent2 4 6 3" xfId="10855" xr:uid="{E49127C7-A4EC-4959-8E5C-9B03D3564A1C}"/>
    <cellStyle name="40% - Accent2 4 7" xfId="4568" xr:uid="{00000000-0005-0000-0000-0000ED040000}"/>
    <cellStyle name="40% - Accent2 4 7 2" xfId="13007" xr:uid="{A563799E-D890-4B66-A43F-678A6FA4D824}"/>
    <cellStyle name="40% - Accent2 4 8" xfId="8789" xr:uid="{C44500A1-5A68-4DA6-AD81-68A7D6559B49}"/>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50AEA3AF-CD4C-45A6-90C8-044C7BB3D868}"/>
    <cellStyle name="40% - Accent2 5 2 3" xfId="11341" xr:uid="{3ED9D1EC-67AA-4522-998B-21262405E1CA}"/>
    <cellStyle name="40% - Accent2 5 3" xfId="4975" xr:uid="{00000000-0005-0000-0000-0000F1040000}"/>
    <cellStyle name="40% - Accent2 5 3 2" xfId="13414" xr:uid="{989AB348-993A-4414-8D61-80D4F15F9934}"/>
    <cellStyle name="40% - Accent2 5 4" xfId="9196" xr:uid="{BA1CE8BF-DEC2-4235-A461-A33B64F60FE0}"/>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4A3E36DE-9F0F-46A3-8B46-E372E72EBE9D}"/>
    <cellStyle name="40% - Accent2 6 2 3" xfId="11754" xr:uid="{F9EB4127-C3F1-4A68-BED5-D9921994BFB5}"/>
    <cellStyle name="40% - Accent2 6 3" xfId="5388" xr:uid="{00000000-0005-0000-0000-0000F5040000}"/>
    <cellStyle name="40% - Accent2 6 3 2" xfId="13827" xr:uid="{370AB955-0214-42F4-BDA5-F9AB73E47029}"/>
    <cellStyle name="40% - Accent2 6 4" xfId="9609" xr:uid="{E167549C-BF01-4A40-A78E-382A8B192BC2}"/>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07668F9E-F843-453F-9EB7-2D0BC62D9837}"/>
    <cellStyle name="40% - Accent2 7 2 3" xfId="12167" xr:uid="{4CDC231A-9EBC-49B8-A958-F64DAB0A0F5C}"/>
    <cellStyle name="40% - Accent2 7 3" xfId="5801" xr:uid="{00000000-0005-0000-0000-0000F9040000}"/>
    <cellStyle name="40% - Accent2 7 3 2" xfId="14240" xr:uid="{A51C1256-2B3D-4F81-9385-47E8EBC8033D}"/>
    <cellStyle name="40% - Accent2 7 4" xfId="10022" xr:uid="{6F6D8FB5-D633-4C19-9314-DCDA403D8F2F}"/>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F226B6A3-45BB-4D8C-B790-E49894FABF4A}"/>
    <cellStyle name="40% - Accent2 8 2 3" xfId="12580" xr:uid="{5A4D84BC-8444-4A64-A865-A42970361B77}"/>
    <cellStyle name="40% - Accent2 8 3" xfId="6214" xr:uid="{00000000-0005-0000-0000-0000FD040000}"/>
    <cellStyle name="40% - Accent2 8 3 2" xfId="14653" xr:uid="{A7F294E1-DB4C-4AA0-8247-F0BB0B965345}"/>
    <cellStyle name="40% - Accent2 8 4" xfId="10435" xr:uid="{E398860B-83DA-4C96-9D33-916DA4D103B6}"/>
    <cellStyle name="40% - Accent2 9" xfId="2320" xr:uid="{00000000-0005-0000-0000-0000FE040000}"/>
    <cellStyle name="40% - Accent2 9 2" xfId="6627" xr:uid="{00000000-0005-0000-0000-0000FF040000}"/>
    <cellStyle name="40% - Accent2 9 2 2" xfId="15066" xr:uid="{B02A86C3-279E-40CB-90D3-DDD1E96BC9CD}"/>
    <cellStyle name="40% - Accent2 9 3" xfId="10848" xr:uid="{7988DB9E-04C9-4EB4-B847-57CD4E5C4828}"/>
    <cellStyle name="40% - Accent3" xfId="65" builtinId="39" customBuiltin="1"/>
    <cellStyle name="40% - Accent3 10" xfId="4569" xr:uid="{00000000-0005-0000-0000-000001050000}"/>
    <cellStyle name="40% - Accent3 10 2" xfId="13008" xr:uid="{0941ABC3-E1AC-4489-B3D0-D2766FCEEACF}"/>
    <cellStyle name="40% - Accent3 11" xfId="8790" xr:uid="{30688276-E4DD-400D-945B-F2D2BD5150E9}"/>
    <cellStyle name="40% - Accent3 2" xfId="66" xr:uid="{00000000-0005-0000-0000-000002050000}"/>
    <cellStyle name="40% - Accent3 2 10" xfId="8791" xr:uid="{27607CFF-404A-4CD1-BDB2-2306FF1142F8}"/>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A7BA1A04-0A72-435D-90F4-A612080BE4D5}"/>
    <cellStyle name="40% - Accent3 2 2 2 2 2 3" xfId="11352" xr:uid="{F5120392-E452-4B4C-A2C9-78A78C28D454}"/>
    <cellStyle name="40% - Accent3 2 2 2 2 3" xfId="4986" xr:uid="{00000000-0005-0000-0000-000008050000}"/>
    <cellStyle name="40% - Accent3 2 2 2 2 3 2" xfId="13425" xr:uid="{CF58D882-6435-4076-BFBF-B9FC9F9434E7}"/>
    <cellStyle name="40% - Accent3 2 2 2 2 4" xfId="9207" xr:uid="{7CAB06AC-F4EF-429A-AB91-210A89D061E5}"/>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B6B339E9-404F-4CC6-A029-CCBCB9E6A0C3}"/>
    <cellStyle name="40% - Accent3 2 2 2 3 2 3" xfId="11765" xr:uid="{CD6ADD44-9EC5-4781-932D-3DC9A9E306B9}"/>
    <cellStyle name="40% - Accent3 2 2 2 3 3" xfId="5399" xr:uid="{00000000-0005-0000-0000-00000C050000}"/>
    <cellStyle name="40% - Accent3 2 2 2 3 3 2" xfId="13838" xr:uid="{7C65D414-F307-46E7-BF00-93F3ED5413F3}"/>
    <cellStyle name="40% - Accent3 2 2 2 3 4" xfId="9620" xr:uid="{E4FC4F2B-FF2D-48AF-A2BB-5BAAAA3C8274}"/>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1FCE9A01-A9A7-45B4-BC3F-4C20921AC116}"/>
    <cellStyle name="40% - Accent3 2 2 2 4 2 3" xfId="12178" xr:uid="{E6E5EDC9-811A-4FCE-83B9-E895ECC9218A}"/>
    <cellStyle name="40% - Accent3 2 2 2 4 3" xfId="5812" xr:uid="{00000000-0005-0000-0000-000010050000}"/>
    <cellStyle name="40% - Accent3 2 2 2 4 3 2" xfId="14251" xr:uid="{0EB4BB58-2E1B-4FD7-9884-649270DD186E}"/>
    <cellStyle name="40% - Accent3 2 2 2 4 4" xfId="10033" xr:uid="{C0AF3DF6-8082-4DB5-BC06-A23DFDFE83C6}"/>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F83B62E7-B5EB-4621-9CBE-586C6B7A4A6F}"/>
    <cellStyle name="40% - Accent3 2 2 2 5 2 3" xfId="12591" xr:uid="{FA39A003-D1DD-4D2C-9AA3-C0BDD405B1B8}"/>
    <cellStyle name="40% - Accent3 2 2 2 5 3" xfId="6225" xr:uid="{00000000-0005-0000-0000-000014050000}"/>
    <cellStyle name="40% - Accent3 2 2 2 5 3 2" xfId="14664" xr:uid="{3677797B-1E17-4174-BDA3-A884E527A93A}"/>
    <cellStyle name="40% - Accent3 2 2 2 5 4" xfId="10446" xr:uid="{4AF95A93-698F-4882-A2D6-9FE774224F3A}"/>
    <cellStyle name="40% - Accent3 2 2 2 6" xfId="2331" xr:uid="{00000000-0005-0000-0000-000015050000}"/>
    <cellStyle name="40% - Accent3 2 2 2 6 2" xfId="6638" xr:uid="{00000000-0005-0000-0000-000016050000}"/>
    <cellStyle name="40% - Accent3 2 2 2 6 2 2" xfId="15077" xr:uid="{4943FAD8-794D-453F-B486-D5FE40C5F8D3}"/>
    <cellStyle name="40% - Accent3 2 2 2 6 3" xfId="10859" xr:uid="{5A09DB63-F304-488C-86E6-88CE05B0CB91}"/>
    <cellStyle name="40% - Accent3 2 2 2 7" xfId="4572" xr:uid="{00000000-0005-0000-0000-000017050000}"/>
    <cellStyle name="40% - Accent3 2 2 2 7 2" xfId="13011" xr:uid="{B9920B62-1B1E-450C-BC2E-18C411AED782}"/>
    <cellStyle name="40% - Accent3 2 2 2 8" xfId="8793" xr:uid="{FD28DFD0-9213-408C-BF05-7C0CB7DDC1F3}"/>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431C4B72-9D8F-4556-8611-DE84A7E69F50}"/>
    <cellStyle name="40% - Accent3 2 2 3 2 3" xfId="11351" xr:uid="{09E6D88C-7A94-4034-AF96-4808965C990F}"/>
    <cellStyle name="40% - Accent3 2 2 3 3" xfId="4985" xr:uid="{00000000-0005-0000-0000-00001B050000}"/>
    <cellStyle name="40% - Accent3 2 2 3 3 2" xfId="13424" xr:uid="{920B9A83-56A4-4C00-9731-679DA1063C2B}"/>
    <cellStyle name="40% - Accent3 2 2 3 4" xfId="9206" xr:uid="{85FF16A3-E5CD-469F-BF34-9CC52A1AB29A}"/>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1EC0EB82-7325-48BC-B0AC-23A1749A49C4}"/>
    <cellStyle name="40% - Accent3 2 2 4 2 3" xfId="11764" xr:uid="{DA84E8FE-0A67-4E9A-89E9-126BC6FF82C4}"/>
    <cellStyle name="40% - Accent3 2 2 4 3" xfId="5398" xr:uid="{00000000-0005-0000-0000-00001F050000}"/>
    <cellStyle name="40% - Accent3 2 2 4 3 2" xfId="13837" xr:uid="{A72A0642-0EF7-4922-8C06-E35BE6CD1138}"/>
    <cellStyle name="40% - Accent3 2 2 4 4" xfId="9619" xr:uid="{7B9395C4-F693-4102-940B-2B617ADC7393}"/>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8CE53FED-3212-4A08-A3FD-BB19A24E3584}"/>
    <cellStyle name="40% - Accent3 2 2 5 2 3" xfId="12177" xr:uid="{1CD87158-53DC-43F7-BDA6-1B9B4BEFB174}"/>
    <cellStyle name="40% - Accent3 2 2 5 3" xfId="5811" xr:uid="{00000000-0005-0000-0000-000023050000}"/>
    <cellStyle name="40% - Accent3 2 2 5 3 2" xfId="14250" xr:uid="{9CA92882-1AA4-4BDA-829A-111892A7327D}"/>
    <cellStyle name="40% - Accent3 2 2 5 4" xfId="10032" xr:uid="{2C072578-DD62-4FC7-BA9A-558A9013491B}"/>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A48843EA-45A6-41B5-9332-60222D113AB4}"/>
    <cellStyle name="40% - Accent3 2 2 6 2 3" xfId="12590" xr:uid="{D5FA102D-52E7-4B4C-BDCA-BE8B1EAC47BD}"/>
    <cellStyle name="40% - Accent3 2 2 6 3" xfId="6224" xr:uid="{00000000-0005-0000-0000-000027050000}"/>
    <cellStyle name="40% - Accent3 2 2 6 3 2" xfId="14663" xr:uid="{76C2F2B4-545E-45CB-9EC5-027C02D95506}"/>
    <cellStyle name="40% - Accent3 2 2 6 4" xfId="10445" xr:uid="{C66E3F02-D94A-4D82-9C96-1FC386D7F84A}"/>
    <cellStyle name="40% - Accent3 2 2 7" xfId="2330" xr:uid="{00000000-0005-0000-0000-000028050000}"/>
    <cellStyle name="40% - Accent3 2 2 7 2" xfId="6637" xr:uid="{00000000-0005-0000-0000-000029050000}"/>
    <cellStyle name="40% - Accent3 2 2 7 2 2" xfId="15076" xr:uid="{F6FBCD29-21DC-4473-95B4-2E61E6F6B761}"/>
    <cellStyle name="40% - Accent3 2 2 7 3" xfId="10858" xr:uid="{167B1F4E-AD73-4369-9777-7AD2940F187C}"/>
    <cellStyle name="40% - Accent3 2 2 8" xfId="4571" xr:uid="{00000000-0005-0000-0000-00002A050000}"/>
    <cellStyle name="40% - Accent3 2 2 8 2" xfId="13010" xr:uid="{E5272A5B-9F03-421B-B555-0AD8D9D1ABF8}"/>
    <cellStyle name="40% - Accent3 2 2 9" xfId="8792" xr:uid="{0634D5B0-2884-4B62-9306-AF4D05CAA0D8}"/>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18788384-F017-40B3-8B52-7D320A5842A8}"/>
    <cellStyle name="40% - Accent3 2 3 2 2 3" xfId="11353" xr:uid="{54785086-75BF-4788-83BD-6C02E9781B0D}"/>
    <cellStyle name="40% - Accent3 2 3 2 3" xfId="4987" xr:uid="{00000000-0005-0000-0000-00002F050000}"/>
    <cellStyle name="40% - Accent3 2 3 2 3 2" xfId="13426" xr:uid="{6CFA930E-7626-4FAF-8D47-73945FCB39CD}"/>
    <cellStyle name="40% - Accent3 2 3 2 4" xfId="9208" xr:uid="{A054D1C0-ADA1-4D7D-949B-6282512D9DD4}"/>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2E962927-732D-418A-9AD6-D1028A268442}"/>
    <cellStyle name="40% - Accent3 2 3 3 2 3" xfId="11766" xr:uid="{EFED0AAC-B6C7-4A37-83CA-C5EABD9518A8}"/>
    <cellStyle name="40% - Accent3 2 3 3 3" xfId="5400" xr:uid="{00000000-0005-0000-0000-000033050000}"/>
    <cellStyle name="40% - Accent3 2 3 3 3 2" xfId="13839" xr:uid="{1EF2EF19-C070-4CF4-A7B3-7926A94FE2DD}"/>
    <cellStyle name="40% - Accent3 2 3 3 4" xfId="9621" xr:uid="{EBE5D808-EF7A-4434-ACC6-649FFE5CA2ED}"/>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0CD69DED-1107-4F7B-A68A-92188BD83412}"/>
    <cellStyle name="40% - Accent3 2 3 4 2 3" xfId="12179" xr:uid="{961443EA-7887-458D-9201-FF750A293640}"/>
    <cellStyle name="40% - Accent3 2 3 4 3" xfId="5813" xr:uid="{00000000-0005-0000-0000-000037050000}"/>
    <cellStyle name="40% - Accent3 2 3 4 3 2" xfId="14252" xr:uid="{2BC45BB2-3A62-41D6-B249-4B73AF9535F6}"/>
    <cellStyle name="40% - Accent3 2 3 4 4" xfId="10034" xr:uid="{A7D34D68-C065-44F8-9286-227AE467072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6CCC649F-3517-4341-863C-90CDC41164BB}"/>
    <cellStyle name="40% - Accent3 2 3 5 2 3" xfId="12592" xr:uid="{6C00AECA-3E44-4B37-A5F0-28C1B8D29BD8}"/>
    <cellStyle name="40% - Accent3 2 3 5 3" xfId="6226" xr:uid="{00000000-0005-0000-0000-00003B050000}"/>
    <cellStyle name="40% - Accent3 2 3 5 3 2" xfId="14665" xr:uid="{6BA730ED-4FB2-441E-99F2-020F55733452}"/>
    <cellStyle name="40% - Accent3 2 3 5 4" xfId="10447" xr:uid="{9135A7C6-3C6C-4D26-A541-072FBA7EA407}"/>
    <cellStyle name="40% - Accent3 2 3 6" xfId="2332" xr:uid="{00000000-0005-0000-0000-00003C050000}"/>
    <cellStyle name="40% - Accent3 2 3 6 2" xfId="6639" xr:uid="{00000000-0005-0000-0000-00003D050000}"/>
    <cellStyle name="40% - Accent3 2 3 6 2 2" xfId="15078" xr:uid="{B448DCA3-2AB6-4679-886C-63E732E5BFBC}"/>
    <cellStyle name="40% - Accent3 2 3 6 3" xfId="10860" xr:uid="{3FA64E92-0677-4D02-8A96-69928BBB4985}"/>
    <cellStyle name="40% - Accent3 2 3 7" xfId="4573" xr:uid="{00000000-0005-0000-0000-00003E050000}"/>
    <cellStyle name="40% - Accent3 2 3 7 2" xfId="13012" xr:uid="{F6452003-3582-439F-BBB6-448579F44A14}"/>
    <cellStyle name="40% - Accent3 2 3 8" xfId="8794" xr:uid="{CDAB8200-AF97-47AF-9BD1-15BDB2AA4299}"/>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FF23027E-9F42-4592-A704-D3CC4EEDC953}"/>
    <cellStyle name="40% - Accent3 2 4 2 3" xfId="11350" xr:uid="{D93AC7FA-F9CB-45DB-8D49-4B00FEF9657F}"/>
    <cellStyle name="40% - Accent3 2 4 3" xfId="4984" xr:uid="{00000000-0005-0000-0000-000042050000}"/>
    <cellStyle name="40% - Accent3 2 4 3 2" xfId="13423" xr:uid="{23492F3C-8382-4A15-8718-6CE05EFDFA66}"/>
    <cellStyle name="40% - Accent3 2 4 4" xfId="9205" xr:uid="{59914BF2-4EEF-41EF-9822-60D5C358C7AB}"/>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3156F792-045F-40BD-8025-D2C0922B0625}"/>
    <cellStyle name="40% - Accent3 2 5 2 3" xfId="11763" xr:uid="{BCB2A29A-56FF-43DD-B797-0B1FF7C8492B}"/>
    <cellStyle name="40% - Accent3 2 5 3" xfId="5397" xr:uid="{00000000-0005-0000-0000-000046050000}"/>
    <cellStyle name="40% - Accent3 2 5 3 2" xfId="13836" xr:uid="{07994A1D-E104-4F3D-B5A6-9277329F5E57}"/>
    <cellStyle name="40% - Accent3 2 5 4" xfId="9618" xr:uid="{3E8A4CF0-7177-43EE-A31A-15C97290A2DD}"/>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76649CBC-A7BB-4758-91C7-2E6D06E13306}"/>
    <cellStyle name="40% - Accent3 2 6 2 3" xfId="12176" xr:uid="{27B309E4-87DB-4489-B10B-99EEE8EE535D}"/>
    <cellStyle name="40% - Accent3 2 6 3" xfId="5810" xr:uid="{00000000-0005-0000-0000-00004A050000}"/>
    <cellStyle name="40% - Accent3 2 6 3 2" xfId="14249" xr:uid="{0C70ED92-B147-4A70-8E52-713B9B1FD14E}"/>
    <cellStyle name="40% - Accent3 2 6 4" xfId="10031" xr:uid="{9B846920-0882-43DA-AB61-A3A488250D92}"/>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1FF659F7-72FB-4E8B-86BC-2590D7750621}"/>
    <cellStyle name="40% - Accent3 2 7 2 3" xfId="12589" xr:uid="{DBC284E0-9231-435F-91EA-9381E7375EDE}"/>
    <cellStyle name="40% - Accent3 2 7 3" xfId="6223" xr:uid="{00000000-0005-0000-0000-00004E050000}"/>
    <cellStyle name="40% - Accent3 2 7 3 2" xfId="14662" xr:uid="{82E70A46-6A6A-49DE-BBB8-9F706496BE8B}"/>
    <cellStyle name="40% - Accent3 2 7 4" xfId="10444" xr:uid="{D7FFA4B7-D83A-4213-93AC-1A366272DBF5}"/>
    <cellStyle name="40% - Accent3 2 8" xfId="2329" xr:uid="{00000000-0005-0000-0000-00004F050000}"/>
    <cellStyle name="40% - Accent3 2 8 2" xfId="6636" xr:uid="{00000000-0005-0000-0000-000050050000}"/>
    <cellStyle name="40% - Accent3 2 8 2 2" xfId="15075" xr:uid="{B1EC995E-4230-4339-9357-22874647200D}"/>
    <cellStyle name="40% - Accent3 2 8 3" xfId="10857" xr:uid="{885EBFC6-600E-458C-A4C0-0FA02C0B41D8}"/>
    <cellStyle name="40% - Accent3 2 9" xfId="4570" xr:uid="{00000000-0005-0000-0000-000051050000}"/>
    <cellStyle name="40% - Accent3 2 9 2" xfId="13009" xr:uid="{355F08BF-1720-4421-9CD2-8F750A92C1B8}"/>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81856DE8-F2C4-4A78-8037-3E7E6D88E9DA}"/>
    <cellStyle name="40% - Accent3 3 2 2 2 3" xfId="11355" xr:uid="{4C7B3F39-B775-4F72-9C4C-7B13E7DDB99E}"/>
    <cellStyle name="40% - Accent3 3 2 2 3" xfId="4989" xr:uid="{00000000-0005-0000-0000-000057050000}"/>
    <cellStyle name="40% - Accent3 3 2 2 3 2" xfId="13428" xr:uid="{F6F5B588-AAE3-4FF7-85AF-3C410D7AB35A}"/>
    <cellStyle name="40% - Accent3 3 2 2 4" xfId="9210" xr:uid="{87FE54EC-0364-492F-9D24-4917AD64C421}"/>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FC51E952-3D95-4596-86AF-AF85B5FFC1BD}"/>
    <cellStyle name="40% - Accent3 3 2 3 2 3" xfId="11768" xr:uid="{012EA45B-A987-468C-9B2A-EC43F45E5288}"/>
    <cellStyle name="40% - Accent3 3 2 3 3" xfId="5402" xr:uid="{00000000-0005-0000-0000-00005B050000}"/>
    <cellStyle name="40% - Accent3 3 2 3 3 2" xfId="13841" xr:uid="{BE7D76E7-8C23-4DC5-93E4-6A74E1207958}"/>
    <cellStyle name="40% - Accent3 3 2 3 4" xfId="9623" xr:uid="{6A7935F6-EF2F-4581-B462-D0C939F089EB}"/>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963F4FA5-2A27-44AD-A387-DB8B1ADF7BEB}"/>
    <cellStyle name="40% - Accent3 3 2 4 2 3" xfId="12181" xr:uid="{7B9B1C71-E49D-4E5F-9A07-62AF791161F4}"/>
    <cellStyle name="40% - Accent3 3 2 4 3" xfId="5815" xr:uid="{00000000-0005-0000-0000-00005F050000}"/>
    <cellStyle name="40% - Accent3 3 2 4 3 2" xfId="14254" xr:uid="{189F4741-FAD6-4DC6-BF41-B14CC50788A8}"/>
    <cellStyle name="40% - Accent3 3 2 4 4" xfId="10036" xr:uid="{AF87A9E9-6318-425B-B3FE-9F08F3EC53C4}"/>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87DB87D8-918A-4400-BFBF-DA723F83C76B}"/>
    <cellStyle name="40% - Accent3 3 2 5 2 3" xfId="12594" xr:uid="{BE2318A7-4749-4367-8A23-F4295A35B60E}"/>
    <cellStyle name="40% - Accent3 3 2 5 3" xfId="6228" xr:uid="{00000000-0005-0000-0000-000063050000}"/>
    <cellStyle name="40% - Accent3 3 2 5 3 2" xfId="14667" xr:uid="{1134D302-2051-4531-AC08-3BFB7A8E0B53}"/>
    <cellStyle name="40% - Accent3 3 2 5 4" xfId="10449" xr:uid="{CF1EDBD3-63EA-4CB4-BE07-9C01047AF669}"/>
    <cellStyle name="40% - Accent3 3 2 6" xfId="2334" xr:uid="{00000000-0005-0000-0000-000064050000}"/>
    <cellStyle name="40% - Accent3 3 2 6 2" xfId="6641" xr:uid="{00000000-0005-0000-0000-000065050000}"/>
    <cellStyle name="40% - Accent3 3 2 6 2 2" xfId="15080" xr:uid="{2D7074BC-1761-4E84-BCD8-851043D1F687}"/>
    <cellStyle name="40% - Accent3 3 2 6 3" xfId="10862" xr:uid="{614C94DD-C4FB-4545-8A72-68A686D859FE}"/>
    <cellStyle name="40% - Accent3 3 2 7" xfId="4575" xr:uid="{00000000-0005-0000-0000-000066050000}"/>
    <cellStyle name="40% - Accent3 3 2 7 2" xfId="13014" xr:uid="{20878C02-4FA6-4B61-B237-0A547FEAB9D8}"/>
    <cellStyle name="40% - Accent3 3 2 8" xfId="8796" xr:uid="{0B844A72-6B65-4DA9-A8F7-679FB09E6854}"/>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9209C1BA-348A-48B2-8D5D-4A4027A97F3F}"/>
    <cellStyle name="40% - Accent3 3 3 2 3" xfId="11354" xr:uid="{B6C12FD2-7543-448D-B0DD-EC8F54F98263}"/>
    <cellStyle name="40% - Accent3 3 3 3" xfId="4988" xr:uid="{00000000-0005-0000-0000-00006A050000}"/>
    <cellStyle name="40% - Accent3 3 3 3 2" xfId="13427" xr:uid="{D9EEB53C-109F-42AE-8872-B5C0114910AE}"/>
    <cellStyle name="40% - Accent3 3 3 4" xfId="9209" xr:uid="{79B40AE7-805A-47AC-8037-48D50FF71D94}"/>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2187DEFF-2C50-4005-A2D6-5FB73B1418A4}"/>
    <cellStyle name="40% - Accent3 3 4 2 3" xfId="11767" xr:uid="{072FAE8E-B93F-47A8-9370-BCC45C6A74CF}"/>
    <cellStyle name="40% - Accent3 3 4 3" xfId="5401" xr:uid="{00000000-0005-0000-0000-00006E050000}"/>
    <cellStyle name="40% - Accent3 3 4 3 2" xfId="13840" xr:uid="{08E2D28B-2D3F-4CDF-8E73-371F0B21E2CE}"/>
    <cellStyle name="40% - Accent3 3 4 4" xfId="9622" xr:uid="{823B2545-B7FB-429F-B470-A62991AB38DA}"/>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723EAAE4-1101-4FAA-8653-70FEF4F13161}"/>
    <cellStyle name="40% - Accent3 3 5 2 3" xfId="12180" xr:uid="{82693830-3FEF-4440-80DE-078BE63189C0}"/>
    <cellStyle name="40% - Accent3 3 5 3" xfId="5814" xr:uid="{00000000-0005-0000-0000-000072050000}"/>
    <cellStyle name="40% - Accent3 3 5 3 2" xfId="14253" xr:uid="{C1223BD9-CC47-445B-95D2-FF5A54D66883}"/>
    <cellStyle name="40% - Accent3 3 5 4" xfId="10035" xr:uid="{91282757-0C23-4F77-B873-64CE3094337B}"/>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BB66140F-C9C3-465A-BEFA-6F1FF401D3BC}"/>
    <cellStyle name="40% - Accent3 3 6 2 3" xfId="12593" xr:uid="{73F6252D-E561-4507-BDAF-2958A91D2086}"/>
    <cellStyle name="40% - Accent3 3 6 3" xfId="6227" xr:uid="{00000000-0005-0000-0000-000076050000}"/>
    <cellStyle name="40% - Accent3 3 6 3 2" xfId="14666" xr:uid="{71D89A62-B9EB-4EB2-BC11-FE2852074DEB}"/>
    <cellStyle name="40% - Accent3 3 6 4" xfId="10448" xr:uid="{C4176AE1-0FE8-4C58-A124-3F6A6B8FC399}"/>
    <cellStyle name="40% - Accent3 3 7" xfId="2333" xr:uid="{00000000-0005-0000-0000-000077050000}"/>
    <cellStyle name="40% - Accent3 3 7 2" xfId="6640" xr:uid="{00000000-0005-0000-0000-000078050000}"/>
    <cellStyle name="40% - Accent3 3 7 2 2" xfId="15079" xr:uid="{AB90B87F-0904-4BC0-B966-CBB119819325}"/>
    <cellStyle name="40% - Accent3 3 7 3" xfId="10861" xr:uid="{CD443570-635F-43D4-9769-E54965ABAB32}"/>
    <cellStyle name="40% - Accent3 3 8" xfId="4574" xr:uid="{00000000-0005-0000-0000-000079050000}"/>
    <cellStyle name="40% - Accent3 3 8 2" xfId="13013" xr:uid="{86237E7E-7072-44A9-BCF9-CE2B8D766923}"/>
    <cellStyle name="40% - Accent3 3 9" xfId="8795" xr:uid="{DBA4414E-26BD-4764-9C82-3AF41831B45C}"/>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C92F0ADA-CE6B-429E-80CA-D2F2B59F15B0}"/>
    <cellStyle name="40% - Accent3 4 2 2 3" xfId="11356" xr:uid="{6A235800-18B3-4167-BB55-08342E765C7C}"/>
    <cellStyle name="40% - Accent3 4 2 3" xfId="4990" xr:uid="{00000000-0005-0000-0000-00007E050000}"/>
    <cellStyle name="40% - Accent3 4 2 3 2" xfId="13429" xr:uid="{D3162213-7634-4180-876F-57BE864C92AF}"/>
    <cellStyle name="40% - Accent3 4 2 4" xfId="9211" xr:uid="{06B61DF8-223E-4BF9-8E07-F5F25A68D758}"/>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533D1178-A91E-4CD5-B301-8ACDD671BFD2}"/>
    <cellStyle name="40% - Accent3 4 3 2 3" xfId="11769" xr:uid="{5C1C8C71-C0A3-4111-AF63-425B86F94CD0}"/>
    <cellStyle name="40% - Accent3 4 3 3" xfId="5403" xr:uid="{00000000-0005-0000-0000-000082050000}"/>
    <cellStyle name="40% - Accent3 4 3 3 2" xfId="13842" xr:uid="{A9E7322A-2C06-4AC0-9867-85983207B5C1}"/>
    <cellStyle name="40% - Accent3 4 3 4" xfId="9624" xr:uid="{DAEAE750-6A09-4BEB-B346-84ABBE8632DA}"/>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0C34536D-10FB-4B2A-AA94-80AB673DE9EF}"/>
    <cellStyle name="40% - Accent3 4 4 2 3" xfId="12182" xr:uid="{DC11CC34-0C14-48D8-B213-5ED00FC1BD47}"/>
    <cellStyle name="40% - Accent3 4 4 3" xfId="5816" xr:uid="{00000000-0005-0000-0000-000086050000}"/>
    <cellStyle name="40% - Accent3 4 4 3 2" xfId="14255" xr:uid="{98CFC429-1D19-4D8C-87BF-01D1C1097181}"/>
    <cellStyle name="40% - Accent3 4 4 4" xfId="10037" xr:uid="{224E29A6-820F-4FD1-80D7-D69D80CEEEE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F4408EF7-1799-4D4D-AB2B-52DCBA64C15D}"/>
    <cellStyle name="40% - Accent3 4 5 2 3" xfId="12595" xr:uid="{B8EDA5C8-F8F2-4C83-8C91-8BAC7463890A}"/>
    <cellStyle name="40% - Accent3 4 5 3" xfId="6229" xr:uid="{00000000-0005-0000-0000-00008A050000}"/>
    <cellStyle name="40% - Accent3 4 5 3 2" xfId="14668" xr:uid="{CC3383A7-3055-4256-A629-A8EF63EB10BD}"/>
    <cellStyle name="40% - Accent3 4 5 4" xfId="10450" xr:uid="{51A4F828-555D-4358-86F6-7E766884BE7E}"/>
    <cellStyle name="40% - Accent3 4 6" xfId="2335" xr:uid="{00000000-0005-0000-0000-00008B050000}"/>
    <cellStyle name="40% - Accent3 4 6 2" xfId="6642" xr:uid="{00000000-0005-0000-0000-00008C050000}"/>
    <cellStyle name="40% - Accent3 4 6 2 2" xfId="15081" xr:uid="{B5849D6E-36D5-4A3F-B7E2-93CC437BC46D}"/>
    <cellStyle name="40% - Accent3 4 6 3" xfId="10863" xr:uid="{3AF09016-43A5-429A-90AE-5F434D4C8E95}"/>
    <cellStyle name="40% - Accent3 4 7" xfId="4576" xr:uid="{00000000-0005-0000-0000-00008D050000}"/>
    <cellStyle name="40% - Accent3 4 7 2" xfId="13015" xr:uid="{579BA43E-E1AE-450F-9D92-E9AA44430152}"/>
    <cellStyle name="40% - Accent3 4 8" xfId="8797" xr:uid="{0257023E-683C-43CB-AE0A-4926FA7CD25C}"/>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E911F70B-610A-4C5E-B5D4-20A83361DD7E}"/>
    <cellStyle name="40% - Accent3 5 2 3" xfId="11349" xr:uid="{507234A5-39C9-4CCC-A7FE-D4EDBE5C400B}"/>
    <cellStyle name="40% - Accent3 5 3" xfId="4983" xr:uid="{00000000-0005-0000-0000-000091050000}"/>
    <cellStyle name="40% - Accent3 5 3 2" xfId="13422" xr:uid="{2E8FC758-B594-455D-A25A-84563A547F52}"/>
    <cellStyle name="40% - Accent3 5 4" xfId="9204" xr:uid="{2DB6CF04-585B-47F6-B9AB-67AB0FC113E2}"/>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8DB41429-8566-4F5A-ACFA-BDF5A896BDD1}"/>
    <cellStyle name="40% - Accent3 6 2 3" xfId="11762" xr:uid="{A46235EE-ECE4-4B40-BBB0-8EAC35AB61DB}"/>
    <cellStyle name="40% - Accent3 6 3" xfId="5396" xr:uid="{00000000-0005-0000-0000-000095050000}"/>
    <cellStyle name="40% - Accent3 6 3 2" xfId="13835" xr:uid="{BFCF3DA7-279C-4EF1-904E-8CA8BCE80E10}"/>
    <cellStyle name="40% - Accent3 6 4" xfId="9617" xr:uid="{201DF4AD-9CEB-4A14-8991-A6838CEC56F4}"/>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6E68688F-ED32-4B33-A702-A7180A11EA6C}"/>
    <cellStyle name="40% - Accent3 7 2 3" xfId="12175" xr:uid="{5CF1F519-BF57-4257-AE61-911FC617CFC5}"/>
    <cellStyle name="40% - Accent3 7 3" xfId="5809" xr:uid="{00000000-0005-0000-0000-000099050000}"/>
    <cellStyle name="40% - Accent3 7 3 2" xfId="14248" xr:uid="{E5FB14E2-CDD2-410A-8448-5116A41B2E50}"/>
    <cellStyle name="40% - Accent3 7 4" xfId="10030" xr:uid="{47079B9C-3527-4D74-B29B-7BB0B2E0DC07}"/>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6B354DA4-E341-4814-9056-02925A88937C}"/>
    <cellStyle name="40% - Accent3 8 2 3" xfId="12588" xr:uid="{E7D107BB-BECC-46FB-8456-E407318E8FE6}"/>
    <cellStyle name="40% - Accent3 8 3" xfId="6222" xr:uid="{00000000-0005-0000-0000-00009D050000}"/>
    <cellStyle name="40% - Accent3 8 3 2" xfId="14661" xr:uid="{054242BB-D68B-41EA-92BA-BAD2EDE356CF}"/>
    <cellStyle name="40% - Accent3 8 4" xfId="10443" xr:uid="{B7672F07-2859-4719-A576-1137BC122904}"/>
    <cellStyle name="40% - Accent3 9" xfId="2328" xr:uid="{00000000-0005-0000-0000-00009E050000}"/>
    <cellStyle name="40% - Accent3 9 2" xfId="6635" xr:uid="{00000000-0005-0000-0000-00009F050000}"/>
    <cellStyle name="40% - Accent3 9 2 2" xfId="15074" xr:uid="{BE980DBB-BBB0-4C16-9EF6-6E157EA1D701}"/>
    <cellStyle name="40% - Accent3 9 3" xfId="10856" xr:uid="{77E22A9B-9324-40A4-A82E-8D08E8FE190D}"/>
    <cellStyle name="40% - Accent4" xfId="73" builtinId="43" customBuiltin="1"/>
    <cellStyle name="40% - Accent4 10" xfId="4577" xr:uid="{00000000-0005-0000-0000-0000A1050000}"/>
    <cellStyle name="40% - Accent4 10 2" xfId="13016" xr:uid="{39DEBF0B-FA2D-410A-8DC0-D214393C2F20}"/>
    <cellStyle name="40% - Accent4 11" xfId="8798" xr:uid="{9B266FB0-E05D-42FE-9A7A-6EDB06CF27B2}"/>
    <cellStyle name="40% - Accent4 2" xfId="74" xr:uid="{00000000-0005-0000-0000-0000A2050000}"/>
    <cellStyle name="40% - Accent4 2 10" xfId="8799" xr:uid="{6D24B45F-5E0E-434D-B00C-2FFA8F5842EC}"/>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19198B3D-2060-4AB7-A6AA-42C3B70DD89F}"/>
    <cellStyle name="40% - Accent4 2 2 2 2 2 3" xfId="11360" xr:uid="{09F796D3-5609-4291-BB09-A6777BD5BF5F}"/>
    <cellStyle name="40% - Accent4 2 2 2 2 3" xfId="4994" xr:uid="{00000000-0005-0000-0000-0000A8050000}"/>
    <cellStyle name="40% - Accent4 2 2 2 2 3 2" xfId="13433" xr:uid="{49040E50-701D-4FA8-AC4F-F6A1643C95FA}"/>
    <cellStyle name="40% - Accent4 2 2 2 2 4" xfId="9215" xr:uid="{5B3B8545-2F11-4F37-828C-AB4AACB328EF}"/>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D1A23FD8-F977-4677-B1B3-D6B04C2C8D18}"/>
    <cellStyle name="40% - Accent4 2 2 2 3 2 3" xfId="11773" xr:uid="{3566A48C-692A-4FAF-9D27-2089A8D72BAE}"/>
    <cellStyle name="40% - Accent4 2 2 2 3 3" xfId="5407" xr:uid="{00000000-0005-0000-0000-0000AC050000}"/>
    <cellStyle name="40% - Accent4 2 2 2 3 3 2" xfId="13846" xr:uid="{806A019B-B552-40D0-A769-2696F4B9DD5E}"/>
    <cellStyle name="40% - Accent4 2 2 2 3 4" xfId="9628" xr:uid="{ED69F0DC-76C7-453A-9E91-5D72C77645DB}"/>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66DEF4B9-D57E-43F6-AE84-9376765277E2}"/>
    <cellStyle name="40% - Accent4 2 2 2 4 2 3" xfId="12186" xr:uid="{C10AAA0F-71EC-4A73-843C-1DC4E14A0278}"/>
    <cellStyle name="40% - Accent4 2 2 2 4 3" xfId="5820" xr:uid="{00000000-0005-0000-0000-0000B0050000}"/>
    <cellStyle name="40% - Accent4 2 2 2 4 3 2" xfId="14259" xr:uid="{74CDC5CC-C35D-436D-A110-2677C784A314}"/>
    <cellStyle name="40% - Accent4 2 2 2 4 4" xfId="10041" xr:uid="{FE694C30-2389-44CF-8114-B0B9E4946638}"/>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783D16B9-4161-498B-9462-BC937F9913B9}"/>
    <cellStyle name="40% - Accent4 2 2 2 5 2 3" xfId="12599" xr:uid="{6CE4D5DA-A032-4E34-B0F2-35511626C214}"/>
    <cellStyle name="40% - Accent4 2 2 2 5 3" xfId="6233" xr:uid="{00000000-0005-0000-0000-0000B4050000}"/>
    <cellStyle name="40% - Accent4 2 2 2 5 3 2" xfId="14672" xr:uid="{311EA546-1935-4D40-B695-E1B3CD37C83F}"/>
    <cellStyle name="40% - Accent4 2 2 2 5 4" xfId="10454" xr:uid="{A8F2B774-054D-417C-88A1-35DB2B6DCCA9}"/>
    <cellStyle name="40% - Accent4 2 2 2 6" xfId="2339" xr:uid="{00000000-0005-0000-0000-0000B5050000}"/>
    <cellStyle name="40% - Accent4 2 2 2 6 2" xfId="6646" xr:uid="{00000000-0005-0000-0000-0000B6050000}"/>
    <cellStyle name="40% - Accent4 2 2 2 6 2 2" xfId="15085" xr:uid="{85EEC6D3-8B89-43C4-A456-5101BCC46354}"/>
    <cellStyle name="40% - Accent4 2 2 2 6 3" xfId="10867" xr:uid="{7D49E0F8-4EC8-41CF-896C-A539464AE0FF}"/>
    <cellStyle name="40% - Accent4 2 2 2 7" xfId="4580" xr:uid="{00000000-0005-0000-0000-0000B7050000}"/>
    <cellStyle name="40% - Accent4 2 2 2 7 2" xfId="13019" xr:uid="{C78B2ED3-FD71-464A-A49D-9BE2A1F2EBA4}"/>
    <cellStyle name="40% - Accent4 2 2 2 8" xfId="8801" xr:uid="{2F4D4BFE-CF19-40A3-BA13-539DCD6D40F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FA2F6765-1DC9-4EC5-94F0-2CEE4CD3848B}"/>
    <cellStyle name="40% - Accent4 2 2 3 2 3" xfId="11359" xr:uid="{9FD9E453-E056-4B34-956C-FF7E66412ADB}"/>
    <cellStyle name="40% - Accent4 2 2 3 3" xfId="4993" xr:uid="{00000000-0005-0000-0000-0000BB050000}"/>
    <cellStyle name="40% - Accent4 2 2 3 3 2" xfId="13432" xr:uid="{1F880185-C3C3-4080-B824-D99D479055BE}"/>
    <cellStyle name="40% - Accent4 2 2 3 4" xfId="9214" xr:uid="{23D6E594-8FD0-46BA-B64B-16A1E1C0A92D}"/>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42ED96AB-D68E-485B-BD52-C7CB33AC5B9D}"/>
    <cellStyle name="40% - Accent4 2 2 4 2 3" xfId="11772" xr:uid="{7E42695C-03C3-49A8-8B16-0B8D1537386A}"/>
    <cellStyle name="40% - Accent4 2 2 4 3" xfId="5406" xr:uid="{00000000-0005-0000-0000-0000BF050000}"/>
    <cellStyle name="40% - Accent4 2 2 4 3 2" xfId="13845" xr:uid="{0856275B-60B8-428B-B1E1-0D13024453B1}"/>
    <cellStyle name="40% - Accent4 2 2 4 4" xfId="9627" xr:uid="{273D1BB8-0961-4AFE-BE83-08F601E5ECC5}"/>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E451925E-9268-4F62-BA6E-E782ED70D9C4}"/>
    <cellStyle name="40% - Accent4 2 2 5 2 3" xfId="12185" xr:uid="{1BA9087E-798C-4363-B30B-8871F5E2E3AF}"/>
    <cellStyle name="40% - Accent4 2 2 5 3" xfId="5819" xr:uid="{00000000-0005-0000-0000-0000C3050000}"/>
    <cellStyle name="40% - Accent4 2 2 5 3 2" xfId="14258" xr:uid="{30B080F5-E2F7-4D6F-8A46-D17A9D36E2A3}"/>
    <cellStyle name="40% - Accent4 2 2 5 4" xfId="10040" xr:uid="{9770AFF2-EFE6-4B97-9F70-3194433F992D}"/>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45602CE6-2E17-4505-8FCD-EE5EAF678ADC}"/>
    <cellStyle name="40% - Accent4 2 2 6 2 3" xfId="12598" xr:uid="{5F51C795-5F37-4052-B3FA-A72DFFA40D73}"/>
    <cellStyle name="40% - Accent4 2 2 6 3" xfId="6232" xr:uid="{00000000-0005-0000-0000-0000C7050000}"/>
    <cellStyle name="40% - Accent4 2 2 6 3 2" xfId="14671" xr:uid="{54D63F11-9E7D-4632-A314-4E5D20CC41F8}"/>
    <cellStyle name="40% - Accent4 2 2 6 4" xfId="10453" xr:uid="{1D9BC933-6D13-454B-B5E0-A358C61EACEA}"/>
    <cellStyle name="40% - Accent4 2 2 7" xfId="2338" xr:uid="{00000000-0005-0000-0000-0000C8050000}"/>
    <cellStyle name="40% - Accent4 2 2 7 2" xfId="6645" xr:uid="{00000000-0005-0000-0000-0000C9050000}"/>
    <cellStyle name="40% - Accent4 2 2 7 2 2" xfId="15084" xr:uid="{EA897079-2C83-413F-8E45-ABDB0B4F2AFF}"/>
    <cellStyle name="40% - Accent4 2 2 7 3" xfId="10866" xr:uid="{F8599D84-82AB-4472-A6C8-270B81C35261}"/>
    <cellStyle name="40% - Accent4 2 2 8" xfId="4579" xr:uid="{00000000-0005-0000-0000-0000CA050000}"/>
    <cellStyle name="40% - Accent4 2 2 8 2" xfId="13018" xr:uid="{4A17CFE5-B1B8-4800-B266-19C8865761F6}"/>
    <cellStyle name="40% - Accent4 2 2 9" xfId="8800" xr:uid="{6D061B75-5087-4EBA-BC00-0703B230CC85}"/>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D4C1686C-FCA4-4710-9601-E480AC40B0E1}"/>
    <cellStyle name="40% - Accent4 2 3 2 2 3" xfId="11361" xr:uid="{AFA1C776-600C-4CD4-AF41-1135FEB99675}"/>
    <cellStyle name="40% - Accent4 2 3 2 3" xfId="4995" xr:uid="{00000000-0005-0000-0000-0000CF050000}"/>
    <cellStyle name="40% - Accent4 2 3 2 3 2" xfId="13434" xr:uid="{B7288B6E-6585-4E3B-B0A0-BF02321ADE06}"/>
    <cellStyle name="40% - Accent4 2 3 2 4" xfId="9216" xr:uid="{4A07DC57-550F-49D6-BF63-9FCD0163270F}"/>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E0E0EC04-0476-4779-B19E-A57EDA72A296}"/>
    <cellStyle name="40% - Accent4 2 3 3 2 3" xfId="11774" xr:uid="{F40CDF7C-B37F-49C1-ABCA-E844CED84377}"/>
    <cellStyle name="40% - Accent4 2 3 3 3" xfId="5408" xr:uid="{00000000-0005-0000-0000-0000D3050000}"/>
    <cellStyle name="40% - Accent4 2 3 3 3 2" xfId="13847" xr:uid="{AD507998-709B-4C5C-81CA-48C07149A25C}"/>
    <cellStyle name="40% - Accent4 2 3 3 4" xfId="9629" xr:uid="{12828833-49CD-45A5-B1BF-ADBDD5B8A541}"/>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8C3D6DD5-8286-4B55-973B-642C6C495D2A}"/>
    <cellStyle name="40% - Accent4 2 3 4 2 3" xfId="12187" xr:uid="{5F515F33-4074-4BC9-9592-FF5F4187D6EE}"/>
    <cellStyle name="40% - Accent4 2 3 4 3" xfId="5821" xr:uid="{00000000-0005-0000-0000-0000D7050000}"/>
    <cellStyle name="40% - Accent4 2 3 4 3 2" xfId="14260" xr:uid="{343F3A92-289D-4C32-A18C-66DB82EDC475}"/>
    <cellStyle name="40% - Accent4 2 3 4 4" xfId="10042" xr:uid="{38451DBF-74E8-4793-A8BC-4FC43B6DA421}"/>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9B80A323-DABC-4A53-B87C-0CA6F05D3934}"/>
    <cellStyle name="40% - Accent4 2 3 5 2 3" xfId="12600" xr:uid="{8A0166DC-C3E6-476B-8438-92638EFBD15A}"/>
    <cellStyle name="40% - Accent4 2 3 5 3" xfId="6234" xr:uid="{00000000-0005-0000-0000-0000DB050000}"/>
    <cellStyle name="40% - Accent4 2 3 5 3 2" xfId="14673" xr:uid="{E5176466-D5E4-4E4B-8689-D6F74640441F}"/>
    <cellStyle name="40% - Accent4 2 3 5 4" xfId="10455" xr:uid="{84C73077-843E-4792-A3CB-586CB0FF394E}"/>
    <cellStyle name="40% - Accent4 2 3 6" xfId="2340" xr:uid="{00000000-0005-0000-0000-0000DC050000}"/>
    <cellStyle name="40% - Accent4 2 3 6 2" xfId="6647" xr:uid="{00000000-0005-0000-0000-0000DD050000}"/>
    <cellStyle name="40% - Accent4 2 3 6 2 2" xfId="15086" xr:uid="{DBC78216-3F9E-4E7A-837E-6E94281F06A9}"/>
    <cellStyle name="40% - Accent4 2 3 6 3" xfId="10868" xr:uid="{0B19617F-C037-4167-A9F1-3DE23A829E84}"/>
    <cellStyle name="40% - Accent4 2 3 7" xfId="4581" xr:uid="{00000000-0005-0000-0000-0000DE050000}"/>
    <cellStyle name="40% - Accent4 2 3 7 2" xfId="13020" xr:uid="{71140BB7-FAA6-454F-AFBD-68C3A2569553}"/>
    <cellStyle name="40% - Accent4 2 3 8" xfId="8802" xr:uid="{6990D1D8-4024-49BA-88A7-5EBB790BFAC6}"/>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37E2CCAA-2B6D-43F6-A732-9E21FC9EDBD3}"/>
    <cellStyle name="40% - Accent4 2 4 2 3" xfId="11358" xr:uid="{DEBBD5C4-D7AC-4186-B39B-44CDF76FD7F4}"/>
    <cellStyle name="40% - Accent4 2 4 3" xfId="4992" xr:uid="{00000000-0005-0000-0000-0000E2050000}"/>
    <cellStyle name="40% - Accent4 2 4 3 2" xfId="13431" xr:uid="{E4F7E62F-FB79-4C11-9ABE-D38543542116}"/>
    <cellStyle name="40% - Accent4 2 4 4" xfId="9213" xr:uid="{CE30DC08-4425-43E4-8DC3-A38DC33664AE}"/>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EBB4168B-4AF1-40C5-93B0-336C5FC454EC}"/>
    <cellStyle name="40% - Accent4 2 5 2 3" xfId="11771" xr:uid="{BA8C9ED9-ADE3-4726-A238-B82CEBE9B6F3}"/>
    <cellStyle name="40% - Accent4 2 5 3" xfId="5405" xr:uid="{00000000-0005-0000-0000-0000E6050000}"/>
    <cellStyle name="40% - Accent4 2 5 3 2" xfId="13844" xr:uid="{141F6774-6A44-4949-A170-5B6FAED83506}"/>
    <cellStyle name="40% - Accent4 2 5 4" xfId="9626" xr:uid="{BCD2D5CC-B839-48F9-A866-D6C8A7C5284C}"/>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DDD5C503-6336-459A-B206-9E4830F9BE09}"/>
    <cellStyle name="40% - Accent4 2 6 2 3" xfId="12184" xr:uid="{8587BC4B-B825-4C5E-A312-6BDAF8D63050}"/>
    <cellStyle name="40% - Accent4 2 6 3" xfId="5818" xr:uid="{00000000-0005-0000-0000-0000EA050000}"/>
    <cellStyle name="40% - Accent4 2 6 3 2" xfId="14257" xr:uid="{F9FDCBCA-C09B-480E-A20D-44995F952D83}"/>
    <cellStyle name="40% - Accent4 2 6 4" xfId="10039" xr:uid="{98190BDD-0CF0-4681-BAEA-D2CC542554A1}"/>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6B5628A8-1852-4FB3-AC0B-4DCE0BE02B61}"/>
    <cellStyle name="40% - Accent4 2 7 2 3" xfId="12597" xr:uid="{9404DA14-2F08-45DE-94A7-A5EED8E71D43}"/>
    <cellStyle name="40% - Accent4 2 7 3" xfId="6231" xr:uid="{00000000-0005-0000-0000-0000EE050000}"/>
    <cellStyle name="40% - Accent4 2 7 3 2" xfId="14670" xr:uid="{A84DDE1F-096F-47C2-B1B2-6E270AF35F32}"/>
    <cellStyle name="40% - Accent4 2 7 4" xfId="10452" xr:uid="{7CB36116-FB37-49ED-8139-0115ECF1CE79}"/>
    <cellStyle name="40% - Accent4 2 8" xfId="2337" xr:uid="{00000000-0005-0000-0000-0000EF050000}"/>
    <cellStyle name="40% - Accent4 2 8 2" xfId="6644" xr:uid="{00000000-0005-0000-0000-0000F0050000}"/>
    <cellStyle name="40% - Accent4 2 8 2 2" xfId="15083" xr:uid="{7735ED78-BCFA-4334-BF49-343FF6DB0B68}"/>
    <cellStyle name="40% - Accent4 2 8 3" xfId="10865" xr:uid="{3FC38EC0-8077-4532-B5D2-02EA2EB11C7D}"/>
    <cellStyle name="40% - Accent4 2 9" xfId="4578" xr:uid="{00000000-0005-0000-0000-0000F1050000}"/>
    <cellStyle name="40% - Accent4 2 9 2" xfId="13017" xr:uid="{1E630B74-755D-4F31-90A2-9E6EB497581B}"/>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2C43D72A-F76E-4A43-9F92-DDB699BA6B7A}"/>
    <cellStyle name="40% - Accent4 3 2 2 2 3" xfId="11363" xr:uid="{3A34825A-E6E3-43BB-9A8E-DBA7D0739554}"/>
    <cellStyle name="40% - Accent4 3 2 2 3" xfId="4997" xr:uid="{00000000-0005-0000-0000-0000F7050000}"/>
    <cellStyle name="40% - Accent4 3 2 2 3 2" xfId="13436" xr:uid="{CE646F9F-A1FE-44F0-8D1F-E3BEE555A646}"/>
    <cellStyle name="40% - Accent4 3 2 2 4" xfId="9218" xr:uid="{269236AA-8460-4561-A6FD-359067C7944D}"/>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68712897-A1C7-4F77-9D0A-B39656E9D28B}"/>
    <cellStyle name="40% - Accent4 3 2 3 2 3" xfId="11776" xr:uid="{37347177-7C47-4D0C-933E-3C164EEDE994}"/>
    <cellStyle name="40% - Accent4 3 2 3 3" xfId="5410" xr:uid="{00000000-0005-0000-0000-0000FB050000}"/>
    <cellStyle name="40% - Accent4 3 2 3 3 2" xfId="13849" xr:uid="{384A2568-A3EF-447E-AD17-48A2DF401B19}"/>
    <cellStyle name="40% - Accent4 3 2 3 4" xfId="9631" xr:uid="{018C7C22-9FA3-4786-AC37-D2FCFF368188}"/>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B7E4919E-2D20-40A4-AF4C-FFF22C126F8C}"/>
    <cellStyle name="40% - Accent4 3 2 4 2 3" xfId="12189" xr:uid="{814B0CC8-FFFF-4648-9328-D1A0951BB682}"/>
    <cellStyle name="40% - Accent4 3 2 4 3" xfId="5823" xr:uid="{00000000-0005-0000-0000-0000FF050000}"/>
    <cellStyle name="40% - Accent4 3 2 4 3 2" xfId="14262" xr:uid="{39D46044-995A-4EA9-8B98-C42E24948C69}"/>
    <cellStyle name="40% - Accent4 3 2 4 4" xfId="10044" xr:uid="{585E1982-0F2A-48D6-9AE0-0CAE84D50115}"/>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E7B20245-06BA-46F9-9D43-1AC2DE3B61EF}"/>
    <cellStyle name="40% - Accent4 3 2 5 2 3" xfId="12602" xr:uid="{C7CBD731-3F45-4D83-8C6C-697BA80DDD89}"/>
    <cellStyle name="40% - Accent4 3 2 5 3" xfId="6236" xr:uid="{00000000-0005-0000-0000-000003060000}"/>
    <cellStyle name="40% - Accent4 3 2 5 3 2" xfId="14675" xr:uid="{9B663C13-0D6A-4FAD-AEE1-F43550BE837D}"/>
    <cellStyle name="40% - Accent4 3 2 5 4" xfId="10457" xr:uid="{D46E5122-05A2-4500-8A68-6E1B376F1941}"/>
    <cellStyle name="40% - Accent4 3 2 6" xfId="2342" xr:uid="{00000000-0005-0000-0000-000004060000}"/>
    <cellStyle name="40% - Accent4 3 2 6 2" xfId="6649" xr:uid="{00000000-0005-0000-0000-000005060000}"/>
    <cellStyle name="40% - Accent4 3 2 6 2 2" xfId="15088" xr:uid="{D4D54CBB-8E1B-4809-AC61-8BFC81A85014}"/>
    <cellStyle name="40% - Accent4 3 2 6 3" xfId="10870" xr:uid="{0139E397-1374-41AB-BE8A-DB6E8F7CB925}"/>
    <cellStyle name="40% - Accent4 3 2 7" xfId="4583" xr:uid="{00000000-0005-0000-0000-000006060000}"/>
    <cellStyle name="40% - Accent4 3 2 7 2" xfId="13022" xr:uid="{DA10FFDB-7A4C-4627-937C-50FC815E4CB9}"/>
    <cellStyle name="40% - Accent4 3 2 8" xfId="8804" xr:uid="{E640CCD4-DBCD-4B77-8D6C-045761E11B4C}"/>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A363AF7E-2EED-427E-BEAB-D0B04A486C22}"/>
    <cellStyle name="40% - Accent4 3 3 2 3" xfId="11362" xr:uid="{B7352177-215C-4102-BF79-36EA5BA973F1}"/>
    <cellStyle name="40% - Accent4 3 3 3" xfId="4996" xr:uid="{00000000-0005-0000-0000-00000A060000}"/>
    <cellStyle name="40% - Accent4 3 3 3 2" xfId="13435" xr:uid="{EC005520-3BCE-4270-BBDB-13C76BDEC64E}"/>
    <cellStyle name="40% - Accent4 3 3 4" xfId="9217" xr:uid="{D280CD4B-56B1-4253-ABAF-13FD5AAE1923}"/>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8913F188-0C98-4D11-8860-880E1749DED9}"/>
    <cellStyle name="40% - Accent4 3 4 2 3" xfId="11775" xr:uid="{6EF452BD-D589-452E-ABA6-A4FD8D09AFAB}"/>
    <cellStyle name="40% - Accent4 3 4 3" xfId="5409" xr:uid="{00000000-0005-0000-0000-00000E060000}"/>
    <cellStyle name="40% - Accent4 3 4 3 2" xfId="13848" xr:uid="{AB45BD15-5BC8-4622-AE5D-64B251E0F371}"/>
    <cellStyle name="40% - Accent4 3 4 4" xfId="9630" xr:uid="{A4DC1AF6-D5D7-4CFA-9AAE-F7177151B52A}"/>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A6DD54AA-E3BF-4ACC-8B9D-DBA0D26EF2D5}"/>
    <cellStyle name="40% - Accent4 3 5 2 3" xfId="12188" xr:uid="{1FD6E042-74C0-4CE7-A70B-5C54A1DB136D}"/>
    <cellStyle name="40% - Accent4 3 5 3" xfId="5822" xr:uid="{00000000-0005-0000-0000-000012060000}"/>
    <cellStyle name="40% - Accent4 3 5 3 2" xfId="14261" xr:uid="{53FC178B-8437-44FD-9BF8-575EDC2A8C67}"/>
    <cellStyle name="40% - Accent4 3 5 4" xfId="10043" xr:uid="{48F9987F-A1D7-47DB-A41D-541AAD972D1A}"/>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84C804A8-FACA-4804-99E6-1B46B5D246EC}"/>
    <cellStyle name="40% - Accent4 3 6 2 3" xfId="12601" xr:uid="{40248A1C-9A84-4425-A3F9-2004D657A2E8}"/>
    <cellStyle name="40% - Accent4 3 6 3" xfId="6235" xr:uid="{00000000-0005-0000-0000-000016060000}"/>
    <cellStyle name="40% - Accent4 3 6 3 2" xfId="14674" xr:uid="{21DE287A-8889-47AC-BF14-BBA006D1E3D5}"/>
    <cellStyle name="40% - Accent4 3 6 4" xfId="10456" xr:uid="{6F866871-708D-4C43-9ED8-B3945E94A021}"/>
    <cellStyle name="40% - Accent4 3 7" xfId="2341" xr:uid="{00000000-0005-0000-0000-000017060000}"/>
    <cellStyle name="40% - Accent4 3 7 2" xfId="6648" xr:uid="{00000000-0005-0000-0000-000018060000}"/>
    <cellStyle name="40% - Accent4 3 7 2 2" xfId="15087" xr:uid="{4E434B50-5C94-440B-A2D8-442CD0428AD7}"/>
    <cellStyle name="40% - Accent4 3 7 3" xfId="10869" xr:uid="{2B71F26D-6EA6-4AF0-A2D8-91B059C6E5E6}"/>
    <cellStyle name="40% - Accent4 3 8" xfId="4582" xr:uid="{00000000-0005-0000-0000-000019060000}"/>
    <cellStyle name="40% - Accent4 3 8 2" xfId="13021" xr:uid="{AED7DECA-9AB5-4AEB-BBDE-758A7D32CA58}"/>
    <cellStyle name="40% - Accent4 3 9" xfId="8803" xr:uid="{6B967212-6096-4F5B-98A9-97A6F41A4813}"/>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74ECBE86-E90B-4ACB-8676-B6F60345F72C}"/>
    <cellStyle name="40% - Accent4 4 2 2 3" xfId="11364" xr:uid="{32EC70BB-24A9-4C14-B286-4D81E174D7B5}"/>
    <cellStyle name="40% - Accent4 4 2 3" xfId="4998" xr:uid="{00000000-0005-0000-0000-00001E060000}"/>
    <cellStyle name="40% - Accent4 4 2 3 2" xfId="13437" xr:uid="{BC6F1C7D-947D-4464-A2A2-688A70762F2E}"/>
    <cellStyle name="40% - Accent4 4 2 4" xfId="9219" xr:uid="{040D19A4-B55B-413D-BC1E-9717707E55DC}"/>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3353651D-F7E5-43C8-A871-B7235B2647F1}"/>
    <cellStyle name="40% - Accent4 4 3 2 3" xfId="11777" xr:uid="{86AB489A-8783-4104-996E-7AE3EE2A2E73}"/>
    <cellStyle name="40% - Accent4 4 3 3" xfId="5411" xr:uid="{00000000-0005-0000-0000-000022060000}"/>
    <cellStyle name="40% - Accent4 4 3 3 2" xfId="13850" xr:uid="{F86C18E6-D732-4C6E-AFAF-AAAC634D851F}"/>
    <cellStyle name="40% - Accent4 4 3 4" xfId="9632" xr:uid="{F1C88009-CDF5-4FA5-9E36-4C732A088BD2}"/>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8121E07B-7857-499A-8A39-97EBD152D440}"/>
    <cellStyle name="40% - Accent4 4 4 2 3" xfId="12190" xr:uid="{6C83EB7C-808E-41C1-A1F3-F8F177673852}"/>
    <cellStyle name="40% - Accent4 4 4 3" xfId="5824" xr:uid="{00000000-0005-0000-0000-000026060000}"/>
    <cellStyle name="40% - Accent4 4 4 3 2" xfId="14263" xr:uid="{02C33998-554A-46AE-AAD5-9503885A1205}"/>
    <cellStyle name="40% - Accent4 4 4 4" xfId="10045" xr:uid="{DC395CD9-969D-47F5-B080-8448811391FA}"/>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A2196184-2BBF-4CE9-B48E-B2D4DDF971E6}"/>
    <cellStyle name="40% - Accent4 4 5 2 3" xfId="12603" xr:uid="{2E8739A4-A130-42B0-82A5-1482845FE66F}"/>
    <cellStyle name="40% - Accent4 4 5 3" xfId="6237" xr:uid="{00000000-0005-0000-0000-00002A060000}"/>
    <cellStyle name="40% - Accent4 4 5 3 2" xfId="14676" xr:uid="{15E627DA-E121-403A-8249-CA4B4B8D3217}"/>
    <cellStyle name="40% - Accent4 4 5 4" xfId="10458" xr:uid="{C609FA75-8656-4240-938C-DDB001DD3246}"/>
    <cellStyle name="40% - Accent4 4 6" xfId="2343" xr:uid="{00000000-0005-0000-0000-00002B060000}"/>
    <cellStyle name="40% - Accent4 4 6 2" xfId="6650" xr:uid="{00000000-0005-0000-0000-00002C060000}"/>
    <cellStyle name="40% - Accent4 4 6 2 2" xfId="15089" xr:uid="{D85779FC-D836-495C-8EEE-3A8DDA1D55CE}"/>
    <cellStyle name="40% - Accent4 4 6 3" xfId="10871" xr:uid="{B202295A-F014-4AA1-B9B1-82A59C66DD1D}"/>
    <cellStyle name="40% - Accent4 4 7" xfId="4584" xr:uid="{00000000-0005-0000-0000-00002D060000}"/>
    <cellStyle name="40% - Accent4 4 7 2" xfId="13023" xr:uid="{FB9B2F00-0388-4D39-AAA9-E630E2BB2919}"/>
    <cellStyle name="40% - Accent4 4 8" xfId="8805" xr:uid="{A34C54B7-4034-43C3-8FD5-812C2AF9F93F}"/>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D5656D72-A566-4A78-A30F-CD30BBCFA4C3}"/>
    <cellStyle name="40% - Accent4 5 2 3" xfId="11357" xr:uid="{526E7BD4-C67B-4E9E-A634-DEEB91DA7CA2}"/>
    <cellStyle name="40% - Accent4 5 3" xfId="4991" xr:uid="{00000000-0005-0000-0000-000031060000}"/>
    <cellStyle name="40% - Accent4 5 3 2" xfId="13430" xr:uid="{01092EAC-6892-4B5D-B0BD-3789E39E4866}"/>
    <cellStyle name="40% - Accent4 5 4" xfId="9212" xr:uid="{CDA9B59C-52A9-4F3B-BE44-EE718A368B67}"/>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391A22B9-5E22-47A4-AE6D-D747E4622CF0}"/>
    <cellStyle name="40% - Accent4 6 2 3" xfId="11770" xr:uid="{094D5BC7-63A2-483D-8453-1CA8BD86EA4D}"/>
    <cellStyle name="40% - Accent4 6 3" xfId="5404" xr:uid="{00000000-0005-0000-0000-000035060000}"/>
    <cellStyle name="40% - Accent4 6 3 2" xfId="13843" xr:uid="{6D5A32FE-CE21-470D-9FA7-35DFE3E52EE2}"/>
    <cellStyle name="40% - Accent4 6 4" xfId="9625" xr:uid="{ABDE1AA9-3190-4D0F-9ADB-03B227200D74}"/>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BE043610-34D9-4CBC-8A35-B5922C360C4C}"/>
    <cellStyle name="40% - Accent4 7 2 3" xfId="12183" xr:uid="{95382789-F12A-496A-9A6A-563B126760F0}"/>
    <cellStyle name="40% - Accent4 7 3" xfId="5817" xr:uid="{00000000-0005-0000-0000-000039060000}"/>
    <cellStyle name="40% - Accent4 7 3 2" xfId="14256" xr:uid="{86FEC354-161B-4BF8-8807-9CF87923F493}"/>
    <cellStyle name="40% - Accent4 7 4" xfId="10038" xr:uid="{E0C352A6-9A0B-48FE-9D92-23200BC29D56}"/>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09E9B29C-0905-4CA7-A199-9854C88A85ED}"/>
    <cellStyle name="40% - Accent4 8 2 3" xfId="12596" xr:uid="{B3DBEA15-E0D4-4382-AEA6-A8E3A34CD840}"/>
    <cellStyle name="40% - Accent4 8 3" xfId="6230" xr:uid="{00000000-0005-0000-0000-00003D060000}"/>
    <cellStyle name="40% - Accent4 8 3 2" xfId="14669" xr:uid="{693E5BBC-4BD7-40ED-A927-114D46E14DA8}"/>
    <cellStyle name="40% - Accent4 8 4" xfId="10451" xr:uid="{50E0FEFA-3875-496A-A494-5320CC641DB7}"/>
    <cellStyle name="40% - Accent4 9" xfId="2336" xr:uid="{00000000-0005-0000-0000-00003E060000}"/>
    <cellStyle name="40% - Accent4 9 2" xfId="6643" xr:uid="{00000000-0005-0000-0000-00003F060000}"/>
    <cellStyle name="40% - Accent4 9 2 2" xfId="15082" xr:uid="{2F1346EA-8B6A-41E7-8265-3CC96760DBEE}"/>
    <cellStyle name="40% - Accent4 9 3" xfId="10864" xr:uid="{9099AF6D-6EE0-4EC2-AAD5-D6A40B030F8C}"/>
    <cellStyle name="40% - Accent5" xfId="81" builtinId="47" customBuiltin="1"/>
    <cellStyle name="40% - Accent5 10" xfId="4585" xr:uid="{00000000-0005-0000-0000-000041060000}"/>
    <cellStyle name="40% - Accent5 10 2" xfId="13024" xr:uid="{8CCC71C1-09A7-4624-B287-14EF2799662D}"/>
    <cellStyle name="40% - Accent5 11" xfId="8806" xr:uid="{F3ADE98E-0E3D-4496-801F-7C25337D0629}"/>
    <cellStyle name="40% - Accent5 2" xfId="82" xr:uid="{00000000-0005-0000-0000-000042060000}"/>
    <cellStyle name="40% - Accent5 2 10" xfId="8807" xr:uid="{D7544B9D-8480-4CFC-A837-87698F9A0B6F}"/>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9951681F-2A83-4F2E-ADF7-49DFE174D6BB}"/>
    <cellStyle name="40% - Accent5 2 2 2 2 2 3" xfId="11368" xr:uid="{D08C8239-EA12-4D8E-97FE-632F0069E561}"/>
    <cellStyle name="40% - Accent5 2 2 2 2 3" xfId="5002" xr:uid="{00000000-0005-0000-0000-000048060000}"/>
    <cellStyle name="40% - Accent5 2 2 2 2 3 2" xfId="13441" xr:uid="{E95E9D18-88EE-4FCA-ACCB-DC61E4F4652C}"/>
    <cellStyle name="40% - Accent5 2 2 2 2 4" xfId="9223" xr:uid="{F9A7BB8F-D38A-406B-8F41-004248066DA4}"/>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703A7049-E5C7-4BBA-92E3-598D934764F1}"/>
    <cellStyle name="40% - Accent5 2 2 2 3 2 3" xfId="11781" xr:uid="{D3A074D1-EE9A-4B04-A492-7E0A8EE82EBC}"/>
    <cellStyle name="40% - Accent5 2 2 2 3 3" xfId="5415" xr:uid="{00000000-0005-0000-0000-00004C060000}"/>
    <cellStyle name="40% - Accent5 2 2 2 3 3 2" xfId="13854" xr:uid="{6B43C8FB-AD84-4EBC-882D-A31341F60A66}"/>
    <cellStyle name="40% - Accent5 2 2 2 3 4" xfId="9636" xr:uid="{4F90B4D0-CA21-4DA1-84FD-81B8D566C708}"/>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0A4E3996-69CC-4FB7-B3F5-7D329B349BCE}"/>
    <cellStyle name="40% - Accent5 2 2 2 4 2 3" xfId="12194" xr:uid="{120338E1-2E99-40FF-A535-367B38DE110A}"/>
    <cellStyle name="40% - Accent5 2 2 2 4 3" xfId="5828" xr:uid="{00000000-0005-0000-0000-000050060000}"/>
    <cellStyle name="40% - Accent5 2 2 2 4 3 2" xfId="14267" xr:uid="{3AB0A6EC-0DEA-45C3-B907-70D457250BA7}"/>
    <cellStyle name="40% - Accent5 2 2 2 4 4" xfId="10049" xr:uid="{4960A3C0-0588-4AEB-97E1-1AB13F74D7C2}"/>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BDC266F2-B528-4A57-9706-599D12A6AEB9}"/>
    <cellStyle name="40% - Accent5 2 2 2 5 2 3" xfId="12607" xr:uid="{804E31F3-142B-4AB7-806F-84B6C1355828}"/>
    <cellStyle name="40% - Accent5 2 2 2 5 3" xfId="6241" xr:uid="{00000000-0005-0000-0000-000054060000}"/>
    <cellStyle name="40% - Accent5 2 2 2 5 3 2" xfId="14680" xr:uid="{C33DF0D1-8E1F-4BC4-A43B-17D4874CFD3D}"/>
    <cellStyle name="40% - Accent5 2 2 2 5 4" xfId="10462" xr:uid="{C85138F1-6EDE-4A68-BBC3-DA228884737F}"/>
    <cellStyle name="40% - Accent5 2 2 2 6" xfId="2347" xr:uid="{00000000-0005-0000-0000-000055060000}"/>
    <cellStyle name="40% - Accent5 2 2 2 6 2" xfId="6654" xr:uid="{00000000-0005-0000-0000-000056060000}"/>
    <cellStyle name="40% - Accent5 2 2 2 6 2 2" xfId="15093" xr:uid="{87BA02D4-0B93-4EFE-9F5F-4815B1A2AEE0}"/>
    <cellStyle name="40% - Accent5 2 2 2 6 3" xfId="10875" xr:uid="{A86BC112-5516-44E6-8DB4-481462DCAE9F}"/>
    <cellStyle name="40% - Accent5 2 2 2 7" xfId="4588" xr:uid="{00000000-0005-0000-0000-000057060000}"/>
    <cellStyle name="40% - Accent5 2 2 2 7 2" xfId="13027" xr:uid="{4D428DD4-3CF2-4B66-A79B-83A6D6F13B3C}"/>
    <cellStyle name="40% - Accent5 2 2 2 8" xfId="8809" xr:uid="{C4F583C2-B41D-48D6-8F23-BD5CC72AF1EF}"/>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3CF33445-2500-48E7-A659-108A448F69EB}"/>
    <cellStyle name="40% - Accent5 2 2 3 2 3" xfId="11367" xr:uid="{8606D32F-82DB-49E8-BD07-EE60A4F769E6}"/>
    <cellStyle name="40% - Accent5 2 2 3 3" xfId="5001" xr:uid="{00000000-0005-0000-0000-00005B060000}"/>
    <cellStyle name="40% - Accent5 2 2 3 3 2" xfId="13440" xr:uid="{444C9B66-30AD-4934-AACD-724B97A12851}"/>
    <cellStyle name="40% - Accent5 2 2 3 4" xfId="9222" xr:uid="{56D001DC-CF5A-462B-9F07-E34B84250174}"/>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97FE47B9-2485-43B8-B23F-F6A2C76633AC}"/>
    <cellStyle name="40% - Accent5 2 2 4 2 3" xfId="11780" xr:uid="{9CCCC608-8CE6-40C8-B821-20A21E057559}"/>
    <cellStyle name="40% - Accent5 2 2 4 3" xfId="5414" xr:uid="{00000000-0005-0000-0000-00005F060000}"/>
    <cellStyle name="40% - Accent5 2 2 4 3 2" xfId="13853" xr:uid="{F45E69C9-3EBB-46B1-9BA6-41FA833EE64A}"/>
    <cellStyle name="40% - Accent5 2 2 4 4" xfId="9635" xr:uid="{12EE0488-E82F-4C71-BADC-1F02C0967F4F}"/>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AA9EF096-A353-4E7E-8152-57EC3392CF8D}"/>
    <cellStyle name="40% - Accent5 2 2 5 2 3" xfId="12193" xr:uid="{51C248D4-6529-42C5-BAB1-CE51742B6D25}"/>
    <cellStyle name="40% - Accent5 2 2 5 3" xfId="5827" xr:uid="{00000000-0005-0000-0000-000063060000}"/>
    <cellStyle name="40% - Accent5 2 2 5 3 2" xfId="14266" xr:uid="{CBF91858-856B-43C2-9D0A-6A1EF1847427}"/>
    <cellStyle name="40% - Accent5 2 2 5 4" xfId="10048" xr:uid="{582AF806-108C-4550-BBA1-8637DEF0F5E3}"/>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3CA67625-B00F-42BE-BECA-DDCEBC3D95A7}"/>
    <cellStyle name="40% - Accent5 2 2 6 2 3" xfId="12606" xr:uid="{658FD161-B978-4CE9-AE1D-DAF79040ED54}"/>
    <cellStyle name="40% - Accent5 2 2 6 3" xfId="6240" xr:uid="{00000000-0005-0000-0000-000067060000}"/>
    <cellStyle name="40% - Accent5 2 2 6 3 2" xfId="14679" xr:uid="{1A420410-0BFD-47C2-85CB-7A6C05D40BE6}"/>
    <cellStyle name="40% - Accent5 2 2 6 4" xfId="10461" xr:uid="{10A631B0-256D-4DFD-B651-0E9BC7B3CC66}"/>
    <cellStyle name="40% - Accent5 2 2 7" xfId="2346" xr:uid="{00000000-0005-0000-0000-000068060000}"/>
    <cellStyle name="40% - Accent5 2 2 7 2" xfId="6653" xr:uid="{00000000-0005-0000-0000-000069060000}"/>
    <cellStyle name="40% - Accent5 2 2 7 2 2" xfId="15092" xr:uid="{38301BAB-B52F-4DB6-A786-7C44E554D7B9}"/>
    <cellStyle name="40% - Accent5 2 2 7 3" xfId="10874" xr:uid="{D94A7A65-422C-45D3-B9ED-7BEDFC563131}"/>
    <cellStyle name="40% - Accent5 2 2 8" xfId="4587" xr:uid="{00000000-0005-0000-0000-00006A060000}"/>
    <cellStyle name="40% - Accent5 2 2 8 2" xfId="13026" xr:uid="{EF4A8B0C-2E0E-4A8F-B394-7659355C7617}"/>
    <cellStyle name="40% - Accent5 2 2 9" xfId="8808" xr:uid="{72C0CD9A-55EB-4E75-9E77-943C7605814F}"/>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DE94A2AA-CAE0-4327-A7FD-57725FFFC56E}"/>
    <cellStyle name="40% - Accent5 2 3 2 2 3" xfId="11369" xr:uid="{F3155CEA-9068-4E9C-B7E4-3FD52B77BE98}"/>
    <cellStyle name="40% - Accent5 2 3 2 3" xfId="5003" xr:uid="{00000000-0005-0000-0000-00006F060000}"/>
    <cellStyle name="40% - Accent5 2 3 2 3 2" xfId="13442" xr:uid="{A8FABE46-7CC0-4A24-B65A-11BAB66A212A}"/>
    <cellStyle name="40% - Accent5 2 3 2 4" xfId="9224" xr:uid="{835B5B64-DAFA-4550-9D8B-06BA634DD002}"/>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5CB78E04-906D-4C8F-AA25-6C46C6A2A44F}"/>
    <cellStyle name="40% - Accent5 2 3 3 2 3" xfId="11782" xr:uid="{EA73B6BE-9E10-4E4E-9FA8-C70E8F8969EB}"/>
    <cellStyle name="40% - Accent5 2 3 3 3" xfId="5416" xr:uid="{00000000-0005-0000-0000-000073060000}"/>
    <cellStyle name="40% - Accent5 2 3 3 3 2" xfId="13855" xr:uid="{C53F46F7-573D-48A5-BAAA-869D5BCCAFF2}"/>
    <cellStyle name="40% - Accent5 2 3 3 4" xfId="9637" xr:uid="{A67E7E16-D90B-48D3-A37E-FF88BD710CA8}"/>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06A506CC-FEED-42D1-8FE4-F2DBA8D6907C}"/>
    <cellStyle name="40% - Accent5 2 3 4 2 3" xfId="12195" xr:uid="{42CA7855-2C20-4D21-B973-FAA93C6EEED9}"/>
    <cellStyle name="40% - Accent5 2 3 4 3" xfId="5829" xr:uid="{00000000-0005-0000-0000-000077060000}"/>
    <cellStyle name="40% - Accent5 2 3 4 3 2" xfId="14268" xr:uid="{53F3C113-7312-4B22-8D84-E3A90BDB8DD5}"/>
    <cellStyle name="40% - Accent5 2 3 4 4" xfId="10050" xr:uid="{65335383-7FA1-44D5-B02C-7B3C04CE0E0A}"/>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2EF678C1-8906-4D90-811A-71FA5B7BB257}"/>
    <cellStyle name="40% - Accent5 2 3 5 2 3" xfId="12608" xr:uid="{825ADCFA-B2B0-4A85-828B-27CB5AC92BDB}"/>
    <cellStyle name="40% - Accent5 2 3 5 3" xfId="6242" xr:uid="{00000000-0005-0000-0000-00007B060000}"/>
    <cellStyle name="40% - Accent5 2 3 5 3 2" xfId="14681" xr:uid="{A385C558-5877-4ED2-93D0-42F3ED54BDB1}"/>
    <cellStyle name="40% - Accent5 2 3 5 4" xfId="10463" xr:uid="{702DAE27-9A01-4D45-B500-BEC1340CC37D}"/>
    <cellStyle name="40% - Accent5 2 3 6" xfId="2348" xr:uid="{00000000-0005-0000-0000-00007C060000}"/>
    <cellStyle name="40% - Accent5 2 3 6 2" xfId="6655" xr:uid="{00000000-0005-0000-0000-00007D060000}"/>
    <cellStyle name="40% - Accent5 2 3 6 2 2" xfId="15094" xr:uid="{8F11B7E3-871A-4B84-9789-BE474F9FAD1F}"/>
    <cellStyle name="40% - Accent5 2 3 6 3" xfId="10876" xr:uid="{6326EAB9-F112-4BBF-8DD2-CD70E3C0D39C}"/>
    <cellStyle name="40% - Accent5 2 3 7" xfId="4589" xr:uid="{00000000-0005-0000-0000-00007E060000}"/>
    <cellStyle name="40% - Accent5 2 3 7 2" xfId="13028" xr:uid="{9706C2C6-F86E-4BCB-9AE3-3D9E0923CDDD}"/>
    <cellStyle name="40% - Accent5 2 3 8" xfId="8810" xr:uid="{A62156E9-8195-4736-A230-C079CF424659}"/>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947AB4C9-8F9B-4CD5-AF3E-7BDF671435E2}"/>
    <cellStyle name="40% - Accent5 2 4 2 3" xfId="11366" xr:uid="{5BCC8330-5ACB-4394-892B-5A75B3AB1D76}"/>
    <cellStyle name="40% - Accent5 2 4 3" xfId="5000" xr:uid="{00000000-0005-0000-0000-000082060000}"/>
    <cellStyle name="40% - Accent5 2 4 3 2" xfId="13439" xr:uid="{34A803F0-E25B-4D35-BE7C-06DE065FE7B3}"/>
    <cellStyle name="40% - Accent5 2 4 4" xfId="9221" xr:uid="{0952EBE1-9FB9-4497-97D3-B6A7F4EB8EF0}"/>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8E85C96D-D372-4E07-9C27-A9D7AD7417AD}"/>
    <cellStyle name="40% - Accent5 2 5 2 3" xfId="11779" xr:uid="{3A93557A-06FC-4D3E-AB37-E0B7B5994202}"/>
    <cellStyle name="40% - Accent5 2 5 3" xfId="5413" xr:uid="{00000000-0005-0000-0000-000086060000}"/>
    <cellStyle name="40% - Accent5 2 5 3 2" xfId="13852" xr:uid="{94B0350D-FF26-44B9-98AC-3C48EE34EE7A}"/>
    <cellStyle name="40% - Accent5 2 5 4" xfId="9634" xr:uid="{709EEDEF-7748-44DA-B2A5-D5BC3DD2827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7E529DCB-7C0E-480D-954E-688DE0117EB1}"/>
    <cellStyle name="40% - Accent5 2 6 2 3" xfId="12192" xr:uid="{13C8EFFD-8A72-4E0D-B0BC-FBBDF88172E8}"/>
    <cellStyle name="40% - Accent5 2 6 3" xfId="5826" xr:uid="{00000000-0005-0000-0000-00008A060000}"/>
    <cellStyle name="40% - Accent5 2 6 3 2" xfId="14265" xr:uid="{2B17BDE5-5738-461C-9F36-0E4D26CDB967}"/>
    <cellStyle name="40% - Accent5 2 6 4" xfId="10047" xr:uid="{06811A10-EDB1-4A71-A627-16881F7DAD50}"/>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CF8549C5-E5F6-4B0B-945A-7E73EFE52895}"/>
    <cellStyle name="40% - Accent5 2 7 2 3" xfId="12605" xr:uid="{8CE46B35-8961-4ED6-852F-267D7FBFEC70}"/>
    <cellStyle name="40% - Accent5 2 7 3" xfId="6239" xr:uid="{00000000-0005-0000-0000-00008E060000}"/>
    <cellStyle name="40% - Accent5 2 7 3 2" xfId="14678" xr:uid="{D85054A9-66AB-45E2-86C0-60340402B9E1}"/>
    <cellStyle name="40% - Accent5 2 7 4" xfId="10460" xr:uid="{AE084865-8F25-43ED-869F-C3421E497AED}"/>
    <cellStyle name="40% - Accent5 2 8" xfId="2345" xr:uid="{00000000-0005-0000-0000-00008F060000}"/>
    <cellStyle name="40% - Accent5 2 8 2" xfId="6652" xr:uid="{00000000-0005-0000-0000-000090060000}"/>
    <cellStyle name="40% - Accent5 2 8 2 2" xfId="15091" xr:uid="{621F81BA-F358-4DEB-B08E-040826021DD5}"/>
    <cellStyle name="40% - Accent5 2 8 3" xfId="10873" xr:uid="{E9D77AF5-58D3-4D29-B8B7-9AA3F8620989}"/>
    <cellStyle name="40% - Accent5 2 9" xfId="4586" xr:uid="{00000000-0005-0000-0000-000091060000}"/>
    <cellStyle name="40% - Accent5 2 9 2" xfId="13025" xr:uid="{2DA3C0D8-CE2C-40FF-929A-901BF6BCA7CA}"/>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CD62D986-BD7B-47D8-A5F2-088B1ACA2474}"/>
    <cellStyle name="40% - Accent5 3 2 2 2 3" xfId="11371" xr:uid="{B3DF0620-B106-4414-A711-01196773F883}"/>
    <cellStyle name="40% - Accent5 3 2 2 3" xfId="5005" xr:uid="{00000000-0005-0000-0000-000097060000}"/>
    <cellStyle name="40% - Accent5 3 2 2 3 2" xfId="13444" xr:uid="{D7E6020B-5E7F-43FF-BBC8-F586CF5F97A6}"/>
    <cellStyle name="40% - Accent5 3 2 2 4" xfId="9226" xr:uid="{0990DE43-7B47-4A0C-ADCD-BC3F9F8DC216}"/>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A65DC344-F682-4EDD-B7CE-04717EBA36AE}"/>
    <cellStyle name="40% - Accent5 3 2 3 2 3" xfId="11784" xr:uid="{CCB1D795-03BF-4B9C-8B04-A5949328C381}"/>
    <cellStyle name="40% - Accent5 3 2 3 3" xfId="5418" xr:uid="{00000000-0005-0000-0000-00009B060000}"/>
    <cellStyle name="40% - Accent5 3 2 3 3 2" xfId="13857" xr:uid="{F939F716-3EF3-4366-926D-309B4ED324A6}"/>
    <cellStyle name="40% - Accent5 3 2 3 4" xfId="9639" xr:uid="{A8AE7D64-809A-4603-904A-1B097E9D1AC1}"/>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82A86304-ADE0-4B3A-85F5-5A4C6330603D}"/>
    <cellStyle name="40% - Accent5 3 2 4 2 3" xfId="12197" xr:uid="{66031005-7BCE-47A0-8E81-C95F6310EBF6}"/>
    <cellStyle name="40% - Accent5 3 2 4 3" xfId="5831" xr:uid="{00000000-0005-0000-0000-00009F060000}"/>
    <cellStyle name="40% - Accent5 3 2 4 3 2" xfId="14270" xr:uid="{09BD9614-19FB-4EAB-B952-9ED84AE59683}"/>
    <cellStyle name="40% - Accent5 3 2 4 4" xfId="10052" xr:uid="{CE182D19-80F2-4CC1-B40C-595B5325DD6D}"/>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CE8B64B1-C2BB-47C9-886A-E730264967CA}"/>
    <cellStyle name="40% - Accent5 3 2 5 2 3" xfId="12610" xr:uid="{5388D31A-F85B-46D2-9D1B-6B81946CD854}"/>
    <cellStyle name="40% - Accent5 3 2 5 3" xfId="6244" xr:uid="{00000000-0005-0000-0000-0000A3060000}"/>
    <cellStyle name="40% - Accent5 3 2 5 3 2" xfId="14683" xr:uid="{7203EFDA-BE9D-40C4-9A34-D289D77D7AED}"/>
    <cellStyle name="40% - Accent5 3 2 5 4" xfId="10465" xr:uid="{663C02D4-CBAF-45A2-84F3-82080D55CD4C}"/>
    <cellStyle name="40% - Accent5 3 2 6" xfId="2350" xr:uid="{00000000-0005-0000-0000-0000A4060000}"/>
    <cellStyle name="40% - Accent5 3 2 6 2" xfId="6657" xr:uid="{00000000-0005-0000-0000-0000A5060000}"/>
    <cellStyle name="40% - Accent5 3 2 6 2 2" xfId="15096" xr:uid="{0ADB1096-A5E5-4E48-8C76-0D35ACBAAD88}"/>
    <cellStyle name="40% - Accent5 3 2 6 3" xfId="10878" xr:uid="{68612BC9-AA50-4D53-B559-069700DFA414}"/>
    <cellStyle name="40% - Accent5 3 2 7" xfId="4591" xr:uid="{00000000-0005-0000-0000-0000A6060000}"/>
    <cellStyle name="40% - Accent5 3 2 7 2" xfId="13030" xr:uid="{8BE21767-51E6-4C94-9A2F-4A92BD1B728C}"/>
    <cellStyle name="40% - Accent5 3 2 8" xfId="8812" xr:uid="{19934E06-EAC9-46B5-81C3-F272989147B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2568E542-60BB-4BF7-9363-9E9C4C30D656}"/>
    <cellStyle name="40% - Accent5 3 3 2 3" xfId="11370" xr:uid="{4B9D70B6-3214-4ACA-9045-24E080AF1148}"/>
    <cellStyle name="40% - Accent5 3 3 3" xfId="5004" xr:uid="{00000000-0005-0000-0000-0000AA060000}"/>
    <cellStyle name="40% - Accent5 3 3 3 2" xfId="13443" xr:uid="{E0CEDF52-22C2-4AA0-8DC4-5412FEE131A9}"/>
    <cellStyle name="40% - Accent5 3 3 4" xfId="9225" xr:uid="{92954413-0523-4646-95C0-F0E2A87C8315}"/>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A180C62A-8AAA-4DA6-8A27-0E26125A7EA3}"/>
    <cellStyle name="40% - Accent5 3 4 2 3" xfId="11783" xr:uid="{BABEAD8C-4493-4F61-973B-4958EEF96F72}"/>
    <cellStyle name="40% - Accent5 3 4 3" xfId="5417" xr:uid="{00000000-0005-0000-0000-0000AE060000}"/>
    <cellStyle name="40% - Accent5 3 4 3 2" xfId="13856" xr:uid="{360939C6-D15F-4C1C-B71F-BFBB07CF5B0C}"/>
    <cellStyle name="40% - Accent5 3 4 4" xfId="9638" xr:uid="{483ED100-16BF-463F-AEAC-9562CED6DA45}"/>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CE954B47-D176-4D4F-86E9-F80FCF307C04}"/>
    <cellStyle name="40% - Accent5 3 5 2 3" xfId="12196" xr:uid="{E8B27F85-BA23-4FD4-B843-0505D1F9E823}"/>
    <cellStyle name="40% - Accent5 3 5 3" xfId="5830" xr:uid="{00000000-0005-0000-0000-0000B2060000}"/>
    <cellStyle name="40% - Accent5 3 5 3 2" xfId="14269" xr:uid="{960837D9-C7E2-49E7-A464-D06CE6B33535}"/>
    <cellStyle name="40% - Accent5 3 5 4" xfId="10051" xr:uid="{A105A56B-035F-4889-B5F2-EFF200B3064C}"/>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7592A275-5D99-43AF-8748-EE9C86F51E47}"/>
    <cellStyle name="40% - Accent5 3 6 2 3" xfId="12609" xr:uid="{954EFA8F-362E-4CEA-A8B6-CBE76EEE25E2}"/>
    <cellStyle name="40% - Accent5 3 6 3" xfId="6243" xr:uid="{00000000-0005-0000-0000-0000B6060000}"/>
    <cellStyle name="40% - Accent5 3 6 3 2" xfId="14682" xr:uid="{B5AD3327-2713-4B53-9457-B9E81C134E5C}"/>
    <cellStyle name="40% - Accent5 3 6 4" xfId="10464" xr:uid="{0949B306-0EBC-4853-A756-1AF16B8A215A}"/>
    <cellStyle name="40% - Accent5 3 7" xfId="2349" xr:uid="{00000000-0005-0000-0000-0000B7060000}"/>
    <cellStyle name="40% - Accent5 3 7 2" xfId="6656" xr:uid="{00000000-0005-0000-0000-0000B8060000}"/>
    <cellStyle name="40% - Accent5 3 7 2 2" xfId="15095" xr:uid="{3431C5C0-B4AE-4D4C-85E0-1727C4D530D8}"/>
    <cellStyle name="40% - Accent5 3 7 3" xfId="10877" xr:uid="{69BC6136-7B96-4A0E-884E-717C7CDB9725}"/>
    <cellStyle name="40% - Accent5 3 8" xfId="4590" xr:uid="{00000000-0005-0000-0000-0000B9060000}"/>
    <cellStyle name="40% - Accent5 3 8 2" xfId="13029" xr:uid="{B967BDD8-42AF-46C7-864D-BEB47CBFC006}"/>
    <cellStyle name="40% - Accent5 3 9" xfId="8811" xr:uid="{941B4355-8BE8-4E21-8107-487D5252BFFC}"/>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B6395D00-DD05-43B9-B742-D682FCA33EC2}"/>
    <cellStyle name="40% - Accent5 4 2 2 3" xfId="11372" xr:uid="{6EBC504B-9AC4-454F-9B74-2FAC4D8C123D}"/>
    <cellStyle name="40% - Accent5 4 2 3" xfId="5006" xr:uid="{00000000-0005-0000-0000-0000BE060000}"/>
    <cellStyle name="40% - Accent5 4 2 3 2" xfId="13445" xr:uid="{4CBCA57B-B7EA-4089-8009-94B1A024C05D}"/>
    <cellStyle name="40% - Accent5 4 2 4" xfId="9227" xr:uid="{C00F1B0E-F339-4799-BB88-DE13612DE9D2}"/>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A02787C1-7C1C-4C6B-84D8-B1F581AA5441}"/>
    <cellStyle name="40% - Accent5 4 3 2 3" xfId="11785" xr:uid="{429FC6AB-543F-4B69-85EB-399F6039EC87}"/>
    <cellStyle name="40% - Accent5 4 3 3" xfId="5419" xr:uid="{00000000-0005-0000-0000-0000C2060000}"/>
    <cellStyle name="40% - Accent5 4 3 3 2" xfId="13858" xr:uid="{311C0DAB-392B-478D-9E6E-DB04A76452D3}"/>
    <cellStyle name="40% - Accent5 4 3 4" xfId="9640" xr:uid="{AE5F643C-72D1-4243-8F5E-632F11281232}"/>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49A81C04-35B6-4F74-934B-A46C0205B26E}"/>
    <cellStyle name="40% - Accent5 4 4 2 3" xfId="12198" xr:uid="{4CE634EC-7899-4FE3-BBF2-802192690FB7}"/>
    <cellStyle name="40% - Accent5 4 4 3" xfId="5832" xr:uid="{00000000-0005-0000-0000-0000C6060000}"/>
    <cellStyle name="40% - Accent5 4 4 3 2" xfId="14271" xr:uid="{5FE68F01-13EC-405D-9634-AEEAB995CFC3}"/>
    <cellStyle name="40% - Accent5 4 4 4" xfId="10053" xr:uid="{EC84A21F-E2A1-42F7-BEDD-3F566AF01AE3}"/>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6E2A73E5-D6A9-45B6-B7E5-579CAA1F6CCC}"/>
    <cellStyle name="40% - Accent5 4 5 2 3" xfId="12611" xr:uid="{FE6F24EC-6ED3-49A7-BEB1-C7BEDE01FCF9}"/>
    <cellStyle name="40% - Accent5 4 5 3" xfId="6245" xr:uid="{00000000-0005-0000-0000-0000CA060000}"/>
    <cellStyle name="40% - Accent5 4 5 3 2" xfId="14684" xr:uid="{4DDBE71A-A6FC-407E-B22A-8DEC7AF94D42}"/>
    <cellStyle name="40% - Accent5 4 5 4" xfId="10466" xr:uid="{FBED08DC-99E0-46DB-AF2E-E96213C8C8C7}"/>
    <cellStyle name="40% - Accent5 4 6" xfId="2351" xr:uid="{00000000-0005-0000-0000-0000CB060000}"/>
    <cellStyle name="40% - Accent5 4 6 2" xfId="6658" xr:uid="{00000000-0005-0000-0000-0000CC060000}"/>
    <cellStyle name="40% - Accent5 4 6 2 2" xfId="15097" xr:uid="{CBC83129-ABE2-48D0-9FAB-C24085821B17}"/>
    <cellStyle name="40% - Accent5 4 6 3" xfId="10879" xr:uid="{DCB1CD3E-2697-451B-B5D1-44A8846670CD}"/>
    <cellStyle name="40% - Accent5 4 7" xfId="4592" xr:uid="{00000000-0005-0000-0000-0000CD060000}"/>
    <cellStyle name="40% - Accent5 4 7 2" xfId="13031" xr:uid="{3BF2D80D-C9B1-4E66-9C6A-CA402D225B4A}"/>
    <cellStyle name="40% - Accent5 4 8" xfId="8813" xr:uid="{51206F7E-99F5-46EA-B78D-32F80EE25FE7}"/>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8A750578-A517-4A54-B830-E6631357F30E}"/>
    <cellStyle name="40% - Accent5 5 2 3" xfId="11365" xr:uid="{5DF2D2F8-4066-4C84-B3BA-7B71D86AA7E9}"/>
    <cellStyle name="40% - Accent5 5 3" xfId="4999" xr:uid="{00000000-0005-0000-0000-0000D1060000}"/>
    <cellStyle name="40% - Accent5 5 3 2" xfId="13438" xr:uid="{560C42AC-3A90-406C-986D-0C7F7BFA8268}"/>
    <cellStyle name="40% - Accent5 5 4" xfId="9220" xr:uid="{15BBEC90-3D6E-4F96-8990-F26E6E7EDC2D}"/>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B8794D70-9797-4CBD-AB74-B5B1C8080202}"/>
    <cellStyle name="40% - Accent5 6 2 3" xfId="11778" xr:uid="{8FDD7CBD-7B64-4D78-A922-206407ACBB36}"/>
    <cellStyle name="40% - Accent5 6 3" xfId="5412" xr:uid="{00000000-0005-0000-0000-0000D5060000}"/>
    <cellStyle name="40% - Accent5 6 3 2" xfId="13851" xr:uid="{2A9ABD2D-EB78-4DBB-A07D-BF8E86C3B4D2}"/>
    <cellStyle name="40% - Accent5 6 4" xfId="9633" xr:uid="{7BDA05C7-96DA-4EF3-A72E-74B9439E1C38}"/>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EF4F98C1-0EAD-4910-909C-355F4B04C42D}"/>
    <cellStyle name="40% - Accent5 7 2 3" xfId="12191" xr:uid="{3A835152-6C8A-4440-A3A8-78A7236AEA4F}"/>
    <cellStyle name="40% - Accent5 7 3" xfId="5825" xr:uid="{00000000-0005-0000-0000-0000D9060000}"/>
    <cellStyle name="40% - Accent5 7 3 2" xfId="14264" xr:uid="{AB7CF64A-18F4-4809-AB7D-8F42DFC07E6C}"/>
    <cellStyle name="40% - Accent5 7 4" xfId="10046" xr:uid="{84208D01-3D81-4CA6-B8A0-3E08DD7A5C45}"/>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8617ED8A-E116-4C5E-9B31-B0127E3ABF9F}"/>
    <cellStyle name="40% - Accent5 8 2 3" xfId="12604" xr:uid="{9DCD1ABF-91A1-4425-9AED-A6A47B681F69}"/>
    <cellStyle name="40% - Accent5 8 3" xfId="6238" xr:uid="{00000000-0005-0000-0000-0000DD060000}"/>
    <cellStyle name="40% - Accent5 8 3 2" xfId="14677" xr:uid="{6F6872BB-DE9B-4354-BB87-C31DAD9177C2}"/>
    <cellStyle name="40% - Accent5 8 4" xfId="10459" xr:uid="{38A1D1FF-DDFC-444A-AFCF-4E5408F5777E}"/>
    <cellStyle name="40% - Accent5 9" xfId="2344" xr:uid="{00000000-0005-0000-0000-0000DE060000}"/>
    <cellStyle name="40% - Accent5 9 2" xfId="6651" xr:uid="{00000000-0005-0000-0000-0000DF060000}"/>
    <cellStyle name="40% - Accent5 9 2 2" xfId="15090" xr:uid="{78164D19-D4C9-47F7-B6F2-B97533ED21ED}"/>
    <cellStyle name="40% - Accent5 9 3" xfId="10872" xr:uid="{B340AFCD-19A0-4DE3-A02A-1461D2538C97}"/>
    <cellStyle name="40% - Accent6" xfId="89" builtinId="51" customBuiltin="1"/>
    <cellStyle name="40% - Accent6 10" xfId="4593" xr:uid="{00000000-0005-0000-0000-0000E1060000}"/>
    <cellStyle name="40% - Accent6 10 2" xfId="13032" xr:uid="{A57DC027-53A1-49D5-B891-7ECFC556FBCE}"/>
    <cellStyle name="40% - Accent6 11" xfId="8814" xr:uid="{8FECA3F6-6623-4109-8575-D4C9C90D0BDD}"/>
    <cellStyle name="40% - Accent6 2" xfId="90" xr:uid="{00000000-0005-0000-0000-0000E2060000}"/>
    <cellStyle name="40% - Accent6 2 10" xfId="8815" xr:uid="{C14C06E8-E980-4316-82E2-C1CC0116E215}"/>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076977AD-018B-42FF-9C6B-EDAFD0108672}"/>
    <cellStyle name="40% - Accent6 2 2 2 2 2 3" xfId="11376" xr:uid="{E0FD658A-0ABA-4E0E-8634-4A4044096B2B}"/>
    <cellStyle name="40% - Accent6 2 2 2 2 3" xfId="5010" xr:uid="{00000000-0005-0000-0000-0000E8060000}"/>
    <cellStyle name="40% - Accent6 2 2 2 2 3 2" xfId="13449" xr:uid="{5899A89C-A797-4410-B9E6-EFE10EB8EDAC}"/>
    <cellStyle name="40% - Accent6 2 2 2 2 4" xfId="9231" xr:uid="{982D67E4-51FF-4D68-8D4A-EBEEE3825567}"/>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D27F8B3D-7230-4041-91D1-CAC9902FC379}"/>
    <cellStyle name="40% - Accent6 2 2 2 3 2 3" xfId="11789" xr:uid="{203F50D7-5F39-4A4D-A887-FD69CE4B0338}"/>
    <cellStyle name="40% - Accent6 2 2 2 3 3" xfId="5423" xr:uid="{00000000-0005-0000-0000-0000EC060000}"/>
    <cellStyle name="40% - Accent6 2 2 2 3 3 2" xfId="13862" xr:uid="{D91D5DC6-FEFA-49AE-9E11-FC37430AC754}"/>
    <cellStyle name="40% - Accent6 2 2 2 3 4" xfId="9644" xr:uid="{E2A3D1F0-34DA-4AC4-B74D-61986C31E898}"/>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0DB6F580-A087-455F-BAA2-DAD8E0D0BD46}"/>
    <cellStyle name="40% - Accent6 2 2 2 4 2 3" xfId="12202" xr:uid="{EECB1C7F-FBF1-43B4-8769-66E3B950D930}"/>
    <cellStyle name="40% - Accent6 2 2 2 4 3" xfId="5836" xr:uid="{00000000-0005-0000-0000-0000F0060000}"/>
    <cellStyle name="40% - Accent6 2 2 2 4 3 2" xfId="14275" xr:uid="{AFE9AE02-6DDE-4969-BE66-E5368DBF135D}"/>
    <cellStyle name="40% - Accent6 2 2 2 4 4" xfId="10057" xr:uid="{AA5FD50C-801A-47C4-92E1-6868F5E8E51A}"/>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C971E5DA-B624-4FBE-AB66-919A34E787A2}"/>
    <cellStyle name="40% - Accent6 2 2 2 5 2 3" xfId="12615" xr:uid="{4A2AB2CE-4955-4DE2-98C5-BC787DDC096F}"/>
    <cellStyle name="40% - Accent6 2 2 2 5 3" xfId="6249" xr:uid="{00000000-0005-0000-0000-0000F4060000}"/>
    <cellStyle name="40% - Accent6 2 2 2 5 3 2" xfId="14688" xr:uid="{444AC6BD-42BD-4574-A2D0-A43AEA799DC8}"/>
    <cellStyle name="40% - Accent6 2 2 2 5 4" xfId="10470" xr:uid="{DFB53491-4B51-456E-BBD9-143FB1572D54}"/>
    <cellStyle name="40% - Accent6 2 2 2 6" xfId="2355" xr:uid="{00000000-0005-0000-0000-0000F5060000}"/>
    <cellStyle name="40% - Accent6 2 2 2 6 2" xfId="6662" xr:uid="{00000000-0005-0000-0000-0000F6060000}"/>
    <cellStyle name="40% - Accent6 2 2 2 6 2 2" xfId="15101" xr:uid="{4EDBCFC3-64A2-4A68-B4FD-A143BCAE8B83}"/>
    <cellStyle name="40% - Accent6 2 2 2 6 3" xfId="10883" xr:uid="{D544FE4A-42C8-4A03-BADD-1A1385298A8E}"/>
    <cellStyle name="40% - Accent6 2 2 2 7" xfId="4596" xr:uid="{00000000-0005-0000-0000-0000F7060000}"/>
    <cellStyle name="40% - Accent6 2 2 2 7 2" xfId="13035" xr:uid="{1C2AFAFF-2AD9-431E-B395-3EBBF77CE2BE}"/>
    <cellStyle name="40% - Accent6 2 2 2 8" xfId="8817" xr:uid="{B2EB1632-AFD7-48C1-B6C0-BA8D51225EE8}"/>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698D2BA4-1350-41F2-B4C6-644CBB0061CA}"/>
    <cellStyle name="40% - Accent6 2 2 3 2 3" xfId="11375" xr:uid="{1CBCE155-933C-45B4-85CD-25485090603F}"/>
    <cellStyle name="40% - Accent6 2 2 3 3" xfId="5009" xr:uid="{00000000-0005-0000-0000-0000FB060000}"/>
    <cellStyle name="40% - Accent6 2 2 3 3 2" xfId="13448" xr:uid="{6081974C-DEE7-4E51-B66B-5CFD0A78A620}"/>
    <cellStyle name="40% - Accent6 2 2 3 4" xfId="9230" xr:uid="{C6E797CF-F5B3-4C5D-A28C-414EC643FF97}"/>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8DF3BD51-A9CB-4D3A-A36C-3A0951E5F630}"/>
    <cellStyle name="40% - Accent6 2 2 4 2 3" xfId="11788" xr:uid="{768B5FCF-B3E7-46B3-9C88-B6F0F3A78450}"/>
    <cellStyle name="40% - Accent6 2 2 4 3" xfId="5422" xr:uid="{00000000-0005-0000-0000-0000FF060000}"/>
    <cellStyle name="40% - Accent6 2 2 4 3 2" xfId="13861" xr:uid="{CE73F16B-F0F6-4C4A-A0A3-A0F180977DC6}"/>
    <cellStyle name="40% - Accent6 2 2 4 4" xfId="9643" xr:uid="{A98FA616-1D50-4219-9D25-0827C5C40291}"/>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D0951A63-7AF5-43AE-A1B4-79C928C6C62F}"/>
    <cellStyle name="40% - Accent6 2 2 5 2 3" xfId="12201" xr:uid="{FFC0E9B9-2255-4278-8081-3156D8703E2C}"/>
    <cellStyle name="40% - Accent6 2 2 5 3" xfId="5835" xr:uid="{00000000-0005-0000-0000-000003070000}"/>
    <cellStyle name="40% - Accent6 2 2 5 3 2" xfId="14274" xr:uid="{D06BB616-AE21-4238-A281-05E3F63E3FF6}"/>
    <cellStyle name="40% - Accent6 2 2 5 4" xfId="10056" xr:uid="{D151807E-1CCE-4540-90FA-A5D068052F2A}"/>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E3C10116-AFC0-4CB8-BE99-295002CA4E4C}"/>
    <cellStyle name="40% - Accent6 2 2 6 2 3" xfId="12614" xr:uid="{0E07C764-3D1D-4767-8FF0-5BAD4683BEEF}"/>
    <cellStyle name="40% - Accent6 2 2 6 3" xfId="6248" xr:uid="{00000000-0005-0000-0000-000007070000}"/>
    <cellStyle name="40% - Accent6 2 2 6 3 2" xfId="14687" xr:uid="{30DCF173-CDF5-449A-8F85-D949DEE4A920}"/>
    <cellStyle name="40% - Accent6 2 2 6 4" xfId="10469" xr:uid="{75140EDC-C35A-44A7-A1CF-F89DD0D722F1}"/>
    <cellStyle name="40% - Accent6 2 2 7" xfId="2354" xr:uid="{00000000-0005-0000-0000-000008070000}"/>
    <cellStyle name="40% - Accent6 2 2 7 2" xfId="6661" xr:uid="{00000000-0005-0000-0000-000009070000}"/>
    <cellStyle name="40% - Accent6 2 2 7 2 2" xfId="15100" xr:uid="{8E4622FF-E282-44FC-A2C4-B86E27C0EDFE}"/>
    <cellStyle name="40% - Accent6 2 2 7 3" xfId="10882" xr:uid="{15AFD26C-8BA8-40F5-887F-3380C9FFCD4B}"/>
    <cellStyle name="40% - Accent6 2 2 8" xfId="4595" xr:uid="{00000000-0005-0000-0000-00000A070000}"/>
    <cellStyle name="40% - Accent6 2 2 8 2" xfId="13034" xr:uid="{FC3AC9DC-CD0D-4109-9E5E-CD8A4BE509BF}"/>
    <cellStyle name="40% - Accent6 2 2 9" xfId="8816" xr:uid="{BE29E36A-92BB-4D70-BF47-F2473AA4E2FA}"/>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3F368D08-AA1C-4F70-A60C-E99F47B65A97}"/>
    <cellStyle name="40% - Accent6 2 3 2 2 3" xfId="11377" xr:uid="{74EE5330-A109-4653-A848-852CB3EAB162}"/>
    <cellStyle name="40% - Accent6 2 3 2 3" xfId="5011" xr:uid="{00000000-0005-0000-0000-00000F070000}"/>
    <cellStyle name="40% - Accent6 2 3 2 3 2" xfId="13450" xr:uid="{5E74AE62-CF0E-44CE-8BFB-AEC6AC353071}"/>
    <cellStyle name="40% - Accent6 2 3 2 4" xfId="9232" xr:uid="{0D2A4D4D-C9E3-4B5F-AA74-EE29FE18ED1F}"/>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97BEA98A-D1C4-447E-A4C4-DE91A025CA2F}"/>
    <cellStyle name="40% - Accent6 2 3 3 2 3" xfId="11790" xr:uid="{F424D784-250F-4532-9817-420084F324FB}"/>
    <cellStyle name="40% - Accent6 2 3 3 3" xfId="5424" xr:uid="{00000000-0005-0000-0000-000013070000}"/>
    <cellStyle name="40% - Accent6 2 3 3 3 2" xfId="13863" xr:uid="{567DFE6F-EDD0-4C39-BA4C-7E7D4404C770}"/>
    <cellStyle name="40% - Accent6 2 3 3 4" xfId="9645" xr:uid="{CECF73B8-1637-48C9-85D1-2EC11A21862E}"/>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33F1B448-0DCE-4452-99DC-D9651316A0BA}"/>
    <cellStyle name="40% - Accent6 2 3 4 2 3" xfId="12203" xr:uid="{CB38B98E-9ACF-4880-A834-D2C55139D62B}"/>
    <cellStyle name="40% - Accent6 2 3 4 3" xfId="5837" xr:uid="{00000000-0005-0000-0000-000017070000}"/>
    <cellStyle name="40% - Accent6 2 3 4 3 2" xfId="14276" xr:uid="{23EAB199-40EC-4FEE-A467-05566F93154E}"/>
    <cellStyle name="40% - Accent6 2 3 4 4" xfId="10058" xr:uid="{92D9C8B5-3626-49FD-8484-54CE2CB3778A}"/>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3D3977E3-E9FD-47B1-8226-8DB321EED63C}"/>
    <cellStyle name="40% - Accent6 2 3 5 2 3" xfId="12616" xr:uid="{536445B5-6CBD-4DE0-88B2-520B992CDD82}"/>
    <cellStyle name="40% - Accent6 2 3 5 3" xfId="6250" xr:uid="{00000000-0005-0000-0000-00001B070000}"/>
    <cellStyle name="40% - Accent6 2 3 5 3 2" xfId="14689" xr:uid="{720AFABD-F14A-4319-8F1B-3CE68B592DA4}"/>
    <cellStyle name="40% - Accent6 2 3 5 4" xfId="10471" xr:uid="{2403DDB0-E647-4485-B956-A537BEBB3781}"/>
    <cellStyle name="40% - Accent6 2 3 6" xfId="2356" xr:uid="{00000000-0005-0000-0000-00001C070000}"/>
    <cellStyle name="40% - Accent6 2 3 6 2" xfId="6663" xr:uid="{00000000-0005-0000-0000-00001D070000}"/>
    <cellStyle name="40% - Accent6 2 3 6 2 2" xfId="15102" xr:uid="{72FFDBC4-A851-478B-9C36-DE49D9E4A3EE}"/>
    <cellStyle name="40% - Accent6 2 3 6 3" xfId="10884" xr:uid="{3041934F-385D-4BEF-80B8-5E8922F64335}"/>
    <cellStyle name="40% - Accent6 2 3 7" xfId="4597" xr:uid="{00000000-0005-0000-0000-00001E070000}"/>
    <cellStyle name="40% - Accent6 2 3 7 2" xfId="13036" xr:uid="{CD2179A7-CB6B-4122-8163-32AA89596A3A}"/>
    <cellStyle name="40% - Accent6 2 3 8" xfId="8818" xr:uid="{B7DB555B-998E-4B82-9A48-FE2B1EF1E11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307F25FB-51D5-4880-8828-A01C66E047BE}"/>
    <cellStyle name="40% - Accent6 2 4 2 3" xfId="11374" xr:uid="{28EAADF9-2DC0-4873-AD15-2EE6EDB22776}"/>
    <cellStyle name="40% - Accent6 2 4 3" xfId="5008" xr:uid="{00000000-0005-0000-0000-000022070000}"/>
    <cellStyle name="40% - Accent6 2 4 3 2" xfId="13447" xr:uid="{D3D05A34-7534-456B-92E2-740781CDCE03}"/>
    <cellStyle name="40% - Accent6 2 4 4" xfId="9229" xr:uid="{D8857F5E-A19B-4BBB-9655-561505860AD2}"/>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ACD96DA8-61FA-4F08-AF4B-7BA0CA7232CC}"/>
    <cellStyle name="40% - Accent6 2 5 2 3" xfId="11787" xr:uid="{03997A0F-8E60-486A-83D9-2EA941158884}"/>
    <cellStyle name="40% - Accent6 2 5 3" xfId="5421" xr:uid="{00000000-0005-0000-0000-000026070000}"/>
    <cellStyle name="40% - Accent6 2 5 3 2" xfId="13860" xr:uid="{FD9C444E-678D-4029-BFBE-AA6A46844135}"/>
    <cellStyle name="40% - Accent6 2 5 4" xfId="9642" xr:uid="{204568F1-BC30-4ED8-B337-333D3E613B86}"/>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F0B9FB4A-644C-4B23-B5AD-4C28A4785629}"/>
    <cellStyle name="40% - Accent6 2 6 2 3" xfId="12200" xr:uid="{E2A6DCD4-F4E3-4871-8BE9-AE0B6ECE860C}"/>
    <cellStyle name="40% - Accent6 2 6 3" xfId="5834" xr:uid="{00000000-0005-0000-0000-00002A070000}"/>
    <cellStyle name="40% - Accent6 2 6 3 2" xfId="14273" xr:uid="{0F2FAFF6-CE51-47FE-9A99-DF4D04DDE3AF}"/>
    <cellStyle name="40% - Accent6 2 6 4" xfId="10055" xr:uid="{2B96BC9C-404C-40B4-800B-F5CDF34B5E93}"/>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EA6C2A68-3C0B-4C35-8544-71226702E9BC}"/>
    <cellStyle name="40% - Accent6 2 7 2 3" xfId="12613" xr:uid="{A1E3FCEC-D4A1-4F77-A5F4-C5A3304D5591}"/>
    <cellStyle name="40% - Accent6 2 7 3" xfId="6247" xr:uid="{00000000-0005-0000-0000-00002E070000}"/>
    <cellStyle name="40% - Accent6 2 7 3 2" xfId="14686" xr:uid="{80DB4812-A2E5-4A91-AE81-8782220C67FB}"/>
    <cellStyle name="40% - Accent6 2 7 4" xfId="10468" xr:uid="{F77AE3B3-1398-4AF6-A114-B4F7D2ADD0C6}"/>
    <cellStyle name="40% - Accent6 2 8" xfId="2353" xr:uid="{00000000-0005-0000-0000-00002F070000}"/>
    <cellStyle name="40% - Accent6 2 8 2" xfId="6660" xr:uid="{00000000-0005-0000-0000-000030070000}"/>
    <cellStyle name="40% - Accent6 2 8 2 2" xfId="15099" xr:uid="{BF1847C5-FD8A-4050-97E5-C606AA39762E}"/>
    <cellStyle name="40% - Accent6 2 8 3" xfId="10881" xr:uid="{CA82416E-C18F-4301-AC14-AF855CCDCB5C}"/>
    <cellStyle name="40% - Accent6 2 9" xfId="4594" xr:uid="{00000000-0005-0000-0000-000031070000}"/>
    <cellStyle name="40% - Accent6 2 9 2" xfId="13033" xr:uid="{39AC10DA-E8BF-43DD-A21C-0D42B4351FDC}"/>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19C4D7F0-993A-4C99-AE5C-80B783C80A59}"/>
    <cellStyle name="40% - Accent6 3 2 2 2 3" xfId="11379" xr:uid="{D2F4B922-F7C2-4D5D-A7C3-D11823E71E18}"/>
    <cellStyle name="40% - Accent6 3 2 2 3" xfId="5013" xr:uid="{00000000-0005-0000-0000-000037070000}"/>
    <cellStyle name="40% - Accent6 3 2 2 3 2" xfId="13452" xr:uid="{36AFEAEA-8CEB-44EC-A225-B8406E5414B9}"/>
    <cellStyle name="40% - Accent6 3 2 2 4" xfId="9234" xr:uid="{1AB2F422-24F8-45FE-BB95-546B56CC6BD6}"/>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9A76023F-2A0D-4AE3-896F-A29113167070}"/>
    <cellStyle name="40% - Accent6 3 2 3 2 3" xfId="11792" xr:uid="{6C932D34-8668-4F56-9C28-84CA793F7E43}"/>
    <cellStyle name="40% - Accent6 3 2 3 3" xfId="5426" xr:uid="{00000000-0005-0000-0000-00003B070000}"/>
    <cellStyle name="40% - Accent6 3 2 3 3 2" xfId="13865" xr:uid="{3C5FC197-CE52-4442-95C7-2428FBC001E6}"/>
    <cellStyle name="40% - Accent6 3 2 3 4" xfId="9647" xr:uid="{28E557C0-B49B-4E63-8AD0-1C4100F1B4ED}"/>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972E1C87-BE16-457B-97BE-9F636D86F78E}"/>
    <cellStyle name="40% - Accent6 3 2 4 2 3" xfId="12205" xr:uid="{87E8D136-E0A5-469A-9249-D98EE24F445C}"/>
    <cellStyle name="40% - Accent6 3 2 4 3" xfId="5839" xr:uid="{00000000-0005-0000-0000-00003F070000}"/>
    <cellStyle name="40% - Accent6 3 2 4 3 2" xfId="14278" xr:uid="{A0C1B4E8-105C-46EB-BA99-4F9D6452A188}"/>
    <cellStyle name="40% - Accent6 3 2 4 4" xfId="10060" xr:uid="{711F83D4-9AB7-4099-92B7-4991CA162210}"/>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2408C9A2-4496-4C52-A48F-119BEA161B8F}"/>
    <cellStyle name="40% - Accent6 3 2 5 2 3" xfId="12618" xr:uid="{C77D7C40-F9F8-4D5E-B5B2-16D6AA926596}"/>
    <cellStyle name="40% - Accent6 3 2 5 3" xfId="6252" xr:uid="{00000000-0005-0000-0000-000043070000}"/>
    <cellStyle name="40% - Accent6 3 2 5 3 2" xfId="14691" xr:uid="{DBA75947-FDDE-40B0-931D-0CB35E079A34}"/>
    <cellStyle name="40% - Accent6 3 2 5 4" xfId="10473" xr:uid="{04F480EF-1107-46BA-AB74-6F52AAE9D822}"/>
    <cellStyle name="40% - Accent6 3 2 6" xfId="2358" xr:uid="{00000000-0005-0000-0000-000044070000}"/>
    <cellStyle name="40% - Accent6 3 2 6 2" xfId="6665" xr:uid="{00000000-0005-0000-0000-000045070000}"/>
    <cellStyle name="40% - Accent6 3 2 6 2 2" xfId="15104" xr:uid="{547CAC66-B3AB-4F5C-930A-EE8DEDD0C0C8}"/>
    <cellStyle name="40% - Accent6 3 2 6 3" xfId="10886" xr:uid="{2C963E15-1B6F-4D12-9FB7-59E861A06335}"/>
    <cellStyle name="40% - Accent6 3 2 7" xfId="4599" xr:uid="{00000000-0005-0000-0000-000046070000}"/>
    <cellStyle name="40% - Accent6 3 2 7 2" xfId="13038" xr:uid="{63A6273F-859B-4084-95E8-41E053215F94}"/>
    <cellStyle name="40% - Accent6 3 2 8" xfId="8820" xr:uid="{9EA43105-B359-4C22-8D3C-9D5EC5BACC39}"/>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058DD30B-1963-40A0-825C-EBDAE8C0F1AD}"/>
    <cellStyle name="40% - Accent6 3 3 2 3" xfId="11378" xr:uid="{659071D5-568E-4616-B0F6-95DEF81A9890}"/>
    <cellStyle name="40% - Accent6 3 3 3" xfId="5012" xr:uid="{00000000-0005-0000-0000-00004A070000}"/>
    <cellStyle name="40% - Accent6 3 3 3 2" xfId="13451" xr:uid="{E0C6C785-8016-4A6F-9DCC-F629EB9C9EF7}"/>
    <cellStyle name="40% - Accent6 3 3 4" xfId="9233" xr:uid="{09AB9473-3C6F-4F37-80C9-607141C3B422}"/>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D91E575B-9305-489A-8CEA-7681106A7DB3}"/>
    <cellStyle name="40% - Accent6 3 4 2 3" xfId="11791" xr:uid="{8CB2602B-9017-49D0-AFCD-4E6F0595BF1A}"/>
    <cellStyle name="40% - Accent6 3 4 3" xfId="5425" xr:uid="{00000000-0005-0000-0000-00004E070000}"/>
    <cellStyle name="40% - Accent6 3 4 3 2" xfId="13864" xr:uid="{7A8A02B6-D142-4A0E-8EBC-51D00E5F5B9A}"/>
    <cellStyle name="40% - Accent6 3 4 4" xfId="9646" xr:uid="{EFE4EA30-D534-4FBC-9C57-15447EA83745}"/>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A5AA40C7-FD09-475A-B219-52855306BF89}"/>
    <cellStyle name="40% - Accent6 3 5 2 3" xfId="12204" xr:uid="{5D9D2D93-8D5C-48BD-9EAA-3C426A45B190}"/>
    <cellStyle name="40% - Accent6 3 5 3" xfId="5838" xr:uid="{00000000-0005-0000-0000-000052070000}"/>
    <cellStyle name="40% - Accent6 3 5 3 2" xfId="14277" xr:uid="{2A55858F-94A8-4E94-AC54-B6EB6F6E4049}"/>
    <cellStyle name="40% - Accent6 3 5 4" xfId="10059" xr:uid="{85C7A7B3-413E-483B-AA11-80DC3A9CC4F1}"/>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BBC3C32A-8A56-48A8-ACA2-F7D44514ED30}"/>
    <cellStyle name="40% - Accent6 3 6 2 3" xfId="12617" xr:uid="{CDD801CD-57F1-47FF-BCA1-7594233747DA}"/>
    <cellStyle name="40% - Accent6 3 6 3" xfId="6251" xr:uid="{00000000-0005-0000-0000-000056070000}"/>
    <cellStyle name="40% - Accent6 3 6 3 2" xfId="14690" xr:uid="{2F61D1CA-BE57-4FFB-BD26-6C35A536A799}"/>
    <cellStyle name="40% - Accent6 3 6 4" xfId="10472" xr:uid="{EAEAFE38-26B3-485F-A5E3-A0E91197BFAD}"/>
    <cellStyle name="40% - Accent6 3 7" xfId="2357" xr:uid="{00000000-0005-0000-0000-000057070000}"/>
    <cellStyle name="40% - Accent6 3 7 2" xfId="6664" xr:uid="{00000000-0005-0000-0000-000058070000}"/>
    <cellStyle name="40% - Accent6 3 7 2 2" xfId="15103" xr:uid="{4F7AE377-3C6D-48C1-AFD1-962486EC42A7}"/>
    <cellStyle name="40% - Accent6 3 7 3" xfId="10885" xr:uid="{EDBB70D4-04C8-4F01-894F-2649AD67810A}"/>
    <cellStyle name="40% - Accent6 3 8" xfId="4598" xr:uid="{00000000-0005-0000-0000-000059070000}"/>
    <cellStyle name="40% - Accent6 3 8 2" xfId="13037" xr:uid="{1D5197ED-4109-47F3-A0FA-F980A393F25B}"/>
    <cellStyle name="40% - Accent6 3 9" xfId="8819" xr:uid="{4453EEE4-C34F-442E-A873-C3899B319207}"/>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7FDB8A75-D4E7-48F4-8D18-DB1EA6D68C6D}"/>
    <cellStyle name="40% - Accent6 4 2 2 3" xfId="11380" xr:uid="{203F8557-1541-47E2-AE85-E799C4CB1901}"/>
    <cellStyle name="40% - Accent6 4 2 3" xfId="5014" xr:uid="{00000000-0005-0000-0000-00005E070000}"/>
    <cellStyle name="40% - Accent6 4 2 3 2" xfId="13453" xr:uid="{D3103959-E74C-434A-A363-71E9BDEEC8B0}"/>
    <cellStyle name="40% - Accent6 4 2 4" xfId="9235" xr:uid="{A9DBBF5E-CB84-4270-AD23-342081B98246}"/>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EBC50156-5BD6-4376-9072-EA9272A4D1E8}"/>
    <cellStyle name="40% - Accent6 4 3 2 3" xfId="11793" xr:uid="{246FD1B3-1521-40E1-8684-D2CDB23BCA33}"/>
    <cellStyle name="40% - Accent6 4 3 3" xfId="5427" xr:uid="{00000000-0005-0000-0000-000062070000}"/>
    <cellStyle name="40% - Accent6 4 3 3 2" xfId="13866" xr:uid="{F1F3E9E7-E6A9-41C4-8F64-EA3107E2E7C7}"/>
    <cellStyle name="40% - Accent6 4 3 4" xfId="9648" xr:uid="{461CAA34-93F0-4CF9-9E2D-9DFBCB169672}"/>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2B3AC666-D628-4DC7-9E23-6ECE50DEE4AD}"/>
    <cellStyle name="40% - Accent6 4 4 2 3" xfId="12206" xr:uid="{AFE9CF36-C947-463D-B761-C02B6EE94B5F}"/>
    <cellStyle name="40% - Accent6 4 4 3" xfId="5840" xr:uid="{00000000-0005-0000-0000-000066070000}"/>
    <cellStyle name="40% - Accent6 4 4 3 2" xfId="14279" xr:uid="{2F9331BF-5172-4CF1-BE33-2ABB5B09851F}"/>
    <cellStyle name="40% - Accent6 4 4 4" xfId="10061" xr:uid="{27F541A4-F857-4A50-B028-8684B62A4C34}"/>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2ADF9C69-4B98-40E3-8F17-C320D45F819F}"/>
    <cellStyle name="40% - Accent6 4 5 2 3" xfId="12619" xr:uid="{78AD9D62-3B73-409A-BB8A-0130ADAE0AEB}"/>
    <cellStyle name="40% - Accent6 4 5 3" xfId="6253" xr:uid="{00000000-0005-0000-0000-00006A070000}"/>
    <cellStyle name="40% - Accent6 4 5 3 2" xfId="14692" xr:uid="{2FD011C6-A65A-4DD5-AFC8-7049F8B7C555}"/>
    <cellStyle name="40% - Accent6 4 5 4" xfId="10474" xr:uid="{427C6D81-7A1B-4CDA-9D12-DB82D92DE738}"/>
    <cellStyle name="40% - Accent6 4 6" xfId="2359" xr:uid="{00000000-0005-0000-0000-00006B070000}"/>
    <cellStyle name="40% - Accent6 4 6 2" xfId="6666" xr:uid="{00000000-0005-0000-0000-00006C070000}"/>
    <cellStyle name="40% - Accent6 4 6 2 2" xfId="15105" xr:uid="{2328A83D-5E7B-4FFD-89F1-67E31247CD59}"/>
    <cellStyle name="40% - Accent6 4 6 3" xfId="10887" xr:uid="{5AE9FE62-6CB8-42A6-8621-5B8C47727A82}"/>
    <cellStyle name="40% - Accent6 4 7" xfId="4600" xr:uid="{00000000-0005-0000-0000-00006D070000}"/>
    <cellStyle name="40% - Accent6 4 7 2" xfId="13039" xr:uid="{4F7C9F3F-CCA4-4138-BD0D-4BB8EA7B51AC}"/>
    <cellStyle name="40% - Accent6 4 8" xfId="8821" xr:uid="{6F02FE5F-1418-4EBA-93DF-8D60CE188DE5}"/>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4580B1D6-6EBD-4216-B61C-2A52587B1E68}"/>
    <cellStyle name="40% - Accent6 5 2 3" xfId="11373" xr:uid="{D1C8C74E-BE97-4021-A9FA-12E7A7A256A0}"/>
    <cellStyle name="40% - Accent6 5 3" xfId="5007" xr:uid="{00000000-0005-0000-0000-000071070000}"/>
    <cellStyle name="40% - Accent6 5 3 2" xfId="13446" xr:uid="{B1CC2EA4-6F2C-4AA6-AA7E-CEED1671C7A0}"/>
    <cellStyle name="40% - Accent6 5 4" xfId="9228" xr:uid="{365DE0F7-14EB-4458-8E78-A0D6441143E0}"/>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86CD1C6D-99EC-4570-A359-6E4210330B88}"/>
    <cellStyle name="40% - Accent6 6 2 3" xfId="11786" xr:uid="{FD365D02-899F-4ACB-AC04-C7FDB3462C43}"/>
    <cellStyle name="40% - Accent6 6 3" xfId="5420" xr:uid="{00000000-0005-0000-0000-000075070000}"/>
    <cellStyle name="40% - Accent6 6 3 2" xfId="13859" xr:uid="{F0E7BF02-F332-4B7B-82A8-C88AC42BA3DB}"/>
    <cellStyle name="40% - Accent6 6 4" xfId="9641" xr:uid="{2A578030-A8BC-4455-8DFD-9D956D41021C}"/>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DE71F69B-1E56-4BA4-9C05-3272FABA6C55}"/>
    <cellStyle name="40% - Accent6 7 2 3" xfId="12199" xr:uid="{BF0A8A29-0B8D-44C9-83EA-232527F0ADE5}"/>
    <cellStyle name="40% - Accent6 7 3" xfId="5833" xr:uid="{00000000-0005-0000-0000-000079070000}"/>
    <cellStyle name="40% - Accent6 7 3 2" xfId="14272" xr:uid="{B3C6E971-F7A3-460D-9A10-4DAE20BF39E7}"/>
    <cellStyle name="40% - Accent6 7 4" xfId="10054" xr:uid="{1DC21284-CAD9-4DAB-BC2B-0E7CEEFF185F}"/>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CCD90D43-E588-4D35-95E2-0D02C029FC11}"/>
    <cellStyle name="40% - Accent6 8 2 3" xfId="12612" xr:uid="{46F17459-0B48-4763-9367-D1CB17F5E677}"/>
    <cellStyle name="40% - Accent6 8 3" xfId="6246" xr:uid="{00000000-0005-0000-0000-00007D070000}"/>
    <cellStyle name="40% - Accent6 8 3 2" xfId="14685" xr:uid="{61D8ABE8-2DC3-4AF2-8357-35BFCD52C2EF}"/>
    <cellStyle name="40% - Accent6 8 4" xfId="10467" xr:uid="{ED7D6E83-C136-471B-8339-FD5C7A9C3E9E}"/>
    <cellStyle name="40% - Accent6 9" xfId="2352" xr:uid="{00000000-0005-0000-0000-00007E070000}"/>
    <cellStyle name="40% - Accent6 9 2" xfId="6659" xr:uid="{00000000-0005-0000-0000-00007F070000}"/>
    <cellStyle name="40% - Accent6 9 2 2" xfId="15098" xr:uid="{7F14BB3B-3999-412C-A789-1B18441A5ABC}"/>
    <cellStyle name="40% - Accent6 9 3" xfId="10880" xr:uid="{6E2B5C15-FE74-4B75-AC08-3D58C14365A9}"/>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F77554FA-B887-4F40-9FF1-6DA5BFC4B04E}"/>
    <cellStyle name="Comma 4 2 2 2 10 3" xfId="11205" xr:uid="{78B5DA56-D851-4107-8698-A6920D9D18F8}"/>
    <cellStyle name="Comma 4 2 2 2 11" xfId="4601" xr:uid="{00000000-0005-0000-0000-0000A3070000}"/>
    <cellStyle name="Comma 4 2 2 2 11 2" xfId="13040" xr:uid="{1A98ADBC-1A77-478E-BFED-4972223B3CD5}"/>
    <cellStyle name="Comma 4 2 2 2 12" xfId="8822" xr:uid="{7F567C17-AFAD-4313-B472-D7E07195A6D1}"/>
    <cellStyle name="Comma 4 2 2 2 2" xfId="129" xr:uid="{00000000-0005-0000-0000-0000A4070000}"/>
    <cellStyle name="Comma 4 2 2 2 2 10" xfId="4602" xr:uid="{00000000-0005-0000-0000-0000A5070000}"/>
    <cellStyle name="Comma 4 2 2 2 2 10 2" xfId="13041" xr:uid="{DC10B722-2E0B-48E5-8B08-1CA5BA9F83D7}"/>
    <cellStyle name="Comma 4 2 2 2 2 11" xfId="8823" xr:uid="{25F2112B-3D21-4FC5-AE3C-1587A8A84070}"/>
    <cellStyle name="Comma 4 2 2 2 2 2" xfId="130" xr:uid="{00000000-0005-0000-0000-0000A6070000}"/>
    <cellStyle name="Comma 4 2 2 2 2 2 10" xfId="8824" xr:uid="{899474CE-32D9-4C13-9497-627FB476F9D4}"/>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91C2340F-E560-4ED1-AE5E-6D3EDFB67B43}"/>
    <cellStyle name="Comma 4 2 2 2 2 2 2 2 3" xfId="11383" xr:uid="{DE2DC627-E410-4AEA-AC58-72FAAB41DF71}"/>
    <cellStyle name="Comma 4 2 2 2 2 2 2 3" xfId="5017" xr:uid="{00000000-0005-0000-0000-0000AA070000}"/>
    <cellStyle name="Comma 4 2 2 2 2 2 2 3 2" xfId="13456" xr:uid="{9C057432-3A4E-4D63-8BE0-6E2B84B7175F}"/>
    <cellStyle name="Comma 4 2 2 2 2 2 2 4" xfId="9238" xr:uid="{96DEA3BA-4870-4EA5-B725-421097F25B0A}"/>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32A49BFF-A3DB-46AD-8B64-78823CB08A1A}"/>
    <cellStyle name="Comma 4 2 2 2 2 2 3 2 3" xfId="11796" xr:uid="{2DA62DFE-4197-4847-B8D4-F1DC71B5A923}"/>
    <cellStyle name="Comma 4 2 2 2 2 2 3 3" xfId="5430" xr:uid="{00000000-0005-0000-0000-0000AE070000}"/>
    <cellStyle name="Comma 4 2 2 2 2 2 3 3 2" xfId="13869" xr:uid="{A5DF99FF-01CF-4F95-8CFC-BBA3A70F7951}"/>
    <cellStyle name="Comma 4 2 2 2 2 2 3 4" xfId="9651" xr:uid="{4472F512-AD8E-476E-A06B-FCAB725E83C7}"/>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B970FD6E-FA1A-46A0-BB31-C62E87BEB1B2}"/>
    <cellStyle name="Comma 4 2 2 2 2 2 4 2 3" xfId="12209" xr:uid="{885ABE9E-AA63-455A-BE53-471D11B012EC}"/>
    <cellStyle name="Comma 4 2 2 2 2 2 4 3" xfId="5843" xr:uid="{00000000-0005-0000-0000-0000B2070000}"/>
    <cellStyle name="Comma 4 2 2 2 2 2 4 3 2" xfId="14282" xr:uid="{6ABDF2AF-B5F9-4D9E-A403-95B8B6A48BD3}"/>
    <cellStyle name="Comma 4 2 2 2 2 2 4 4" xfId="10064" xr:uid="{0651E289-5010-428C-91A3-231CCCA1AED2}"/>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17FE76AC-AAA8-4695-83BB-311F6FAE38CF}"/>
    <cellStyle name="Comma 4 2 2 2 2 2 5 2 3" xfId="12622" xr:uid="{CEBFFF4D-12A6-4B96-ABBC-20D615B233DF}"/>
    <cellStyle name="Comma 4 2 2 2 2 2 5 3" xfId="6256" xr:uid="{00000000-0005-0000-0000-0000B6070000}"/>
    <cellStyle name="Comma 4 2 2 2 2 2 5 3 2" xfId="14695" xr:uid="{C0CCDBAD-428E-4C29-A2AF-5EA5D423ED55}"/>
    <cellStyle name="Comma 4 2 2 2 2 2 5 4" xfId="10477" xr:uid="{3317A9DB-FDAC-47E4-8A55-D08A39545168}"/>
    <cellStyle name="Comma 4 2 2 2 2 2 6" xfId="2384" xr:uid="{00000000-0005-0000-0000-0000B7070000}"/>
    <cellStyle name="Comma 4 2 2 2 2 2 6 2" xfId="6669" xr:uid="{00000000-0005-0000-0000-0000B8070000}"/>
    <cellStyle name="Comma 4 2 2 2 2 2 6 2 2" xfId="15108" xr:uid="{7648F4E9-D6DA-4B0B-A43C-B44E25656C39}"/>
    <cellStyle name="Comma 4 2 2 2 2 2 6 3" xfId="10890" xr:uid="{95EA2312-6EA9-4AEA-96CC-129F4C0D76C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F4824FE4-47E4-4FED-AD52-3FDADEC5B3AF}"/>
    <cellStyle name="Comma 4 2 2 2 2 2 8 3" xfId="11207" xr:uid="{A44FEDDB-13AC-4673-BE02-01418A3C8C79}"/>
    <cellStyle name="Comma 4 2 2 2 2 2 9" xfId="4603" xr:uid="{00000000-0005-0000-0000-0000BC070000}"/>
    <cellStyle name="Comma 4 2 2 2 2 2 9 2" xfId="13042" xr:uid="{3700A2EE-1073-4136-B02B-5624B9A3570A}"/>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51B88A79-5F38-4C56-86B2-EFB7DD985C90}"/>
    <cellStyle name="Comma 4 2 2 2 2 3 2 3" xfId="11382" xr:uid="{5FB4F329-9F85-435E-9696-CE44159C7656}"/>
    <cellStyle name="Comma 4 2 2 2 2 3 3" xfId="5016" xr:uid="{00000000-0005-0000-0000-0000C0070000}"/>
    <cellStyle name="Comma 4 2 2 2 2 3 3 2" xfId="13455" xr:uid="{80BF1715-01D6-4ABF-B039-7D4742AB32DC}"/>
    <cellStyle name="Comma 4 2 2 2 2 3 4" xfId="9237" xr:uid="{E29D9AB0-67EA-479B-A9E9-DFC5B761EFEF}"/>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7E8D7AB0-3313-43FF-A863-C0CA9BFBAE75}"/>
    <cellStyle name="Comma 4 2 2 2 2 4 2 3" xfId="11795" xr:uid="{4B41CED4-5EB3-4C6A-B214-9B883224AA85}"/>
    <cellStyle name="Comma 4 2 2 2 2 4 3" xfId="5429" xr:uid="{00000000-0005-0000-0000-0000C4070000}"/>
    <cellStyle name="Comma 4 2 2 2 2 4 3 2" xfId="13868" xr:uid="{F6539F09-5494-42EB-B8F4-1DF7B1674AF8}"/>
    <cellStyle name="Comma 4 2 2 2 2 4 4" xfId="9650" xr:uid="{E73EB3BF-BB0B-488C-9E76-5EA69603E6C0}"/>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4DCF6E4D-97AE-4B60-B262-8186327EE720}"/>
    <cellStyle name="Comma 4 2 2 2 2 5 2 3" xfId="12208" xr:uid="{D1EA7B76-6513-41BE-8780-29B1EBA5360A}"/>
    <cellStyle name="Comma 4 2 2 2 2 5 3" xfId="5842" xr:uid="{00000000-0005-0000-0000-0000C8070000}"/>
    <cellStyle name="Comma 4 2 2 2 2 5 3 2" xfId="14281" xr:uid="{B16C92B0-C846-4F40-B2E3-180DF8A46790}"/>
    <cellStyle name="Comma 4 2 2 2 2 5 4" xfId="10063" xr:uid="{E79F563D-2243-4575-94A6-8281B99460BF}"/>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6147B7A9-8716-41BC-A9DC-8890B9E57C85}"/>
    <cellStyle name="Comma 4 2 2 2 2 6 2 3" xfId="12621" xr:uid="{78962BDE-AF70-4243-8148-57722255ADF4}"/>
    <cellStyle name="Comma 4 2 2 2 2 6 3" xfId="6255" xr:uid="{00000000-0005-0000-0000-0000CC070000}"/>
    <cellStyle name="Comma 4 2 2 2 2 6 3 2" xfId="14694" xr:uid="{EA46F315-A5AD-4FF7-BBA7-FCDE9C576742}"/>
    <cellStyle name="Comma 4 2 2 2 2 6 4" xfId="10476" xr:uid="{95977896-9094-4E30-AF0A-8D8FD3E8710A}"/>
    <cellStyle name="Comma 4 2 2 2 2 7" xfId="2383" xr:uid="{00000000-0005-0000-0000-0000CD070000}"/>
    <cellStyle name="Comma 4 2 2 2 2 7 2" xfId="6668" xr:uid="{00000000-0005-0000-0000-0000CE070000}"/>
    <cellStyle name="Comma 4 2 2 2 2 7 2 2" xfId="15107" xr:uid="{F1F67819-2E14-47CE-9CFD-12E21F5AD628}"/>
    <cellStyle name="Comma 4 2 2 2 2 7 3" xfId="10889" xr:uid="{9153CB5F-A6D1-4C37-91F3-4122E50F16DF}"/>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1FFA1EE0-3099-41DD-ABC4-6243BCC8E54E}"/>
    <cellStyle name="Comma 4 2 2 2 2 9 3" xfId="11206" xr:uid="{727CCCFE-BDFC-4C56-8AC2-EB190756296E}"/>
    <cellStyle name="Comma 4 2 2 2 3" xfId="131" xr:uid="{00000000-0005-0000-0000-0000D2070000}"/>
    <cellStyle name="Comma 4 2 2 2 3 10" xfId="8825" xr:uid="{8C18EC7C-6C60-4A89-B800-970433099392}"/>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40C9CC34-CBE5-4AA8-9CFB-7BB7D5C9515B}"/>
    <cellStyle name="Comma 4 2 2 2 3 2 2 3" xfId="11384" xr:uid="{7EE09B72-0333-4599-A4B8-2EC94D0C5E77}"/>
    <cellStyle name="Comma 4 2 2 2 3 2 3" xfId="5018" xr:uid="{00000000-0005-0000-0000-0000D6070000}"/>
    <cellStyle name="Comma 4 2 2 2 3 2 3 2" xfId="13457" xr:uid="{69C69999-594A-481B-90AA-4EC547A08261}"/>
    <cellStyle name="Comma 4 2 2 2 3 2 4" xfId="9239" xr:uid="{36374D64-FC6D-40EC-B133-93BC25B347F9}"/>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793D20DE-E92E-476A-BBA3-3F918BD0F7EF}"/>
    <cellStyle name="Comma 4 2 2 2 3 3 2 3" xfId="11797" xr:uid="{1C9023B0-925D-40AC-B25D-3A23267E0FCF}"/>
    <cellStyle name="Comma 4 2 2 2 3 3 3" xfId="5431" xr:uid="{00000000-0005-0000-0000-0000DA070000}"/>
    <cellStyle name="Comma 4 2 2 2 3 3 3 2" xfId="13870" xr:uid="{AE12F6FA-B125-4237-8019-84CE9016E4F9}"/>
    <cellStyle name="Comma 4 2 2 2 3 3 4" xfId="9652" xr:uid="{0D54C470-7515-4FCA-A720-57019C0136DB}"/>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9C12F1BA-33F8-4F04-9216-5FBEB2BE0E7C}"/>
    <cellStyle name="Comma 4 2 2 2 3 4 2 3" xfId="12210" xr:uid="{AB5C9758-C357-4073-BD43-61AE23975AC8}"/>
    <cellStyle name="Comma 4 2 2 2 3 4 3" xfId="5844" xr:uid="{00000000-0005-0000-0000-0000DE070000}"/>
    <cellStyle name="Comma 4 2 2 2 3 4 3 2" xfId="14283" xr:uid="{E4BA2872-8846-40FE-988E-7BD7CDA5D4C6}"/>
    <cellStyle name="Comma 4 2 2 2 3 4 4" xfId="10065" xr:uid="{EA19BC14-998E-45B5-BE6C-D822312B2EB7}"/>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14DD8EBC-69E9-4390-8B15-D621F5AB77F2}"/>
    <cellStyle name="Comma 4 2 2 2 3 5 2 3" xfId="12623" xr:uid="{A135D0C8-6942-45A5-BC16-22B4619CA89F}"/>
    <cellStyle name="Comma 4 2 2 2 3 5 3" xfId="6257" xr:uid="{00000000-0005-0000-0000-0000E2070000}"/>
    <cellStyle name="Comma 4 2 2 2 3 5 3 2" xfId="14696" xr:uid="{873A4710-8E72-4318-84B6-3EB835787142}"/>
    <cellStyle name="Comma 4 2 2 2 3 5 4" xfId="10478" xr:uid="{4C2FCB42-43ED-4243-96A0-5F9CCDA11D56}"/>
    <cellStyle name="Comma 4 2 2 2 3 6" xfId="2385" xr:uid="{00000000-0005-0000-0000-0000E3070000}"/>
    <cellStyle name="Comma 4 2 2 2 3 6 2" xfId="6670" xr:uid="{00000000-0005-0000-0000-0000E4070000}"/>
    <cellStyle name="Comma 4 2 2 2 3 6 2 2" xfId="15109" xr:uid="{3C695744-2C19-4819-AD23-FBF05267F2FB}"/>
    <cellStyle name="Comma 4 2 2 2 3 6 3" xfId="10891" xr:uid="{A8FC814B-DA55-4379-8BCC-BB313665A98D}"/>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02D0B594-4202-4C1A-AEEC-4300B30399BF}"/>
    <cellStyle name="Comma 4 2 2 2 3 8 3" xfId="11208" xr:uid="{84A06352-99E3-4CA5-932C-4F7048498174}"/>
    <cellStyle name="Comma 4 2 2 2 3 9" xfId="4604" xr:uid="{00000000-0005-0000-0000-0000E8070000}"/>
    <cellStyle name="Comma 4 2 2 2 3 9 2" xfId="13043" xr:uid="{16031704-5690-413E-BC40-5607284B1B3E}"/>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3953EC38-8538-4624-9CBC-697BC40D3FB6}"/>
    <cellStyle name="Comma 4 2 2 2 4 2 3" xfId="11381" xr:uid="{711B3295-6A21-4350-8E26-A5B758F967A5}"/>
    <cellStyle name="Comma 4 2 2 2 4 3" xfId="5015" xr:uid="{00000000-0005-0000-0000-0000EC070000}"/>
    <cellStyle name="Comma 4 2 2 2 4 3 2" xfId="13454" xr:uid="{EF879E22-6A3A-45EF-9B28-C232A28F0017}"/>
    <cellStyle name="Comma 4 2 2 2 4 4" xfId="9236" xr:uid="{71DBFE4B-19B2-45B9-AA8C-77FE0D4F42E8}"/>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4D67281A-9A1F-4E20-B132-34D1F499EBCA}"/>
    <cellStyle name="Comma 4 2 2 2 5 2 3" xfId="11794" xr:uid="{6363AE8C-5C14-4513-8AE0-64A2B7DE41DF}"/>
    <cellStyle name="Comma 4 2 2 2 5 3" xfId="5428" xr:uid="{00000000-0005-0000-0000-0000F0070000}"/>
    <cellStyle name="Comma 4 2 2 2 5 3 2" xfId="13867" xr:uid="{4EB1AF11-2EE9-4375-BFF9-D765B795EE11}"/>
    <cellStyle name="Comma 4 2 2 2 5 4" xfId="9649" xr:uid="{79E16221-184F-428F-936D-D117D8D62717}"/>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9ECE0777-AFAA-46B2-8AD8-09E6A20EA8B4}"/>
    <cellStyle name="Comma 4 2 2 2 6 2 3" xfId="12207" xr:uid="{13A65442-4B4C-42EC-BB69-6DBC4621D2AF}"/>
    <cellStyle name="Comma 4 2 2 2 6 3" xfId="5841" xr:uid="{00000000-0005-0000-0000-0000F4070000}"/>
    <cellStyle name="Comma 4 2 2 2 6 3 2" xfId="14280" xr:uid="{DC4552E7-125F-4F49-85D1-A93D4963220A}"/>
    <cellStyle name="Comma 4 2 2 2 6 4" xfId="10062" xr:uid="{20F8BC25-7DDA-4B58-AEE5-AC60FADDA5B9}"/>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57E774E4-9E20-46E8-94AD-A3E11BD112C7}"/>
    <cellStyle name="Comma 4 2 2 2 7 2 3" xfId="12620" xr:uid="{EB332642-2259-4507-8259-9C6372155DBA}"/>
    <cellStyle name="Comma 4 2 2 2 7 3" xfId="6254" xr:uid="{00000000-0005-0000-0000-0000F8070000}"/>
    <cellStyle name="Comma 4 2 2 2 7 3 2" xfId="14693" xr:uid="{33590C13-CDF3-4EEA-BD15-8EAA5D6F4B4A}"/>
    <cellStyle name="Comma 4 2 2 2 7 4" xfId="10475" xr:uid="{C162BBAC-0AB2-4E4F-AEE3-C072570ECF50}"/>
    <cellStyle name="Comma 4 2 2 2 8" xfId="2382" xr:uid="{00000000-0005-0000-0000-0000F9070000}"/>
    <cellStyle name="Comma 4 2 2 2 8 2" xfId="6667" xr:uid="{00000000-0005-0000-0000-0000FA070000}"/>
    <cellStyle name="Comma 4 2 2 2 8 2 2" xfId="15106" xr:uid="{C03E8390-805F-4E66-A66A-7EAC8BA0A53B}"/>
    <cellStyle name="Comma 4 2 2 2 8 3" xfId="10888" xr:uid="{99FB02B5-EB05-42A3-B1B8-70B6D2829516}"/>
    <cellStyle name="Comma 4 2 2 2 9" xfId="2381" xr:uid="{00000000-0005-0000-0000-0000FB070000}"/>
    <cellStyle name="Comma 4 2 2 3" xfId="132" xr:uid="{00000000-0005-0000-0000-0000FC070000}"/>
    <cellStyle name="Comma 4 2 2 3 10" xfId="4605" xr:uid="{00000000-0005-0000-0000-0000FD070000}"/>
    <cellStyle name="Comma 4 2 2 3 10 2" xfId="13044" xr:uid="{4FF55FB2-5080-41D9-BF9B-B6AD5378CA7F}"/>
    <cellStyle name="Comma 4 2 2 3 11" xfId="8826" xr:uid="{87B125FE-76BD-4853-AF46-4F6FB66211BD}"/>
    <cellStyle name="Comma 4 2 2 3 2" xfId="133" xr:uid="{00000000-0005-0000-0000-0000FE070000}"/>
    <cellStyle name="Comma 4 2 2 3 2 10" xfId="8827" xr:uid="{E03E939E-45FF-4A46-AAB9-0631EF31508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B25D89FE-6A57-4331-8216-0B59A318BB84}"/>
    <cellStyle name="Comma 4 2 2 3 2 2 2 3" xfId="11386" xr:uid="{C9329812-69CA-417C-8228-A48CD48FCD3B}"/>
    <cellStyle name="Comma 4 2 2 3 2 2 3" xfId="5020" xr:uid="{00000000-0005-0000-0000-000002080000}"/>
    <cellStyle name="Comma 4 2 2 3 2 2 3 2" xfId="13459" xr:uid="{365EFC4B-7B1B-4514-8ABC-D0752724F1CE}"/>
    <cellStyle name="Comma 4 2 2 3 2 2 4" xfId="9241" xr:uid="{A9C03232-9CC7-40F8-A07C-50F7FE8CDF80}"/>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93EBB7A3-09E0-4B04-BAFE-EE1CAEBD992F}"/>
    <cellStyle name="Comma 4 2 2 3 2 3 2 3" xfId="11799" xr:uid="{859F3FEF-C6E7-4CBF-942F-EDF68D3C3802}"/>
    <cellStyle name="Comma 4 2 2 3 2 3 3" xfId="5433" xr:uid="{00000000-0005-0000-0000-000006080000}"/>
    <cellStyle name="Comma 4 2 2 3 2 3 3 2" xfId="13872" xr:uid="{18AD5D8B-5B1E-4E4D-B181-403B9212CAA2}"/>
    <cellStyle name="Comma 4 2 2 3 2 3 4" xfId="9654" xr:uid="{1D3FA8E2-6898-45B1-8274-22F0C2B47D82}"/>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4E2E3B6F-F7EE-4241-BED9-C537C451C4EA}"/>
    <cellStyle name="Comma 4 2 2 3 2 4 2 3" xfId="12212" xr:uid="{526B76D5-8B43-4CCC-9C2F-C300A073AB79}"/>
    <cellStyle name="Comma 4 2 2 3 2 4 3" xfId="5846" xr:uid="{00000000-0005-0000-0000-00000A080000}"/>
    <cellStyle name="Comma 4 2 2 3 2 4 3 2" xfId="14285" xr:uid="{DADA34A4-F3AD-4368-BBEA-410ED489FA33}"/>
    <cellStyle name="Comma 4 2 2 3 2 4 4" xfId="10067" xr:uid="{EF409336-0DD1-4FDE-B9DD-355C0C523449}"/>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A8F4C947-BDEA-4F9D-8C43-C533BB2CB676}"/>
    <cellStyle name="Comma 4 2 2 3 2 5 2 3" xfId="12625" xr:uid="{2B736EFF-6387-413E-8985-D42880971B22}"/>
    <cellStyle name="Comma 4 2 2 3 2 5 3" xfId="6259" xr:uid="{00000000-0005-0000-0000-00000E080000}"/>
    <cellStyle name="Comma 4 2 2 3 2 5 3 2" xfId="14698" xr:uid="{7F0F86BA-FAFA-4319-838C-E7F605F4D19D}"/>
    <cellStyle name="Comma 4 2 2 3 2 5 4" xfId="10480" xr:uid="{12C18816-B614-49E1-90FF-5DB50F3B923C}"/>
    <cellStyle name="Comma 4 2 2 3 2 6" xfId="2387" xr:uid="{00000000-0005-0000-0000-00000F080000}"/>
    <cellStyle name="Comma 4 2 2 3 2 6 2" xfId="6672" xr:uid="{00000000-0005-0000-0000-000010080000}"/>
    <cellStyle name="Comma 4 2 2 3 2 6 2 2" xfId="15111" xr:uid="{A06CD320-C866-4716-BD5D-4BC368ED1AA9}"/>
    <cellStyle name="Comma 4 2 2 3 2 6 3" xfId="10893" xr:uid="{FF397D16-3246-40E6-A23B-DC0450A0EE67}"/>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A9FD4811-6347-4502-A66A-8E843DD72139}"/>
    <cellStyle name="Comma 4 2 2 3 2 8 3" xfId="11210" xr:uid="{5D2DE324-9C59-41A2-A5D4-8FC4EADD466E}"/>
    <cellStyle name="Comma 4 2 2 3 2 9" xfId="4606" xr:uid="{00000000-0005-0000-0000-000014080000}"/>
    <cellStyle name="Comma 4 2 2 3 2 9 2" xfId="13045" xr:uid="{952CBAF8-9C24-4196-B741-45A1C5AF7CEA}"/>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740C7AD5-161F-49D1-9994-972D276A278C}"/>
    <cellStyle name="Comma 4 2 2 3 3 2 3" xfId="11385" xr:uid="{132C5501-20E0-46B5-8072-2C6101BB2EFF}"/>
    <cellStyle name="Comma 4 2 2 3 3 3" xfId="5019" xr:uid="{00000000-0005-0000-0000-000018080000}"/>
    <cellStyle name="Comma 4 2 2 3 3 3 2" xfId="13458" xr:uid="{6E59B826-2BB9-48D6-931C-41BDD14DD713}"/>
    <cellStyle name="Comma 4 2 2 3 3 4" xfId="9240" xr:uid="{F53AD6EC-7B1B-445F-AE59-AFCAFA9A53AC}"/>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8D814067-505E-471F-A748-481DFF700926}"/>
    <cellStyle name="Comma 4 2 2 3 4 2 3" xfId="11798" xr:uid="{8B481F4C-8A7B-4AA5-9380-4F83F5EC0AAA}"/>
    <cellStyle name="Comma 4 2 2 3 4 3" xfId="5432" xr:uid="{00000000-0005-0000-0000-00001C080000}"/>
    <cellStyle name="Comma 4 2 2 3 4 3 2" xfId="13871" xr:uid="{FC47B2B2-7FCB-4ABB-A845-8862E53C302F}"/>
    <cellStyle name="Comma 4 2 2 3 4 4" xfId="9653" xr:uid="{28504F7F-7951-4308-BE41-63BE840AEFAD}"/>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9408DEE3-93A0-49B7-B8AA-6466D9B16257}"/>
    <cellStyle name="Comma 4 2 2 3 5 2 3" xfId="12211" xr:uid="{3B9229BE-B9EE-41BD-9482-0EFCE6220CD2}"/>
    <cellStyle name="Comma 4 2 2 3 5 3" xfId="5845" xr:uid="{00000000-0005-0000-0000-000020080000}"/>
    <cellStyle name="Comma 4 2 2 3 5 3 2" xfId="14284" xr:uid="{5D8352A0-624A-4151-A32F-1D3BE09479E1}"/>
    <cellStyle name="Comma 4 2 2 3 5 4" xfId="10066" xr:uid="{1E521430-0D03-4737-AC81-1782E507752B}"/>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B332529E-C817-4C97-8449-34F16FCA685F}"/>
    <cellStyle name="Comma 4 2 2 3 6 2 3" xfId="12624" xr:uid="{785FD64F-6039-4940-A3B5-C0CB3B990F50}"/>
    <cellStyle name="Comma 4 2 2 3 6 3" xfId="6258" xr:uid="{00000000-0005-0000-0000-000024080000}"/>
    <cellStyle name="Comma 4 2 2 3 6 3 2" xfId="14697" xr:uid="{8E007AD2-EC75-4E33-AAF2-57C2358F41C6}"/>
    <cellStyle name="Comma 4 2 2 3 6 4" xfId="10479" xr:uid="{D6943A3F-B996-4484-878A-88A73B58DCDA}"/>
    <cellStyle name="Comma 4 2 2 3 7" xfId="2386" xr:uid="{00000000-0005-0000-0000-000025080000}"/>
    <cellStyle name="Comma 4 2 2 3 7 2" xfId="6671" xr:uid="{00000000-0005-0000-0000-000026080000}"/>
    <cellStyle name="Comma 4 2 2 3 7 2 2" xfId="15110" xr:uid="{EEFD1BD8-1E2E-492E-9C25-5AFA710EBC38}"/>
    <cellStyle name="Comma 4 2 2 3 7 3" xfId="10892" xr:uid="{CD713037-F9D0-4E3F-9904-C3308D5E31A4}"/>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5DFF8E5F-D5FF-4193-A035-51DD061F2EE3}"/>
    <cellStyle name="Comma 4 2 2 3 9 3" xfId="11209" xr:uid="{DCE3E01B-B45E-4AC3-8B4F-FB7733AE688F}"/>
    <cellStyle name="Comma 4 2 2 4" xfId="134" xr:uid="{00000000-0005-0000-0000-00002A080000}"/>
    <cellStyle name="Comma 4 2 2 4 10" xfId="8828" xr:uid="{893CEEFF-723F-4539-8184-1AF31315AA7C}"/>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50E91897-3D3C-46EE-8058-45C1F6200607}"/>
    <cellStyle name="Comma 4 2 2 4 2 2 3" xfId="11387" xr:uid="{5BBFC8E6-D03D-42D6-9528-6A6483139C88}"/>
    <cellStyle name="Comma 4 2 2 4 2 3" xfId="5021" xr:uid="{00000000-0005-0000-0000-00002E080000}"/>
    <cellStyle name="Comma 4 2 2 4 2 3 2" xfId="13460" xr:uid="{D69E3D1B-14AD-473D-A383-E20C0104AE4F}"/>
    <cellStyle name="Comma 4 2 2 4 2 4" xfId="9242" xr:uid="{832705A4-7218-482A-A5FC-A7E4CC2D88A3}"/>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4116DBE8-B6CB-40E8-BD1D-1CFC4C5E8038}"/>
    <cellStyle name="Comma 4 2 2 4 3 2 3" xfId="11800" xr:uid="{EA3D738F-9AD1-43F1-9E18-9A353113BD66}"/>
    <cellStyle name="Comma 4 2 2 4 3 3" xfId="5434" xr:uid="{00000000-0005-0000-0000-000032080000}"/>
    <cellStyle name="Comma 4 2 2 4 3 3 2" xfId="13873" xr:uid="{29E7D439-74FE-4C0A-9BC6-8F9F8E098D48}"/>
    <cellStyle name="Comma 4 2 2 4 3 4" xfId="9655" xr:uid="{A368C776-AF5F-4F9B-AE44-308B4888226E}"/>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7923FE5F-245E-41EF-BFC4-2E83DF9529EC}"/>
    <cellStyle name="Comma 4 2 2 4 4 2 3" xfId="12213" xr:uid="{A7C4AC0E-F0DD-44D7-8CA2-3AEAB591F5F2}"/>
    <cellStyle name="Comma 4 2 2 4 4 3" xfId="5847" xr:uid="{00000000-0005-0000-0000-000036080000}"/>
    <cellStyle name="Comma 4 2 2 4 4 3 2" xfId="14286" xr:uid="{7DB00921-2E08-4D91-9915-08A6FF0C8D2C}"/>
    <cellStyle name="Comma 4 2 2 4 4 4" xfId="10068" xr:uid="{F5DE268E-589E-4A79-9E45-38F46B00504A}"/>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AC68E474-5099-4ABE-99DB-81235F95770C}"/>
    <cellStyle name="Comma 4 2 2 4 5 2 3" xfId="12626" xr:uid="{BFB6060B-D2B2-45A9-A680-B201BCDCA29E}"/>
    <cellStyle name="Comma 4 2 2 4 5 3" xfId="6260" xr:uid="{00000000-0005-0000-0000-00003A080000}"/>
    <cellStyle name="Comma 4 2 2 4 5 3 2" xfId="14699" xr:uid="{0DFBDA9B-6D08-4717-A888-F991E4EB3A9A}"/>
    <cellStyle name="Comma 4 2 2 4 5 4" xfId="10481" xr:uid="{A261C065-9C69-4072-9D60-32BB18C3FE1E}"/>
    <cellStyle name="Comma 4 2 2 4 6" xfId="2388" xr:uid="{00000000-0005-0000-0000-00003B080000}"/>
    <cellStyle name="Comma 4 2 2 4 6 2" xfId="6673" xr:uid="{00000000-0005-0000-0000-00003C080000}"/>
    <cellStyle name="Comma 4 2 2 4 6 2 2" xfId="15112" xr:uid="{E430294B-F08B-4B78-A7E0-9BB43FE5B681}"/>
    <cellStyle name="Comma 4 2 2 4 6 3" xfId="10894" xr:uid="{569CBA57-23C6-4643-83BB-3A16E2767C04}"/>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9FF18DB3-CDBB-44DA-A005-805440E75692}"/>
    <cellStyle name="Comma 4 2 2 4 8 3" xfId="11211" xr:uid="{4FE42982-30E0-4B8A-AAAA-64C6BB7D53F3}"/>
    <cellStyle name="Comma 4 2 2 4 9" xfId="4607" xr:uid="{00000000-0005-0000-0000-000040080000}"/>
    <cellStyle name="Comma 4 2 2 4 9 2" xfId="13046" xr:uid="{381AFF1F-DEA4-4014-A85B-A2D0F801D0A5}"/>
    <cellStyle name="Comma 4 2 2 5" xfId="135" xr:uid="{00000000-0005-0000-0000-000041080000}"/>
    <cellStyle name="Comma 4 2 2 5 10" xfId="8829" xr:uid="{16DE2EF5-475F-4266-B686-7F5BD9C24A7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005814C1-1669-4565-8F9F-1ACA2A01E954}"/>
    <cellStyle name="Comma 4 2 2 5 2 2 3" xfId="11388" xr:uid="{38543A16-7538-4AE8-8E7E-2A25BE37A4FB}"/>
    <cellStyle name="Comma 4 2 2 5 2 3" xfId="5022" xr:uid="{00000000-0005-0000-0000-000045080000}"/>
    <cellStyle name="Comma 4 2 2 5 2 3 2" xfId="13461" xr:uid="{125C342C-C3F9-4DF4-AFD4-45859F14FD24}"/>
    <cellStyle name="Comma 4 2 2 5 2 4" xfId="9243" xr:uid="{EBE4134F-A04B-40A1-BEB2-E63F24733C32}"/>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7889581E-FA9F-4C4E-93F8-D6E843606180}"/>
    <cellStyle name="Comma 4 2 2 5 3 2 3" xfId="11801" xr:uid="{66D17286-8678-4FC0-8327-53D448D7F551}"/>
    <cellStyle name="Comma 4 2 2 5 3 3" xfId="5435" xr:uid="{00000000-0005-0000-0000-000049080000}"/>
    <cellStyle name="Comma 4 2 2 5 3 3 2" xfId="13874" xr:uid="{BF4C6B16-35E9-41E1-ACD6-9B43B689BB02}"/>
    <cellStyle name="Comma 4 2 2 5 3 4" xfId="9656" xr:uid="{716478DB-E069-4661-B3AB-4A3C1CBD6C64}"/>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FE3BCC1E-9FA4-4122-B20F-9731B13904DB}"/>
    <cellStyle name="Comma 4 2 2 5 4 2 3" xfId="12214" xr:uid="{D36384F9-29DF-4155-82C3-E8E1EFAF4BBE}"/>
    <cellStyle name="Comma 4 2 2 5 4 3" xfId="5848" xr:uid="{00000000-0005-0000-0000-00004D080000}"/>
    <cellStyle name="Comma 4 2 2 5 4 3 2" xfId="14287" xr:uid="{13C0577F-9E40-4CEE-9319-B9B96E8E9CC6}"/>
    <cellStyle name="Comma 4 2 2 5 4 4" xfId="10069" xr:uid="{6839E8BB-BDE2-4165-A532-53DC0B4CFFEB}"/>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646AA528-D16C-4539-9186-9594CDB4F9D4}"/>
    <cellStyle name="Comma 4 2 2 5 5 2 3" xfId="12627" xr:uid="{F80A06F0-D2DC-4CC6-81DA-CEB0C4BB3A5F}"/>
    <cellStyle name="Comma 4 2 2 5 5 3" xfId="6261" xr:uid="{00000000-0005-0000-0000-000051080000}"/>
    <cellStyle name="Comma 4 2 2 5 5 3 2" xfId="14700" xr:uid="{F4907DAB-3F43-48D1-983F-A438A94D664B}"/>
    <cellStyle name="Comma 4 2 2 5 5 4" xfId="10482" xr:uid="{5EA0BFDD-6B71-41B0-9DAB-37FF09C8DC39}"/>
    <cellStyle name="Comma 4 2 2 5 6" xfId="2389" xr:uid="{00000000-0005-0000-0000-000052080000}"/>
    <cellStyle name="Comma 4 2 2 5 6 2" xfId="6674" xr:uid="{00000000-0005-0000-0000-000053080000}"/>
    <cellStyle name="Comma 4 2 2 5 6 2 2" xfId="15113" xr:uid="{EB796A05-58F3-4D5A-A2E8-4BC484CC048B}"/>
    <cellStyle name="Comma 4 2 2 5 6 3" xfId="10895" xr:uid="{6A503697-0284-476F-B18D-AE5115E87487}"/>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99A73D9B-F643-4CC1-80A1-77028DD376F2}"/>
    <cellStyle name="Comma 4 2 2 5 8 3" xfId="11212" xr:uid="{F7473920-4D18-4540-9A01-5B79C8373961}"/>
    <cellStyle name="Comma 4 2 2 5 9" xfId="4608" xr:uid="{00000000-0005-0000-0000-000057080000}"/>
    <cellStyle name="Comma 4 2 2 5 9 2" xfId="13047" xr:uid="{8B69B33B-A444-4859-A50E-FD1340346B36}"/>
    <cellStyle name="Comma 4 2 3" xfId="136" xr:uid="{00000000-0005-0000-0000-000058080000}"/>
    <cellStyle name="Comma 4 2 3 10" xfId="2768" xr:uid="{00000000-0005-0000-0000-000059080000}"/>
    <cellStyle name="Comma 4 2 3 10 2" xfId="6992" xr:uid="{00000000-0005-0000-0000-00005A080000}"/>
    <cellStyle name="Comma 4 2 3 10 2 2" xfId="15431" xr:uid="{8C7564F0-9BAF-4966-83D9-F9EC92D879CC}"/>
    <cellStyle name="Comma 4 2 3 10 3" xfId="11213" xr:uid="{75281A3E-EEB2-49FE-B727-7524818EC714}"/>
    <cellStyle name="Comma 4 2 3 11" xfId="4609" xr:uid="{00000000-0005-0000-0000-00005B080000}"/>
    <cellStyle name="Comma 4 2 3 11 2" xfId="13048" xr:uid="{3AA56DE5-F7C0-41C9-824D-ECA27C97D653}"/>
    <cellStyle name="Comma 4 2 3 12" xfId="8830" xr:uid="{A664B6CF-5D2B-4369-AAD4-F69A14C25FC9}"/>
    <cellStyle name="Comma 4 2 3 2" xfId="137" xr:uid="{00000000-0005-0000-0000-00005C080000}"/>
    <cellStyle name="Comma 4 2 3 2 10" xfId="4610" xr:uid="{00000000-0005-0000-0000-00005D080000}"/>
    <cellStyle name="Comma 4 2 3 2 10 2" xfId="13049" xr:uid="{CEA84494-FA73-4019-8F23-64465C2ABE94}"/>
    <cellStyle name="Comma 4 2 3 2 11" xfId="8831" xr:uid="{65E03DBB-45EF-4426-9A50-267E332B3BFE}"/>
    <cellStyle name="Comma 4 2 3 2 2" xfId="138" xr:uid="{00000000-0005-0000-0000-00005E080000}"/>
    <cellStyle name="Comma 4 2 3 2 2 10" xfId="8832" xr:uid="{159FF5DF-E968-4A77-8F67-E2569CAD2FD5}"/>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960252A2-898B-4D0E-9BBD-4B05156A7D71}"/>
    <cellStyle name="Comma 4 2 3 2 2 2 2 3" xfId="11391" xr:uid="{E84993B7-6410-4A8E-9272-68899199BA10}"/>
    <cellStyle name="Comma 4 2 3 2 2 2 3" xfId="5025" xr:uid="{00000000-0005-0000-0000-000062080000}"/>
    <cellStyle name="Comma 4 2 3 2 2 2 3 2" xfId="13464" xr:uid="{75DF6B7A-1194-4121-A771-8E8FEB036C3C}"/>
    <cellStyle name="Comma 4 2 3 2 2 2 4" xfId="9246" xr:uid="{9053A269-45A8-403C-BB55-25EEE428A2D8}"/>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95A723CA-9102-4077-B53B-4A40463BE0E9}"/>
    <cellStyle name="Comma 4 2 3 2 2 3 2 3" xfId="11804" xr:uid="{E75446A3-5903-4145-8707-1FB59F8755A6}"/>
    <cellStyle name="Comma 4 2 3 2 2 3 3" xfId="5438" xr:uid="{00000000-0005-0000-0000-000066080000}"/>
    <cellStyle name="Comma 4 2 3 2 2 3 3 2" xfId="13877" xr:uid="{596AD7C2-D220-4B6C-A6B9-05338F2B27E6}"/>
    <cellStyle name="Comma 4 2 3 2 2 3 4" xfId="9659" xr:uid="{7D6236BA-5AE0-42E3-8422-531EC5696F87}"/>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C83AE208-C91B-4893-A6E6-61CD59F02A68}"/>
    <cellStyle name="Comma 4 2 3 2 2 4 2 3" xfId="12217" xr:uid="{0D70288E-3B3C-46DF-B0D5-7CDD4E34F423}"/>
    <cellStyle name="Comma 4 2 3 2 2 4 3" xfId="5851" xr:uid="{00000000-0005-0000-0000-00006A080000}"/>
    <cellStyle name="Comma 4 2 3 2 2 4 3 2" xfId="14290" xr:uid="{C66CB28F-D796-4021-8BF3-880CB4B7F221}"/>
    <cellStyle name="Comma 4 2 3 2 2 4 4" xfId="10072" xr:uid="{B27A4097-9C9F-4E36-9AFF-2E55D55F7A9E}"/>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086A2D54-BB28-4AC3-9F5D-1162AEBC623E}"/>
    <cellStyle name="Comma 4 2 3 2 2 5 2 3" xfId="12630" xr:uid="{813DD20A-ECA6-4C13-9BB2-A3C6C48EEFC4}"/>
    <cellStyle name="Comma 4 2 3 2 2 5 3" xfId="6264" xr:uid="{00000000-0005-0000-0000-00006E080000}"/>
    <cellStyle name="Comma 4 2 3 2 2 5 3 2" xfId="14703" xr:uid="{9FC71F97-FA2B-4584-9A6E-C080C61F7C27}"/>
    <cellStyle name="Comma 4 2 3 2 2 5 4" xfId="10485" xr:uid="{1DBB7BF4-43E4-4392-B197-7F101418CE59}"/>
    <cellStyle name="Comma 4 2 3 2 2 6" xfId="2392" xr:uid="{00000000-0005-0000-0000-00006F080000}"/>
    <cellStyle name="Comma 4 2 3 2 2 6 2" xfId="6677" xr:uid="{00000000-0005-0000-0000-000070080000}"/>
    <cellStyle name="Comma 4 2 3 2 2 6 2 2" xfId="15116" xr:uid="{45D53B71-EBF6-4EA9-8964-12F7C4C6A221}"/>
    <cellStyle name="Comma 4 2 3 2 2 6 3" xfId="10898" xr:uid="{45EAAA74-9E1B-4B74-81E3-4EFBD524D0A4}"/>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539F7B6F-BA20-4587-927D-AA2A2569B14D}"/>
    <cellStyle name="Comma 4 2 3 2 2 8 3" xfId="11215" xr:uid="{72E77984-857F-465C-83C1-C417DFCE1C53}"/>
    <cellStyle name="Comma 4 2 3 2 2 9" xfId="4611" xr:uid="{00000000-0005-0000-0000-000074080000}"/>
    <cellStyle name="Comma 4 2 3 2 2 9 2" xfId="13050" xr:uid="{BB2D49EE-C74B-45D5-8046-7A615AA8F3F0}"/>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901EB0F3-3286-45EF-B5BF-917CE4D787AD}"/>
    <cellStyle name="Comma 4 2 3 2 3 2 3" xfId="11390" xr:uid="{C7ADC49F-DFC4-4059-AF6D-93B97A164FF7}"/>
    <cellStyle name="Comma 4 2 3 2 3 3" xfId="5024" xr:uid="{00000000-0005-0000-0000-000078080000}"/>
    <cellStyle name="Comma 4 2 3 2 3 3 2" xfId="13463" xr:uid="{45C1CF1E-8478-458C-B91A-4B4A5CD194E7}"/>
    <cellStyle name="Comma 4 2 3 2 3 4" xfId="9245" xr:uid="{69A14E2F-B4E0-4739-A837-DB3FD54BB905}"/>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A96C356D-E18A-4C47-AD1D-1236777E1AF0}"/>
    <cellStyle name="Comma 4 2 3 2 4 2 3" xfId="11803" xr:uid="{8F53FF0C-1358-47D8-AE32-6507CBBCED92}"/>
    <cellStyle name="Comma 4 2 3 2 4 3" xfId="5437" xr:uid="{00000000-0005-0000-0000-00007C080000}"/>
    <cellStyle name="Comma 4 2 3 2 4 3 2" xfId="13876" xr:uid="{717C5739-05EB-4513-895A-2CE21DF7CDFE}"/>
    <cellStyle name="Comma 4 2 3 2 4 4" xfId="9658" xr:uid="{10E82D21-0BDF-47DC-B308-AE697A101775}"/>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2DFD595C-9C6D-441E-B404-8D878A12339C}"/>
    <cellStyle name="Comma 4 2 3 2 5 2 3" xfId="12216" xr:uid="{0CFC6B7F-1761-466F-A179-A0B686BD9989}"/>
    <cellStyle name="Comma 4 2 3 2 5 3" xfId="5850" xr:uid="{00000000-0005-0000-0000-000080080000}"/>
    <cellStyle name="Comma 4 2 3 2 5 3 2" xfId="14289" xr:uid="{88DC6897-7255-4E93-AB28-B8A4DB913089}"/>
    <cellStyle name="Comma 4 2 3 2 5 4" xfId="10071" xr:uid="{3D489934-2877-4EAF-9946-7854731E9BB8}"/>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A2BDD7D9-7D86-4447-88ED-FC7A9E99D087}"/>
    <cellStyle name="Comma 4 2 3 2 6 2 3" xfId="12629" xr:uid="{CCD6E03B-ABF3-45F2-B1D6-F23A0CB706F6}"/>
    <cellStyle name="Comma 4 2 3 2 6 3" xfId="6263" xr:uid="{00000000-0005-0000-0000-000084080000}"/>
    <cellStyle name="Comma 4 2 3 2 6 3 2" xfId="14702" xr:uid="{1C0BB7DD-14DE-42A3-82A5-2BBD195968E2}"/>
    <cellStyle name="Comma 4 2 3 2 6 4" xfId="10484" xr:uid="{F2F3283D-015F-48B2-9D62-C5673808D195}"/>
    <cellStyle name="Comma 4 2 3 2 7" xfId="2391" xr:uid="{00000000-0005-0000-0000-000085080000}"/>
    <cellStyle name="Comma 4 2 3 2 7 2" xfId="6676" xr:uid="{00000000-0005-0000-0000-000086080000}"/>
    <cellStyle name="Comma 4 2 3 2 7 2 2" xfId="15115" xr:uid="{73F0986C-5199-4D16-ABA6-B4B4B7BF565B}"/>
    <cellStyle name="Comma 4 2 3 2 7 3" xfId="10897" xr:uid="{0482C505-9E16-4BEE-9F64-E6842403F935}"/>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85262BD5-3B43-4950-9ADB-70F73EB7819E}"/>
    <cellStyle name="Comma 4 2 3 2 9 3" xfId="11214" xr:uid="{34793FBC-2A37-4D59-8CB1-0393B25FFC54}"/>
    <cellStyle name="Comma 4 2 3 3" xfId="139" xr:uid="{00000000-0005-0000-0000-00008A080000}"/>
    <cellStyle name="Comma 4 2 3 3 10" xfId="8833" xr:uid="{EACEF7CD-7A5D-46C8-8024-21222AFF1C1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8A39C678-FB30-4E27-99F0-C27684AF6529}"/>
    <cellStyle name="Comma 4 2 3 3 2 2 3" xfId="11392" xr:uid="{40DFEFCF-E725-4899-BBE7-B74CF007B071}"/>
    <cellStyle name="Comma 4 2 3 3 2 3" xfId="5026" xr:uid="{00000000-0005-0000-0000-00008E080000}"/>
    <cellStyle name="Comma 4 2 3 3 2 3 2" xfId="13465" xr:uid="{E337EB3C-1431-47C1-899B-34F3FCFD087C}"/>
    <cellStyle name="Comma 4 2 3 3 2 4" xfId="9247" xr:uid="{95A3191A-6E30-4894-8FDF-463814BD6B29}"/>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EDF22D93-5A06-43BC-9A65-B6C97D45B515}"/>
    <cellStyle name="Comma 4 2 3 3 3 2 3" xfId="11805" xr:uid="{F34E8C1F-2804-4297-AAC1-8E36B61218E2}"/>
    <cellStyle name="Comma 4 2 3 3 3 3" xfId="5439" xr:uid="{00000000-0005-0000-0000-000092080000}"/>
    <cellStyle name="Comma 4 2 3 3 3 3 2" xfId="13878" xr:uid="{A154D963-5F44-460A-AEAE-AD2A3D765953}"/>
    <cellStyle name="Comma 4 2 3 3 3 4" xfId="9660" xr:uid="{DB694A20-A1C7-4E9B-A18E-9C49D0C2EDC0}"/>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B46993A0-182A-48CD-92DD-8981AA55156D}"/>
    <cellStyle name="Comma 4 2 3 3 4 2 3" xfId="12218" xr:uid="{3C67A9AA-A730-4F8A-8A79-3E54F68D5546}"/>
    <cellStyle name="Comma 4 2 3 3 4 3" xfId="5852" xr:uid="{00000000-0005-0000-0000-000096080000}"/>
    <cellStyle name="Comma 4 2 3 3 4 3 2" xfId="14291" xr:uid="{5429EF8A-9E39-40EA-B6FD-5EA7D840CB74}"/>
    <cellStyle name="Comma 4 2 3 3 4 4" xfId="10073" xr:uid="{047DF66D-977C-474D-8AC6-5E248919205A}"/>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719585F3-3631-4FB9-85F6-CAED877D215D}"/>
    <cellStyle name="Comma 4 2 3 3 5 2 3" xfId="12631" xr:uid="{BD27AF27-A166-49E7-857C-9A2DA99943A0}"/>
    <cellStyle name="Comma 4 2 3 3 5 3" xfId="6265" xr:uid="{00000000-0005-0000-0000-00009A080000}"/>
    <cellStyle name="Comma 4 2 3 3 5 3 2" xfId="14704" xr:uid="{00381F96-07DC-4878-A3D7-8EEA21224FEA}"/>
    <cellStyle name="Comma 4 2 3 3 5 4" xfId="10486" xr:uid="{A35C0E75-0651-497A-A852-738F6A5C549A}"/>
    <cellStyle name="Comma 4 2 3 3 6" xfId="2393" xr:uid="{00000000-0005-0000-0000-00009B080000}"/>
    <cellStyle name="Comma 4 2 3 3 6 2" xfId="6678" xr:uid="{00000000-0005-0000-0000-00009C080000}"/>
    <cellStyle name="Comma 4 2 3 3 6 2 2" xfId="15117" xr:uid="{4601152C-5780-4750-9DA3-83F8300D34F1}"/>
    <cellStyle name="Comma 4 2 3 3 6 3" xfId="10899" xr:uid="{DE0607BC-A6AD-463D-AB52-601F285DACB2}"/>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6A909F0E-37FF-4BE4-8B27-8E68A4C1A564}"/>
    <cellStyle name="Comma 4 2 3 3 8 3" xfId="11216" xr:uid="{CFB1F51A-5D23-4066-8B36-73A6F2722F12}"/>
    <cellStyle name="Comma 4 2 3 3 9" xfId="4612" xr:uid="{00000000-0005-0000-0000-0000A0080000}"/>
    <cellStyle name="Comma 4 2 3 3 9 2" xfId="13051" xr:uid="{D1CFDE31-5FD6-40E2-ADEF-580B3F6F101A}"/>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AB57F558-5E11-4590-A472-FA60F0FAE90F}"/>
    <cellStyle name="Comma 4 2 3 4 2 3" xfId="11389" xr:uid="{BB889A28-7AE1-4599-91D7-6CB2A06C8D95}"/>
    <cellStyle name="Comma 4 2 3 4 3" xfId="5023" xr:uid="{00000000-0005-0000-0000-0000A4080000}"/>
    <cellStyle name="Comma 4 2 3 4 3 2" xfId="13462" xr:uid="{FCC8D7D5-CC76-4A69-83AB-A85C8C6F7E62}"/>
    <cellStyle name="Comma 4 2 3 4 4" xfId="9244" xr:uid="{565A0982-0BED-451F-B0CF-E75AB680B6FF}"/>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373F970A-8443-4129-AB12-029336D9869D}"/>
    <cellStyle name="Comma 4 2 3 5 2 3" xfId="11802" xr:uid="{D4BFBA32-6379-479F-BABA-BA8BD3EC20CA}"/>
    <cellStyle name="Comma 4 2 3 5 3" xfId="5436" xr:uid="{00000000-0005-0000-0000-0000A8080000}"/>
    <cellStyle name="Comma 4 2 3 5 3 2" xfId="13875" xr:uid="{EF24EC53-F7F6-4ECF-8043-1C83B196DFE9}"/>
    <cellStyle name="Comma 4 2 3 5 4" xfId="9657" xr:uid="{3BA548EB-305D-469B-A651-B832A7072AAD}"/>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902923D2-4BB7-42E3-AD03-4C6AB37C435C}"/>
    <cellStyle name="Comma 4 2 3 6 2 3" xfId="12215" xr:uid="{52627964-1D5F-41D9-8E24-1015E084DC16}"/>
    <cellStyle name="Comma 4 2 3 6 3" xfId="5849" xr:uid="{00000000-0005-0000-0000-0000AC080000}"/>
    <cellStyle name="Comma 4 2 3 6 3 2" xfId="14288" xr:uid="{627D7189-0FF1-4DDE-AF0A-BF0C27120CFF}"/>
    <cellStyle name="Comma 4 2 3 6 4" xfId="10070" xr:uid="{33CF996C-1A06-4E1C-A70C-4C5BAFE15FDD}"/>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A37F8E19-90C3-449B-9CF7-849860E57B68}"/>
    <cellStyle name="Comma 4 2 3 7 2 3" xfId="12628" xr:uid="{EEB92F52-B545-40A3-8B4B-9680455D38B0}"/>
    <cellStyle name="Comma 4 2 3 7 3" xfId="6262" xr:uid="{00000000-0005-0000-0000-0000B0080000}"/>
    <cellStyle name="Comma 4 2 3 7 3 2" xfId="14701" xr:uid="{EA3853B4-DE01-4652-928B-02E965C33D29}"/>
    <cellStyle name="Comma 4 2 3 7 4" xfId="10483" xr:uid="{5CCE1C87-77F3-4630-A0BC-CF45163BF016}"/>
    <cellStyle name="Comma 4 2 3 8" xfId="2390" xr:uid="{00000000-0005-0000-0000-0000B1080000}"/>
    <cellStyle name="Comma 4 2 3 8 2" xfId="6675" xr:uid="{00000000-0005-0000-0000-0000B2080000}"/>
    <cellStyle name="Comma 4 2 3 8 2 2" xfId="15114" xr:uid="{3B20982E-8E75-4F78-B040-D8AED5AE3ED8}"/>
    <cellStyle name="Comma 4 2 3 8 3" xfId="10896" xr:uid="{0F9DB365-7777-4E4E-9EA1-EA7884E83ADD}"/>
    <cellStyle name="Comma 4 2 3 9" xfId="2373" xr:uid="{00000000-0005-0000-0000-0000B3080000}"/>
    <cellStyle name="Comma 4 2 4" xfId="140" xr:uid="{00000000-0005-0000-0000-0000B4080000}"/>
    <cellStyle name="Comma 4 2 4 10" xfId="4613" xr:uid="{00000000-0005-0000-0000-0000B5080000}"/>
    <cellStyle name="Comma 4 2 4 10 2" xfId="13052" xr:uid="{1B638E95-D017-4BA8-A74E-CCDCC137A10D}"/>
    <cellStyle name="Comma 4 2 4 11" xfId="8834" xr:uid="{CD4563DB-5BAC-4D31-B42C-EBF5456F7CE5}"/>
    <cellStyle name="Comma 4 2 4 2" xfId="141" xr:uid="{00000000-0005-0000-0000-0000B6080000}"/>
    <cellStyle name="Comma 4 2 4 2 10" xfId="8835" xr:uid="{C0999651-1089-4A2D-A65A-CABF14F0051A}"/>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D535AB83-4CE1-4ABB-AB0B-941F4F79C24C}"/>
    <cellStyle name="Comma 4 2 4 2 2 2 3" xfId="11394" xr:uid="{7654E566-2E61-4FAA-854D-F7780E4173BF}"/>
    <cellStyle name="Comma 4 2 4 2 2 3" xfId="5028" xr:uid="{00000000-0005-0000-0000-0000BA080000}"/>
    <cellStyle name="Comma 4 2 4 2 2 3 2" xfId="13467" xr:uid="{109D52BD-C47C-4FD2-BEB5-46F4229728FE}"/>
    <cellStyle name="Comma 4 2 4 2 2 4" xfId="9249" xr:uid="{7607D978-226E-40E9-81BC-1A2873DE1A43}"/>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A5C70188-C6D5-4742-80A1-389E844F053A}"/>
    <cellStyle name="Comma 4 2 4 2 3 2 3" xfId="11807" xr:uid="{72E3F843-B27F-490D-93D6-DC362EE344DA}"/>
    <cellStyle name="Comma 4 2 4 2 3 3" xfId="5441" xr:uid="{00000000-0005-0000-0000-0000BE080000}"/>
    <cellStyle name="Comma 4 2 4 2 3 3 2" xfId="13880" xr:uid="{9157D9F7-9917-498D-A6DF-4B9C2BA051D2}"/>
    <cellStyle name="Comma 4 2 4 2 3 4" xfId="9662" xr:uid="{F4AAFB8B-C55F-42D3-BA89-185D8F1E10A9}"/>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C13B81FF-AA2A-4885-AD46-BA744BA8E0A1}"/>
    <cellStyle name="Comma 4 2 4 2 4 2 3" xfId="12220" xr:uid="{1CA044F5-C54F-4421-A78B-C87C323F29E9}"/>
    <cellStyle name="Comma 4 2 4 2 4 3" xfId="5854" xr:uid="{00000000-0005-0000-0000-0000C2080000}"/>
    <cellStyle name="Comma 4 2 4 2 4 3 2" xfId="14293" xr:uid="{7C76DADB-FAB5-470D-9BDC-A33EF23AE160}"/>
    <cellStyle name="Comma 4 2 4 2 4 4" xfId="10075" xr:uid="{C61E777D-D801-4EA1-9CDE-6DE6A257B2FA}"/>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E753F91F-5322-4EF8-ABBB-57D97294BBA2}"/>
    <cellStyle name="Comma 4 2 4 2 5 2 3" xfId="12633" xr:uid="{B82C8436-5AEF-4052-AF8E-BF93969C451E}"/>
    <cellStyle name="Comma 4 2 4 2 5 3" xfId="6267" xr:uid="{00000000-0005-0000-0000-0000C6080000}"/>
    <cellStyle name="Comma 4 2 4 2 5 3 2" xfId="14706" xr:uid="{D15ABA38-460F-4A82-8CF3-C057706EE0E5}"/>
    <cellStyle name="Comma 4 2 4 2 5 4" xfId="10488" xr:uid="{68BA53C8-F7B5-493D-98B3-5FB009985420}"/>
    <cellStyle name="Comma 4 2 4 2 6" xfId="2395" xr:uid="{00000000-0005-0000-0000-0000C7080000}"/>
    <cellStyle name="Comma 4 2 4 2 6 2" xfId="6680" xr:uid="{00000000-0005-0000-0000-0000C8080000}"/>
    <cellStyle name="Comma 4 2 4 2 6 2 2" xfId="15119" xr:uid="{0BF95549-9A30-4958-867F-48679CAF6C9C}"/>
    <cellStyle name="Comma 4 2 4 2 6 3" xfId="10901" xr:uid="{220335B2-7E28-4E88-A93D-A9A3246E5B70}"/>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C18EFD5D-B7E0-4490-AFBA-5E2B8330F785}"/>
    <cellStyle name="Comma 4 2 4 2 8 3" xfId="11218" xr:uid="{D8CAD916-2237-48C3-AA63-CD0383621A6C}"/>
    <cellStyle name="Comma 4 2 4 2 9" xfId="4614" xr:uid="{00000000-0005-0000-0000-0000CC080000}"/>
    <cellStyle name="Comma 4 2 4 2 9 2" xfId="13053" xr:uid="{D628ACCA-7A94-4D62-8AE6-9E207EE8F67D}"/>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52A4014E-ECCF-4BA1-8CB4-84BCB9ED305F}"/>
    <cellStyle name="Comma 4 2 4 3 2 3" xfId="11393" xr:uid="{5C6989CC-0261-403F-BEB8-921610555E04}"/>
    <cellStyle name="Comma 4 2 4 3 3" xfId="5027" xr:uid="{00000000-0005-0000-0000-0000D0080000}"/>
    <cellStyle name="Comma 4 2 4 3 3 2" xfId="13466" xr:uid="{BF8D5E3E-2C28-4A13-ADAA-BD3CD319C69E}"/>
    <cellStyle name="Comma 4 2 4 3 4" xfId="9248" xr:uid="{FC23C90E-2ACA-47DF-98CB-A3010F871AF8}"/>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9AF3D352-DA27-4C11-AF1C-EB0DED421111}"/>
    <cellStyle name="Comma 4 2 4 4 2 3" xfId="11806" xr:uid="{C207D546-8969-4781-B660-863B76635B6A}"/>
    <cellStyle name="Comma 4 2 4 4 3" xfId="5440" xr:uid="{00000000-0005-0000-0000-0000D4080000}"/>
    <cellStyle name="Comma 4 2 4 4 3 2" xfId="13879" xr:uid="{98C5D203-6438-41D1-81CD-839FDED57F43}"/>
    <cellStyle name="Comma 4 2 4 4 4" xfId="9661" xr:uid="{AC8CF7C1-AC60-431F-AEEB-6AE0596DFB64}"/>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B3A916F2-982A-4FF5-AD6D-3C9DFF20089B}"/>
    <cellStyle name="Comma 4 2 4 5 2 3" xfId="12219" xr:uid="{4BBEBC92-77E2-41A5-A9BA-EBD1C6720888}"/>
    <cellStyle name="Comma 4 2 4 5 3" xfId="5853" xr:uid="{00000000-0005-0000-0000-0000D8080000}"/>
    <cellStyle name="Comma 4 2 4 5 3 2" xfId="14292" xr:uid="{D8351743-1799-4586-80D9-B18127E0463A}"/>
    <cellStyle name="Comma 4 2 4 5 4" xfId="10074" xr:uid="{9BFB49FD-A674-43D1-8BE9-D4E5EFF42596}"/>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643BD24C-8A7A-4A3F-998D-F343693978F1}"/>
    <cellStyle name="Comma 4 2 4 6 2 3" xfId="12632" xr:uid="{E07D626E-38A2-4D7B-ACF7-787B79BDA92A}"/>
    <cellStyle name="Comma 4 2 4 6 3" xfId="6266" xr:uid="{00000000-0005-0000-0000-0000DC080000}"/>
    <cellStyle name="Comma 4 2 4 6 3 2" xfId="14705" xr:uid="{6585AB98-60E9-4D29-AC16-A9C5F56D9B90}"/>
    <cellStyle name="Comma 4 2 4 6 4" xfId="10487" xr:uid="{AD6B6B8D-25D9-428C-B0AB-DBCE0746789D}"/>
    <cellStyle name="Comma 4 2 4 7" xfId="2394" xr:uid="{00000000-0005-0000-0000-0000DD080000}"/>
    <cellStyle name="Comma 4 2 4 7 2" xfId="6679" xr:uid="{00000000-0005-0000-0000-0000DE080000}"/>
    <cellStyle name="Comma 4 2 4 7 2 2" xfId="15118" xr:uid="{5207914C-8706-4E1D-9F83-67A0EE9D9A49}"/>
    <cellStyle name="Comma 4 2 4 7 3" xfId="10900" xr:uid="{44D8BA6C-F36D-4E1C-8426-23EE64BD0CEE}"/>
    <cellStyle name="Comma 4 2 4 8" xfId="2369" xr:uid="{00000000-0005-0000-0000-0000DF080000}"/>
    <cellStyle name="Comma 4 2 4 9" xfId="2772" xr:uid="{00000000-0005-0000-0000-0000E0080000}"/>
    <cellStyle name="Comma 4 2 4 9 2" xfId="6996" xr:uid="{00000000-0005-0000-0000-0000E1080000}"/>
    <cellStyle name="Comma 4 2 4 9 2 2" xfId="15435" xr:uid="{170CC8D9-A7F4-4B60-8273-25ABD7A92416}"/>
    <cellStyle name="Comma 4 2 4 9 3" xfId="11217" xr:uid="{0F03A0BB-E682-4215-B2E1-F86E6450EDC8}"/>
    <cellStyle name="Comma 4 2 5" xfId="142" xr:uid="{00000000-0005-0000-0000-0000E2080000}"/>
    <cellStyle name="Comma 4 2 5 10" xfId="8836" xr:uid="{84C3F7D9-460B-473B-8275-5D0E62CE4035}"/>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2622FFA1-26D9-47A5-9BCF-C50F7BA8B2FA}"/>
    <cellStyle name="Comma 4 2 5 2 2 3" xfId="11395" xr:uid="{368EDFA8-3F4F-4A8F-9079-FB00C80AD046}"/>
    <cellStyle name="Comma 4 2 5 2 3" xfId="5029" xr:uid="{00000000-0005-0000-0000-0000E6080000}"/>
    <cellStyle name="Comma 4 2 5 2 3 2" xfId="13468" xr:uid="{A6A228D9-EA04-4A2E-B794-676B18952B03}"/>
    <cellStyle name="Comma 4 2 5 2 4" xfId="9250" xr:uid="{36843F01-A68B-4981-B966-02CE3576D085}"/>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66B16825-44EA-49BB-BDBF-BAA1444C0339}"/>
    <cellStyle name="Comma 4 2 5 3 2 3" xfId="11808" xr:uid="{2B552934-7B14-464D-A4BF-D1647EE50D38}"/>
    <cellStyle name="Comma 4 2 5 3 3" xfId="5442" xr:uid="{00000000-0005-0000-0000-0000EA080000}"/>
    <cellStyle name="Comma 4 2 5 3 3 2" xfId="13881" xr:uid="{69B1C09C-2037-464F-9F11-52BCC42BFC3E}"/>
    <cellStyle name="Comma 4 2 5 3 4" xfId="9663" xr:uid="{5B0B1487-F33F-44B2-802E-BCB9D0E83D21}"/>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13219D28-63C0-4AA9-BE27-B55564CE2BB1}"/>
    <cellStyle name="Comma 4 2 5 4 2 3" xfId="12221" xr:uid="{AAB3A1D9-7BD4-4F65-9D7C-C24C5BB1B319}"/>
    <cellStyle name="Comma 4 2 5 4 3" xfId="5855" xr:uid="{00000000-0005-0000-0000-0000EE080000}"/>
    <cellStyle name="Comma 4 2 5 4 3 2" xfId="14294" xr:uid="{60B2B610-4F9C-44C6-ACA2-8DE6379B81F9}"/>
    <cellStyle name="Comma 4 2 5 4 4" xfId="10076" xr:uid="{0C55D948-FCDE-4048-9342-F3D1FCA9434F}"/>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4FE3352C-8895-4EA2-8F07-15A5C708C2C8}"/>
    <cellStyle name="Comma 4 2 5 5 2 3" xfId="12634" xr:uid="{D05E8F5A-266E-46EA-8C16-C5596EF94563}"/>
    <cellStyle name="Comma 4 2 5 5 3" xfId="6268" xr:uid="{00000000-0005-0000-0000-0000F2080000}"/>
    <cellStyle name="Comma 4 2 5 5 3 2" xfId="14707" xr:uid="{8A7B7A63-18CE-4D0E-A8BA-CA8F3E43967E}"/>
    <cellStyle name="Comma 4 2 5 5 4" xfId="10489" xr:uid="{9E8E9FF4-78A4-49BA-886D-9AEBC6DA443A}"/>
    <cellStyle name="Comma 4 2 5 6" xfId="2396" xr:uid="{00000000-0005-0000-0000-0000F3080000}"/>
    <cellStyle name="Comma 4 2 5 6 2" xfId="6681" xr:uid="{00000000-0005-0000-0000-0000F4080000}"/>
    <cellStyle name="Comma 4 2 5 6 2 2" xfId="15120" xr:uid="{D8C64765-7480-4CA8-B95E-70649FF8743B}"/>
    <cellStyle name="Comma 4 2 5 6 3" xfId="10902" xr:uid="{4CF0AB5C-4475-4841-A7B6-B54E5C5E5BF6}"/>
    <cellStyle name="Comma 4 2 5 7" xfId="2367" xr:uid="{00000000-0005-0000-0000-0000F5080000}"/>
    <cellStyle name="Comma 4 2 5 8" xfId="2774" xr:uid="{00000000-0005-0000-0000-0000F6080000}"/>
    <cellStyle name="Comma 4 2 5 8 2" xfId="6998" xr:uid="{00000000-0005-0000-0000-0000F7080000}"/>
    <cellStyle name="Comma 4 2 5 8 2 2" xfId="15437" xr:uid="{98700A96-84EB-41A0-8ECC-F54A3912846C}"/>
    <cellStyle name="Comma 4 2 5 8 3" xfId="11219" xr:uid="{F84A87D4-F4F7-44C1-9FDD-D80DA00FBBF7}"/>
    <cellStyle name="Comma 4 2 5 9" xfId="4615" xr:uid="{00000000-0005-0000-0000-0000F8080000}"/>
    <cellStyle name="Comma 4 2 5 9 2" xfId="13054" xr:uid="{9341AAC1-BF87-4E0E-BD2F-7EC395A8A11E}"/>
    <cellStyle name="Comma 4 2 6" xfId="143" xr:uid="{00000000-0005-0000-0000-0000F9080000}"/>
    <cellStyle name="Comma 4 2 6 10" xfId="8837" xr:uid="{A8EE6DD9-7911-4A47-897F-53ACDFECA72A}"/>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1E4CE18F-BCE2-4AF3-A426-4ECAF09EC1A7}"/>
    <cellStyle name="Comma 4 2 6 2 2 3" xfId="11396" xr:uid="{DE5B66C3-1197-48B0-8C35-E648AC9A9DBE}"/>
    <cellStyle name="Comma 4 2 6 2 3" xfId="5030" xr:uid="{00000000-0005-0000-0000-0000FD080000}"/>
    <cellStyle name="Comma 4 2 6 2 3 2" xfId="13469" xr:uid="{4975AD8D-D6ED-4211-82F1-E8BA4DE4F34F}"/>
    <cellStyle name="Comma 4 2 6 2 4" xfId="9251" xr:uid="{60B23511-A33C-4ACC-88E1-21CAF9BB8D95}"/>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40B238A3-6690-4054-93A0-F9D07DD8C1FC}"/>
    <cellStyle name="Comma 4 2 6 3 2 3" xfId="11809" xr:uid="{13A0A6D2-789C-41D6-878F-25DA0EE1F564}"/>
    <cellStyle name="Comma 4 2 6 3 3" xfId="5443" xr:uid="{00000000-0005-0000-0000-000001090000}"/>
    <cellStyle name="Comma 4 2 6 3 3 2" xfId="13882" xr:uid="{8B11A4F0-7692-4D7A-8097-C16632E0E28B}"/>
    <cellStyle name="Comma 4 2 6 3 4" xfId="9664" xr:uid="{DD1DCA89-0F6C-4EA7-978F-A92F03403BAD}"/>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1591C9A7-0423-4F8F-9D18-7F19A4E48DDD}"/>
    <cellStyle name="Comma 4 2 6 4 2 3" xfId="12222" xr:uid="{89A8AF3D-1C13-4720-979C-19BA8A6B3FDC}"/>
    <cellStyle name="Comma 4 2 6 4 3" xfId="5856" xr:uid="{00000000-0005-0000-0000-000005090000}"/>
    <cellStyle name="Comma 4 2 6 4 3 2" xfId="14295" xr:uid="{EBD0D848-D570-45CF-A92D-49F1C845B1BD}"/>
    <cellStyle name="Comma 4 2 6 4 4" xfId="10077" xr:uid="{1EF17B88-B1DB-4950-AB69-1BF72AEB6345}"/>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E691102E-3BB2-49C3-A655-17F38091F632}"/>
    <cellStyle name="Comma 4 2 6 5 2 3" xfId="12635" xr:uid="{DDE1A1E2-23B2-4E98-ADAC-04B95483B760}"/>
    <cellStyle name="Comma 4 2 6 5 3" xfId="6269" xr:uid="{00000000-0005-0000-0000-000009090000}"/>
    <cellStyle name="Comma 4 2 6 5 3 2" xfId="14708" xr:uid="{8E13E4AE-CD73-42A9-9949-AF37C3A36C03}"/>
    <cellStyle name="Comma 4 2 6 5 4" xfId="10490" xr:uid="{C592BD7A-8A2A-4E2A-9108-5F9E3CB97012}"/>
    <cellStyle name="Comma 4 2 6 6" xfId="2397" xr:uid="{00000000-0005-0000-0000-00000A090000}"/>
    <cellStyle name="Comma 4 2 6 6 2" xfId="6682" xr:uid="{00000000-0005-0000-0000-00000B090000}"/>
    <cellStyle name="Comma 4 2 6 6 2 2" xfId="15121" xr:uid="{0C6C3905-F273-4373-ADFC-E59716F4CE1A}"/>
    <cellStyle name="Comma 4 2 6 6 3" xfId="10903" xr:uid="{371FF7B5-C142-4A48-9D1D-BB20930A781C}"/>
    <cellStyle name="Comma 4 2 6 7" xfId="2366" xr:uid="{00000000-0005-0000-0000-00000C090000}"/>
    <cellStyle name="Comma 4 2 6 8" xfId="2775" xr:uid="{00000000-0005-0000-0000-00000D090000}"/>
    <cellStyle name="Comma 4 2 6 8 2" xfId="6999" xr:uid="{00000000-0005-0000-0000-00000E090000}"/>
    <cellStyle name="Comma 4 2 6 8 2 2" xfId="15438" xr:uid="{F11E547E-F981-44EE-9C16-7323B049D031}"/>
    <cellStyle name="Comma 4 2 6 8 3" xfId="11220" xr:uid="{7D436F44-4456-4301-A774-F1577ABCD0B1}"/>
    <cellStyle name="Comma 4 2 6 9" xfId="4616" xr:uid="{00000000-0005-0000-0000-00000F090000}"/>
    <cellStyle name="Comma 4 2 6 9 2" xfId="13055" xr:uid="{F57855F4-CF09-46FA-8C46-55BB0BD6362B}"/>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D164F2D9-99C4-484A-AE1E-01BE24FCFA83}"/>
    <cellStyle name="Comma 4 3 2 10 3" xfId="11221" xr:uid="{600064CB-AE83-4EB8-91A5-CEB9191808ED}"/>
    <cellStyle name="Comma 4 3 2 11" xfId="4617" xr:uid="{00000000-0005-0000-0000-000014090000}"/>
    <cellStyle name="Comma 4 3 2 11 2" xfId="13056" xr:uid="{474C3F92-19DF-4669-ABD9-358F6311299F}"/>
    <cellStyle name="Comma 4 3 2 12" xfId="8838" xr:uid="{97F047B6-27C1-4EFA-8ECE-DBD1F94AB2A2}"/>
    <cellStyle name="Comma 4 3 2 2" xfId="146" xr:uid="{00000000-0005-0000-0000-000015090000}"/>
    <cellStyle name="Comma 4 3 2 2 10" xfId="4618" xr:uid="{00000000-0005-0000-0000-000016090000}"/>
    <cellStyle name="Comma 4 3 2 2 10 2" xfId="13057" xr:uid="{B89263BB-666C-42A4-812B-95FD7F62627C}"/>
    <cellStyle name="Comma 4 3 2 2 11" xfId="8839" xr:uid="{FF79B68B-0E45-4EC6-A376-9B556603FDCD}"/>
    <cellStyle name="Comma 4 3 2 2 2" xfId="147" xr:uid="{00000000-0005-0000-0000-000017090000}"/>
    <cellStyle name="Comma 4 3 2 2 2 10" xfId="8840" xr:uid="{7694130F-A3C0-45E6-890B-337D9EA1477D}"/>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777984A3-92AB-4F88-AED8-5B443ED6F850}"/>
    <cellStyle name="Comma 4 3 2 2 2 2 2 3" xfId="11399" xr:uid="{2F844DAF-25F2-4EB7-80C6-D9D35FED2995}"/>
    <cellStyle name="Comma 4 3 2 2 2 2 3" xfId="5033" xr:uid="{00000000-0005-0000-0000-00001B090000}"/>
    <cellStyle name="Comma 4 3 2 2 2 2 3 2" xfId="13472" xr:uid="{AC4AA270-C5AE-4842-B0C1-9D18714A21E8}"/>
    <cellStyle name="Comma 4 3 2 2 2 2 4" xfId="9254" xr:uid="{1C4FD4B0-D0AA-481A-8BF4-D43063E04ABF}"/>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EB76226B-16AD-4733-9DD0-CD62C75C78E7}"/>
    <cellStyle name="Comma 4 3 2 2 2 3 2 3" xfId="11812" xr:uid="{0B75D264-4096-422B-9527-97F75694D85A}"/>
    <cellStyle name="Comma 4 3 2 2 2 3 3" xfId="5446" xr:uid="{00000000-0005-0000-0000-00001F090000}"/>
    <cellStyle name="Comma 4 3 2 2 2 3 3 2" xfId="13885" xr:uid="{BE059896-D77E-4A7F-8E7C-57CB862D6009}"/>
    <cellStyle name="Comma 4 3 2 2 2 3 4" xfId="9667" xr:uid="{EDBC6E7B-57BA-418B-8768-0A1030E1D965}"/>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9903F46A-6554-4DE8-82C1-3A77B9AF5903}"/>
    <cellStyle name="Comma 4 3 2 2 2 4 2 3" xfId="12225" xr:uid="{F8B15493-E712-44AA-8240-108F4DFBC2F8}"/>
    <cellStyle name="Comma 4 3 2 2 2 4 3" xfId="5859" xr:uid="{00000000-0005-0000-0000-000023090000}"/>
    <cellStyle name="Comma 4 3 2 2 2 4 3 2" xfId="14298" xr:uid="{DD6A74EF-8B14-46A7-9CAB-F02E2044DE7B}"/>
    <cellStyle name="Comma 4 3 2 2 2 4 4" xfId="10080" xr:uid="{F3552C35-C404-48D0-9353-A8D0B2AE12FE}"/>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EA6685C2-4EA9-48CD-95AD-C607B9D63080}"/>
    <cellStyle name="Comma 4 3 2 2 2 5 2 3" xfId="12638" xr:uid="{F7F07FB2-B583-476A-AD73-B66E1D23221A}"/>
    <cellStyle name="Comma 4 3 2 2 2 5 3" xfId="6272" xr:uid="{00000000-0005-0000-0000-000027090000}"/>
    <cellStyle name="Comma 4 3 2 2 2 5 3 2" xfId="14711" xr:uid="{8B919D55-20BF-47A4-AAE4-08F86D7A374C}"/>
    <cellStyle name="Comma 4 3 2 2 2 5 4" xfId="10493" xr:uid="{8697AAFF-B90B-43EB-B162-3ADDD9B1AC41}"/>
    <cellStyle name="Comma 4 3 2 2 2 6" xfId="2400" xr:uid="{00000000-0005-0000-0000-000028090000}"/>
    <cellStyle name="Comma 4 3 2 2 2 6 2" xfId="6685" xr:uid="{00000000-0005-0000-0000-000029090000}"/>
    <cellStyle name="Comma 4 3 2 2 2 6 2 2" xfId="15124" xr:uid="{E1CB4D4E-05F8-4A82-A1E3-C05D429B2003}"/>
    <cellStyle name="Comma 4 3 2 2 2 6 3" xfId="10906" xr:uid="{243D85A8-2A20-49E6-B24B-2E64C6A7A1E2}"/>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D2E9BD7E-E03C-4172-ACB3-7AC57CA682C1}"/>
    <cellStyle name="Comma 4 3 2 2 2 8 3" xfId="11223" xr:uid="{C1A373C7-5553-43EA-B30D-E2E230D7A128}"/>
    <cellStyle name="Comma 4 3 2 2 2 9" xfId="4619" xr:uid="{00000000-0005-0000-0000-00002D090000}"/>
    <cellStyle name="Comma 4 3 2 2 2 9 2" xfId="13058" xr:uid="{B3AECCE7-CF05-47D2-AB4D-4594077394F1}"/>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43A9E382-FD97-47C0-823B-537BA3AEDAE2}"/>
    <cellStyle name="Comma 4 3 2 2 3 2 3" xfId="11398" xr:uid="{09EF1E58-22A9-4D58-A297-B3B322C2F25B}"/>
    <cellStyle name="Comma 4 3 2 2 3 3" xfId="5032" xr:uid="{00000000-0005-0000-0000-000031090000}"/>
    <cellStyle name="Comma 4 3 2 2 3 3 2" xfId="13471" xr:uid="{38984FE3-2CF5-439A-B55B-D501BC2E27A3}"/>
    <cellStyle name="Comma 4 3 2 2 3 4" xfId="9253" xr:uid="{195B44A9-48B4-4586-8ABA-51A8D1F34FF7}"/>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4E840A68-CD67-4A9D-A301-8E646CB3C708}"/>
    <cellStyle name="Comma 4 3 2 2 4 2 3" xfId="11811" xr:uid="{4B9D50FE-51F1-4A03-9471-349EDC97F205}"/>
    <cellStyle name="Comma 4 3 2 2 4 3" xfId="5445" xr:uid="{00000000-0005-0000-0000-000035090000}"/>
    <cellStyle name="Comma 4 3 2 2 4 3 2" xfId="13884" xr:uid="{63CFA441-C30D-49CA-A240-C41A3279441D}"/>
    <cellStyle name="Comma 4 3 2 2 4 4" xfId="9666" xr:uid="{0F5728FA-692C-420E-BF1C-5C048E991977}"/>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CB410E72-4EDA-48A2-A101-17C6C917D0BC}"/>
    <cellStyle name="Comma 4 3 2 2 5 2 3" xfId="12224" xr:uid="{882A1E82-77DB-4A46-9D09-F3BE2B4A7534}"/>
    <cellStyle name="Comma 4 3 2 2 5 3" xfId="5858" xr:uid="{00000000-0005-0000-0000-000039090000}"/>
    <cellStyle name="Comma 4 3 2 2 5 3 2" xfId="14297" xr:uid="{61F0340E-BD35-4002-8BDA-3A53AB355757}"/>
    <cellStyle name="Comma 4 3 2 2 5 4" xfId="10079" xr:uid="{B1D2C462-8807-41DF-A798-556C8308124A}"/>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3F2CCCFB-3EC1-4DBF-A54D-BEE9DE20E4A2}"/>
    <cellStyle name="Comma 4 3 2 2 6 2 3" xfId="12637" xr:uid="{5F7FD9DB-AF81-4B77-9F72-DCFA07141129}"/>
    <cellStyle name="Comma 4 3 2 2 6 3" xfId="6271" xr:uid="{00000000-0005-0000-0000-00003D090000}"/>
    <cellStyle name="Comma 4 3 2 2 6 3 2" xfId="14710" xr:uid="{553C2429-053A-48CF-8563-70FBABE7A894}"/>
    <cellStyle name="Comma 4 3 2 2 6 4" xfId="10492" xr:uid="{209EDBA5-827A-42F7-B5B0-A9C110C605D4}"/>
    <cellStyle name="Comma 4 3 2 2 7" xfId="2399" xr:uid="{00000000-0005-0000-0000-00003E090000}"/>
    <cellStyle name="Comma 4 3 2 2 7 2" xfId="6684" xr:uid="{00000000-0005-0000-0000-00003F090000}"/>
    <cellStyle name="Comma 4 3 2 2 7 2 2" xfId="15123" xr:uid="{420C0A3A-6338-404C-B5CD-B48B9C2CBE51}"/>
    <cellStyle name="Comma 4 3 2 2 7 3" xfId="10905" xr:uid="{1D547215-EE7A-4050-A41D-FC68AF956C68}"/>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94289C36-5488-4FFB-AC0E-F3BF9982E497}"/>
    <cellStyle name="Comma 4 3 2 2 9 3" xfId="11222" xr:uid="{5E68A387-A78C-42E5-B01B-D6D5EBF91368}"/>
    <cellStyle name="Comma 4 3 2 3" xfId="148" xr:uid="{00000000-0005-0000-0000-000043090000}"/>
    <cellStyle name="Comma 4 3 2 3 10" xfId="8841" xr:uid="{C593B772-70EB-477D-9D6C-D8645FEB77AC}"/>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7DD5AF38-054E-4110-8C64-1FDFD0DA3EB5}"/>
    <cellStyle name="Comma 4 3 2 3 2 2 3" xfId="11400" xr:uid="{D67EEBC4-3FF4-4855-BF03-B7B7DD227503}"/>
    <cellStyle name="Comma 4 3 2 3 2 3" xfId="5034" xr:uid="{00000000-0005-0000-0000-000047090000}"/>
    <cellStyle name="Comma 4 3 2 3 2 3 2" xfId="13473" xr:uid="{6A038A06-1979-46B9-9F1D-A642BEF4CC97}"/>
    <cellStyle name="Comma 4 3 2 3 2 4" xfId="9255" xr:uid="{9474DF65-54B7-4CB8-AB8D-3835F21A12D1}"/>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3E83868D-3E87-44C7-A35F-265CFD3DAE91}"/>
    <cellStyle name="Comma 4 3 2 3 3 2 3" xfId="11813" xr:uid="{5B0B8841-29F3-4F7A-9E44-00E57BB9C7D3}"/>
    <cellStyle name="Comma 4 3 2 3 3 3" xfId="5447" xr:uid="{00000000-0005-0000-0000-00004B090000}"/>
    <cellStyle name="Comma 4 3 2 3 3 3 2" xfId="13886" xr:uid="{1E697B6F-32DC-4EB6-AA92-333E14080FC1}"/>
    <cellStyle name="Comma 4 3 2 3 3 4" xfId="9668" xr:uid="{250037D8-31C4-4DEE-B536-70D396C42D67}"/>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0B75A4CF-F0C0-4922-9F8A-C0FE820C2F75}"/>
    <cellStyle name="Comma 4 3 2 3 4 2 3" xfId="12226" xr:uid="{C667E711-B5E2-4655-A2EC-161AC678C16F}"/>
    <cellStyle name="Comma 4 3 2 3 4 3" xfId="5860" xr:uid="{00000000-0005-0000-0000-00004F090000}"/>
    <cellStyle name="Comma 4 3 2 3 4 3 2" xfId="14299" xr:uid="{A793DE96-7A87-4651-91C8-D6B48FB7908D}"/>
    <cellStyle name="Comma 4 3 2 3 4 4" xfId="10081" xr:uid="{42FADB67-99EF-4FDF-B347-6404C6A5F5E0}"/>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C5B974C1-3602-4F0F-8CE0-91FF44EF9CAF}"/>
    <cellStyle name="Comma 4 3 2 3 5 2 3" xfId="12639" xr:uid="{07BFB01A-DE5B-4D55-B881-5F6A39017714}"/>
    <cellStyle name="Comma 4 3 2 3 5 3" xfId="6273" xr:uid="{00000000-0005-0000-0000-000053090000}"/>
    <cellStyle name="Comma 4 3 2 3 5 3 2" xfId="14712" xr:uid="{27E4E78B-C799-4BE5-A89A-E963761D9284}"/>
    <cellStyle name="Comma 4 3 2 3 5 4" xfId="10494" xr:uid="{B20A1F1A-CB90-45B0-A2EB-65C774176D0E}"/>
    <cellStyle name="Comma 4 3 2 3 6" xfId="2401" xr:uid="{00000000-0005-0000-0000-000054090000}"/>
    <cellStyle name="Comma 4 3 2 3 6 2" xfId="6686" xr:uid="{00000000-0005-0000-0000-000055090000}"/>
    <cellStyle name="Comma 4 3 2 3 6 2 2" xfId="15125" xr:uid="{17B3EBED-36B3-4600-8921-CECF94EE98BE}"/>
    <cellStyle name="Comma 4 3 2 3 6 3" xfId="10907" xr:uid="{D8476BDF-0166-47B4-8F9F-C9D829C460BD}"/>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C47EFF1B-78B7-4229-A108-A57B5DF4B542}"/>
    <cellStyle name="Comma 4 3 2 3 8 3" xfId="11224" xr:uid="{23AABA48-A9CE-44F9-BA98-6B9A667DAEAE}"/>
    <cellStyle name="Comma 4 3 2 3 9" xfId="4620" xr:uid="{00000000-0005-0000-0000-000059090000}"/>
    <cellStyle name="Comma 4 3 2 3 9 2" xfId="13059" xr:uid="{6069ED93-F104-40DA-968A-8D495874E88B}"/>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01C263FD-4EE3-4F8A-93ED-FEEADBB25CD1}"/>
    <cellStyle name="Comma 4 3 2 4 2 3" xfId="11397" xr:uid="{1FA184DA-D946-4A4F-8A82-5CED559B42EC}"/>
    <cellStyle name="Comma 4 3 2 4 3" xfId="5031" xr:uid="{00000000-0005-0000-0000-00005D090000}"/>
    <cellStyle name="Comma 4 3 2 4 3 2" xfId="13470" xr:uid="{62E826AB-3329-4631-A755-B6C7AD04176F}"/>
    <cellStyle name="Comma 4 3 2 4 4" xfId="9252" xr:uid="{BDAC3520-C866-4BCF-808C-0A83EE2A29C9}"/>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22610A84-11D7-4CDA-BA37-7D190574F63A}"/>
    <cellStyle name="Comma 4 3 2 5 2 3" xfId="11810" xr:uid="{D7E33E02-4185-4FC8-9553-4327834D847D}"/>
    <cellStyle name="Comma 4 3 2 5 3" xfId="5444" xr:uid="{00000000-0005-0000-0000-000061090000}"/>
    <cellStyle name="Comma 4 3 2 5 3 2" xfId="13883" xr:uid="{530D79D5-342E-44F6-B35F-2FA3B57F8D78}"/>
    <cellStyle name="Comma 4 3 2 5 4" xfId="9665" xr:uid="{26E03866-23B6-429A-AE88-82C6FF1BC1B0}"/>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D06FA449-05B3-4F15-8D76-2623D65BF76D}"/>
    <cellStyle name="Comma 4 3 2 6 2 3" xfId="12223" xr:uid="{0F66B498-3EAC-45D2-A777-902A45671906}"/>
    <cellStyle name="Comma 4 3 2 6 3" xfId="5857" xr:uid="{00000000-0005-0000-0000-000065090000}"/>
    <cellStyle name="Comma 4 3 2 6 3 2" xfId="14296" xr:uid="{516E05DE-4E1A-4794-A837-3D0C1C887CCE}"/>
    <cellStyle name="Comma 4 3 2 6 4" xfId="10078" xr:uid="{19CF52C7-1C49-41C2-8365-3B3FC948E106}"/>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1000C550-AD2B-44E0-800F-51FC75CC6ECC}"/>
    <cellStyle name="Comma 4 3 2 7 2 3" xfId="12636" xr:uid="{623C784A-DF5F-4722-BD1C-C258E1AE5CC8}"/>
    <cellStyle name="Comma 4 3 2 7 3" xfId="6270" xr:uid="{00000000-0005-0000-0000-000069090000}"/>
    <cellStyle name="Comma 4 3 2 7 3 2" xfId="14709" xr:uid="{01AFF494-F4F1-4CB1-BDEF-A9AF851F4CD5}"/>
    <cellStyle name="Comma 4 3 2 7 4" xfId="10491" xr:uid="{201456F8-9A9C-49C9-9DF5-D35C74B7A442}"/>
    <cellStyle name="Comma 4 3 2 8" xfId="2398" xr:uid="{00000000-0005-0000-0000-00006A090000}"/>
    <cellStyle name="Comma 4 3 2 8 2" xfId="6683" xr:uid="{00000000-0005-0000-0000-00006B090000}"/>
    <cellStyle name="Comma 4 3 2 8 2 2" xfId="15122" xr:uid="{260E1D82-5ED9-46D0-9B4D-0DA4355D65D2}"/>
    <cellStyle name="Comma 4 3 2 8 3" xfId="10904" xr:uid="{A140235E-A278-4FFC-80E3-A92894E484A5}"/>
    <cellStyle name="Comma 4 3 2 9" xfId="2365" xr:uid="{00000000-0005-0000-0000-00006C090000}"/>
    <cellStyle name="Comma 4 3 3" xfId="149" xr:uid="{00000000-0005-0000-0000-00006D090000}"/>
    <cellStyle name="Comma 4 3 3 10" xfId="4621" xr:uid="{00000000-0005-0000-0000-00006E090000}"/>
    <cellStyle name="Comma 4 3 3 10 2" xfId="13060" xr:uid="{7D9B78AC-7DA3-4469-83D6-5DBC7F5DED7A}"/>
    <cellStyle name="Comma 4 3 3 11" xfId="8842" xr:uid="{AEC82B7D-8680-4101-A1D2-DDCEA8B67058}"/>
    <cellStyle name="Comma 4 3 3 2" xfId="150" xr:uid="{00000000-0005-0000-0000-00006F090000}"/>
    <cellStyle name="Comma 4 3 3 2 10" xfId="8843" xr:uid="{AD1DB21B-E868-49AA-83E6-4ACE3BDC982F}"/>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11DD5BB5-D479-47DB-970C-D3E454359D3A}"/>
    <cellStyle name="Comma 4 3 3 2 2 2 3" xfId="11402" xr:uid="{299CD536-6F57-4E53-A67B-13FDAF869212}"/>
    <cellStyle name="Comma 4 3 3 2 2 3" xfId="5036" xr:uid="{00000000-0005-0000-0000-000073090000}"/>
    <cellStyle name="Comma 4 3 3 2 2 3 2" xfId="13475" xr:uid="{2BD7E565-8014-4638-86DA-62182E6CA63F}"/>
    <cellStyle name="Comma 4 3 3 2 2 4" xfId="9257" xr:uid="{7F50602A-4973-4AA7-9B24-C479E997258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8AC0FD88-DBDB-45E6-B6AD-22D6250B7011}"/>
    <cellStyle name="Comma 4 3 3 2 3 2 3" xfId="11815" xr:uid="{3C4385A0-C334-460A-A47B-EE3F7A3DC831}"/>
    <cellStyle name="Comma 4 3 3 2 3 3" xfId="5449" xr:uid="{00000000-0005-0000-0000-000077090000}"/>
    <cellStyle name="Comma 4 3 3 2 3 3 2" xfId="13888" xr:uid="{3A272766-C900-4B3F-B041-998F64DC1ACB}"/>
    <cellStyle name="Comma 4 3 3 2 3 4" xfId="9670" xr:uid="{93BDF003-59EB-4136-BEA4-84F68F8809BD}"/>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59CF6ECE-5BD6-4CAC-B203-D87B5C0671DA}"/>
    <cellStyle name="Comma 4 3 3 2 4 2 3" xfId="12228" xr:uid="{451DCB4D-E25A-48FB-AFE5-524721A98228}"/>
    <cellStyle name="Comma 4 3 3 2 4 3" xfId="5862" xr:uid="{00000000-0005-0000-0000-00007B090000}"/>
    <cellStyle name="Comma 4 3 3 2 4 3 2" xfId="14301" xr:uid="{180DAA62-6944-4C93-AE02-C08B01BA627A}"/>
    <cellStyle name="Comma 4 3 3 2 4 4" xfId="10083" xr:uid="{157227A5-BAF0-41FB-B1E6-C4C0EC5725ED}"/>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86893523-B4F4-4141-8300-A3BA245CD69C}"/>
    <cellStyle name="Comma 4 3 3 2 5 2 3" xfId="12641" xr:uid="{8681764E-C7DC-4A56-8AF1-74301AE858C5}"/>
    <cellStyle name="Comma 4 3 3 2 5 3" xfId="6275" xr:uid="{00000000-0005-0000-0000-00007F090000}"/>
    <cellStyle name="Comma 4 3 3 2 5 3 2" xfId="14714" xr:uid="{64559CEF-FA41-4DBC-9A14-F4C4D1EAC8AD}"/>
    <cellStyle name="Comma 4 3 3 2 5 4" xfId="10496" xr:uid="{E8C66712-F0D0-4899-802D-7FB33769BE2A}"/>
    <cellStyle name="Comma 4 3 3 2 6" xfId="2403" xr:uid="{00000000-0005-0000-0000-000080090000}"/>
    <cellStyle name="Comma 4 3 3 2 6 2" xfId="6688" xr:uid="{00000000-0005-0000-0000-000081090000}"/>
    <cellStyle name="Comma 4 3 3 2 6 2 2" xfId="15127" xr:uid="{23364CC0-B793-4EBF-9040-A02B2E742C9E}"/>
    <cellStyle name="Comma 4 3 3 2 6 3" xfId="10909" xr:uid="{A1E42B51-525F-448E-8CE0-09930BB84CFA}"/>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DF2EC035-307D-4E59-B272-94B33999D96C}"/>
    <cellStyle name="Comma 4 3 3 2 8 3" xfId="11226" xr:uid="{60C503B9-5090-447D-A15C-27A0221E51F6}"/>
    <cellStyle name="Comma 4 3 3 2 9" xfId="4622" xr:uid="{00000000-0005-0000-0000-000085090000}"/>
    <cellStyle name="Comma 4 3 3 2 9 2" xfId="13061" xr:uid="{1B44AF98-B32F-4197-8F77-329CD902436E}"/>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61D094F3-68E5-4661-86CA-89A35E59A404}"/>
    <cellStyle name="Comma 4 3 3 3 2 3" xfId="11401" xr:uid="{82D9DB9A-F27B-4279-BD72-85A5696AC425}"/>
    <cellStyle name="Comma 4 3 3 3 3" xfId="5035" xr:uid="{00000000-0005-0000-0000-000089090000}"/>
    <cellStyle name="Comma 4 3 3 3 3 2" xfId="13474" xr:uid="{55F6B1C0-9CCD-4D35-8B23-859D506FEA3F}"/>
    <cellStyle name="Comma 4 3 3 3 4" xfId="9256" xr:uid="{F6DFA62C-1FFA-43BC-BAE7-C37A68AE1475}"/>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B710536D-D41E-4FFB-AFD0-DAA5F07A3CCD}"/>
    <cellStyle name="Comma 4 3 3 4 2 3" xfId="11814" xr:uid="{07081EBC-A65C-4FCB-B582-90BADA56E017}"/>
    <cellStyle name="Comma 4 3 3 4 3" xfId="5448" xr:uid="{00000000-0005-0000-0000-00008D090000}"/>
    <cellStyle name="Comma 4 3 3 4 3 2" xfId="13887" xr:uid="{C083DFA0-263A-43CB-B2CE-BBEAE5B0F59E}"/>
    <cellStyle name="Comma 4 3 3 4 4" xfId="9669" xr:uid="{B4A0DEAB-598E-4CB2-AEBC-E0A644C78CEC}"/>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661FED59-A84F-413F-BD72-4EC12EEC8041}"/>
    <cellStyle name="Comma 4 3 3 5 2 3" xfId="12227" xr:uid="{A1FD3C44-418D-4266-B570-F7DBC75A6F86}"/>
    <cellStyle name="Comma 4 3 3 5 3" xfId="5861" xr:uid="{00000000-0005-0000-0000-000091090000}"/>
    <cellStyle name="Comma 4 3 3 5 3 2" xfId="14300" xr:uid="{38DB53C4-6D3F-46F3-9E1F-0BF1609CFC75}"/>
    <cellStyle name="Comma 4 3 3 5 4" xfId="10082" xr:uid="{54E67D10-9ADD-4093-9B52-BA9002104A5A}"/>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7299BF15-FE04-4394-95B4-022CD5F2647B}"/>
    <cellStyle name="Comma 4 3 3 6 2 3" xfId="12640" xr:uid="{663AFB53-6CFF-4EC3-B450-E32C7E6BAF63}"/>
    <cellStyle name="Comma 4 3 3 6 3" xfId="6274" xr:uid="{00000000-0005-0000-0000-000095090000}"/>
    <cellStyle name="Comma 4 3 3 6 3 2" xfId="14713" xr:uid="{1E42139F-73C4-4211-8364-53A283B17CD3}"/>
    <cellStyle name="Comma 4 3 3 6 4" xfId="10495" xr:uid="{BD555E40-3FA0-4EEB-8A22-E007AC2DBD59}"/>
    <cellStyle name="Comma 4 3 3 7" xfId="2402" xr:uid="{00000000-0005-0000-0000-000096090000}"/>
    <cellStyle name="Comma 4 3 3 7 2" xfId="6687" xr:uid="{00000000-0005-0000-0000-000097090000}"/>
    <cellStyle name="Comma 4 3 3 7 2 2" xfId="15126" xr:uid="{669EFA3B-9CAF-492D-9E48-80A43A1ECDAF}"/>
    <cellStyle name="Comma 4 3 3 7 3" xfId="10908" xr:uid="{BDC7C8D2-3142-4A73-9EC4-B06DC15E87D3}"/>
    <cellStyle name="Comma 4 3 3 8" xfId="2361" xr:uid="{00000000-0005-0000-0000-000098090000}"/>
    <cellStyle name="Comma 4 3 3 9" xfId="2780" xr:uid="{00000000-0005-0000-0000-000099090000}"/>
    <cellStyle name="Comma 4 3 3 9 2" xfId="7004" xr:uid="{00000000-0005-0000-0000-00009A090000}"/>
    <cellStyle name="Comma 4 3 3 9 2 2" xfId="15443" xr:uid="{DD9EDAEA-10AF-40FB-B32A-86ABD392EC69}"/>
    <cellStyle name="Comma 4 3 3 9 3" xfId="11225" xr:uid="{65A7B7DC-7643-4A48-8969-DB3372EF3CBC}"/>
    <cellStyle name="Comma 4 3 4" xfId="151" xr:uid="{00000000-0005-0000-0000-00009B090000}"/>
    <cellStyle name="Comma 4 3 4 10" xfId="8844" xr:uid="{489ED5FA-05DE-4C27-95D3-5C2DBAC71851}"/>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C8FE9E90-4DB5-4CEF-B5C5-5A620C507F63}"/>
    <cellStyle name="Comma 4 3 4 2 2 3" xfId="11403" xr:uid="{903D5041-90C2-4DA3-9950-A2E9F7ECCF21}"/>
    <cellStyle name="Comma 4 3 4 2 3" xfId="5037" xr:uid="{00000000-0005-0000-0000-00009F090000}"/>
    <cellStyle name="Comma 4 3 4 2 3 2" xfId="13476" xr:uid="{8292FFFC-CD7B-466E-BC62-0D9176C0385D}"/>
    <cellStyle name="Comma 4 3 4 2 4" xfId="9258" xr:uid="{B9BA771B-BF78-4F02-8D7B-949CA088E08B}"/>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11C5D3AF-58CA-4BB2-ADA0-1670F2BB65FE}"/>
    <cellStyle name="Comma 4 3 4 3 2 3" xfId="11816" xr:uid="{D9350A4B-59C6-491E-8567-89D2B1C654E5}"/>
    <cellStyle name="Comma 4 3 4 3 3" xfId="5450" xr:uid="{00000000-0005-0000-0000-0000A3090000}"/>
    <cellStyle name="Comma 4 3 4 3 3 2" xfId="13889" xr:uid="{441823DC-0D5A-48BB-B7C8-E539EDFCA5D6}"/>
    <cellStyle name="Comma 4 3 4 3 4" xfId="9671" xr:uid="{75436213-196D-4993-9CE7-DAFB97589EE0}"/>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E877A407-B2C2-43CA-A426-6FE938C05AF7}"/>
    <cellStyle name="Comma 4 3 4 4 2 3" xfId="12229" xr:uid="{CB385057-AC26-4859-BE34-A41916E89F07}"/>
    <cellStyle name="Comma 4 3 4 4 3" xfId="5863" xr:uid="{00000000-0005-0000-0000-0000A7090000}"/>
    <cellStyle name="Comma 4 3 4 4 3 2" xfId="14302" xr:uid="{3341D75B-C366-429D-B57F-2E9C114586B2}"/>
    <cellStyle name="Comma 4 3 4 4 4" xfId="10084" xr:uid="{FE1EE8AC-8861-4EFE-968F-58983E07483E}"/>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379A54C7-1113-4BF9-BDA1-B326C339DE5D}"/>
    <cellStyle name="Comma 4 3 4 5 2 3" xfId="12642" xr:uid="{15162D07-C32A-4CA6-AA4A-0B78A81209A3}"/>
    <cellStyle name="Comma 4 3 4 5 3" xfId="6276" xr:uid="{00000000-0005-0000-0000-0000AB090000}"/>
    <cellStyle name="Comma 4 3 4 5 3 2" xfId="14715" xr:uid="{DDAB07EE-4B02-4188-8CB8-4B4CD3EEC54A}"/>
    <cellStyle name="Comma 4 3 4 5 4" xfId="10497" xr:uid="{9D5E9412-2E79-43BA-9902-FD4D61D7E47A}"/>
    <cellStyle name="Comma 4 3 4 6" xfId="2404" xr:uid="{00000000-0005-0000-0000-0000AC090000}"/>
    <cellStyle name="Comma 4 3 4 6 2" xfId="6689" xr:uid="{00000000-0005-0000-0000-0000AD090000}"/>
    <cellStyle name="Comma 4 3 4 6 2 2" xfId="15128" xr:uid="{EB42D45E-957A-472A-A0C7-72CC819F3628}"/>
    <cellStyle name="Comma 4 3 4 6 3" xfId="10910" xr:uid="{B7A47D0D-8303-4F6A-AF27-1EF121314BBA}"/>
    <cellStyle name="Comma 4 3 4 7" xfId="2700" xr:uid="{00000000-0005-0000-0000-0000AE090000}"/>
    <cellStyle name="Comma 4 3 4 8" xfId="2782" xr:uid="{00000000-0005-0000-0000-0000AF090000}"/>
    <cellStyle name="Comma 4 3 4 8 2" xfId="7006" xr:uid="{00000000-0005-0000-0000-0000B0090000}"/>
    <cellStyle name="Comma 4 3 4 8 2 2" xfId="15445" xr:uid="{E5AD6BC8-D5DA-425C-9063-3C0A5F1C2122}"/>
    <cellStyle name="Comma 4 3 4 8 3" xfId="11227" xr:uid="{8C8A5F51-C931-44E0-BE80-B128522C9999}"/>
    <cellStyle name="Comma 4 3 4 9" xfId="4623" xr:uid="{00000000-0005-0000-0000-0000B1090000}"/>
    <cellStyle name="Comma 4 3 4 9 2" xfId="13062" xr:uid="{F2AC1FB4-C49F-4770-AEF6-576C4DC50EEB}"/>
    <cellStyle name="Comma 4 3 5" xfId="152" xr:uid="{00000000-0005-0000-0000-0000B2090000}"/>
    <cellStyle name="Comma 4 3 5 10" xfId="8845" xr:uid="{433F3459-1B3F-4CD3-B2CC-3F3027BEF3CC}"/>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773E0B47-16DD-4619-9063-E3B40147ADEB}"/>
    <cellStyle name="Comma 4 3 5 2 2 3" xfId="11404" xr:uid="{300DBA7B-17D2-4183-8568-87A40A8BCA42}"/>
    <cellStyle name="Comma 4 3 5 2 3" xfId="5038" xr:uid="{00000000-0005-0000-0000-0000B6090000}"/>
    <cellStyle name="Comma 4 3 5 2 3 2" xfId="13477" xr:uid="{2C843234-DF7A-4337-805A-BC9F5F465E6A}"/>
    <cellStyle name="Comma 4 3 5 2 4" xfId="9259" xr:uid="{684F3CA0-E2C4-4BF0-8659-8EB540AFF243}"/>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3488B67C-8DAC-4154-94BB-B705C16C1D66}"/>
    <cellStyle name="Comma 4 3 5 3 2 3" xfId="11817" xr:uid="{9FD25839-6318-429F-9AD3-8F4C780B10BA}"/>
    <cellStyle name="Comma 4 3 5 3 3" xfId="5451" xr:uid="{00000000-0005-0000-0000-0000BA090000}"/>
    <cellStyle name="Comma 4 3 5 3 3 2" xfId="13890" xr:uid="{4F02123C-A863-4D1F-8A64-6A867389A5E2}"/>
    <cellStyle name="Comma 4 3 5 3 4" xfId="9672" xr:uid="{CFCA3DB9-061B-4CE0-BA18-6964EC811D8D}"/>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F542A73A-D966-4E20-9452-07F9B09977E1}"/>
    <cellStyle name="Comma 4 3 5 4 2 3" xfId="12230" xr:uid="{6F5E0FA5-FFB1-46A4-A3BA-B196B8DD7DF1}"/>
    <cellStyle name="Comma 4 3 5 4 3" xfId="5864" xr:uid="{00000000-0005-0000-0000-0000BE090000}"/>
    <cellStyle name="Comma 4 3 5 4 3 2" xfId="14303" xr:uid="{A1049F05-6BA3-4B69-B12F-3E5BF1316FD5}"/>
    <cellStyle name="Comma 4 3 5 4 4" xfId="10085" xr:uid="{B8D939F6-FA47-4D8E-9631-EA3E864056B6}"/>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254A2BAB-EA07-486F-9657-5C42AFEFD754}"/>
    <cellStyle name="Comma 4 3 5 5 2 3" xfId="12643" xr:uid="{F9DD669C-0FEE-471F-87F4-CF70EB4BE295}"/>
    <cellStyle name="Comma 4 3 5 5 3" xfId="6277" xr:uid="{00000000-0005-0000-0000-0000C2090000}"/>
    <cellStyle name="Comma 4 3 5 5 3 2" xfId="14716" xr:uid="{E5B0CA43-01A1-4888-8334-362166206E0D}"/>
    <cellStyle name="Comma 4 3 5 5 4" xfId="10498" xr:uid="{ABF567CB-5C74-424C-BDD6-33C6F261271F}"/>
    <cellStyle name="Comma 4 3 5 6" xfId="2405" xr:uid="{00000000-0005-0000-0000-0000C3090000}"/>
    <cellStyle name="Comma 4 3 5 6 2" xfId="6690" xr:uid="{00000000-0005-0000-0000-0000C4090000}"/>
    <cellStyle name="Comma 4 3 5 6 2 2" xfId="15129" xr:uid="{B3E8B9DA-420E-4A6A-831D-525E40C3CD13}"/>
    <cellStyle name="Comma 4 3 5 6 3" xfId="10911" xr:uid="{E4660A2A-8BE6-4B87-B565-F120D32CFC1A}"/>
    <cellStyle name="Comma 4 3 5 7" xfId="2701" xr:uid="{00000000-0005-0000-0000-0000C5090000}"/>
    <cellStyle name="Comma 4 3 5 8" xfId="2783" xr:uid="{00000000-0005-0000-0000-0000C6090000}"/>
    <cellStyle name="Comma 4 3 5 8 2" xfId="7007" xr:uid="{00000000-0005-0000-0000-0000C7090000}"/>
    <cellStyle name="Comma 4 3 5 8 2 2" xfId="15446" xr:uid="{A36DBF9C-9F94-4F91-A339-1DC1AAC194F7}"/>
    <cellStyle name="Comma 4 3 5 8 3" xfId="11228" xr:uid="{5CF20226-9F35-4F9C-93CF-8ADE19341802}"/>
    <cellStyle name="Comma 4 3 5 9" xfId="4624" xr:uid="{00000000-0005-0000-0000-0000C8090000}"/>
    <cellStyle name="Comma 4 3 5 9 2" xfId="13063" xr:uid="{604E84C5-BED2-437C-A5F9-7275BB4521DD}"/>
    <cellStyle name="Comma 4 4" xfId="153" xr:uid="{00000000-0005-0000-0000-0000C9090000}"/>
    <cellStyle name="Comma 4 4 10" xfId="2784" xr:uid="{00000000-0005-0000-0000-0000CA090000}"/>
    <cellStyle name="Comma 4 4 10 2" xfId="7008" xr:uid="{00000000-0005-0000-0000-0000CB090000}"/>
    <cellStyle name="Comma 4 4 10 2 2" xfId="15447" xr:uid="{2A70D1C3-6F4E-4453-BC14-11FBFC7BBD32}"/>
    <cellStyle name="Comma 4 4 10 3" xfId="11229" xr:uid="{9A40D0D8-C1AB-481D-B4D2-D154420A2A4E}"/>
    <cellStyle name="Comma 4 4 11" xfId="4625" xr:uid="{00000000-0005-0000-0000-0000CC090000}"/>
    <cellStyle name="Comma 4 4 11 2" xfId="13064" xr:uid="{23D09586-7AE4-41DC-89D1-810A91629098}"/>
    <cellStyle name="Comma 4 4 12" xfId="8846" xr:uid="{41E1FA4D-81FD-4C96-870B-55FF0860237C}"/>
    <cellStyle name="Comma 4 4 2" xfId="154" xr:uid="{00000000-0005-0000-0000-0000CD090000}"/>
    <cellStyle name="Comma 4 4 2 10" xfId="4626" xr:uid="{00000000-0005-0000-0000-0000CE090000}"/>
    <cellStyle name="Comma 4 4 2 10 2" xfId="13065" xr:uid="{744E2891-02DA-434C-9980-0941230D0AE3}"/>
    <cellStyle name="Comma 4 4 2 11" xfId="8847" xr:uid="{F612DD4E-11B8-4FA7-9E6E-CA86188EE257}"/>
    <cellStyle name="Comma 4 4 2 2" xfId="155" xr:uid="{00000000-0005-0000-0000-0000CF090000}"/>
    <cellStyle name="Comma 4 4 2 2 10" xfId="8848" xr:uid="{B093C07E-392C-49B0-A64F-08F0E0CF25CD}"/>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4D2AA8FB-7061-4542-A3A7-FE0C8EE1C843}"/>
    <cellStyle name="Comma 4 4 2 2 2 2 3" xfId="11407" xr:uid="{DD9BB111-D78C-485E-AEB4-CFB41C72180D}"/>
    <cellStyle name="Comma 4 4 2 2 2 3" xfId="5041" xr:uid="{00000000-0005-0000-0000-0000D3090000}"/>
    <cellStyle name="Comma 4 4 2 2 2 3 2" xfId="13480" xr:uid="{813566FA-D6B9-4C83-8867-68AB423200B4}"/>
    <cellStyle name="Comma 4 4 2 2 2 4" xfId="9262" xr:uid="{8616EA3B-1C7B-49AC-8EBF-D7AC7F3A38B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9B8E4C3F-244A-4F42-8B42-CC96A3820385}"/>
    <cellStyle name="Comma 4 4 2 2 3 2 3" xfId="11820" xr:uid="{FB7164FB-2C09-4EF2-BD8A-04EF3AA4CEC1}"/>
    <cellStyle name="Comma 4 4 2 2 3 3" xfId="5454" xr:uid="{00000000-0005-0000-0000-0000D7090000}"/>
    <cellStyle name="Comma 4 4 2 2 3 3 2" xfId="13893" xr:uid="{68587B35-8A87-4807-8B31-E6EFC472BB02}"/>
    <cellStyle name="Comma 4 4 2 2 3 4" xfId="9675" xr:uid="{70AE57D8-EAF3-4B3F-9C4F-1EB8BCD4C555}"/>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4FDD5254-872A-4981-B35A-14B443502DE4}"/>
    <cellStyle name="Comma 4 4 2 2 4 2 3" xfId="12233" xr:uid="{1512DAB9-BB64-4292-8310-E5C1DEE000EE}"/>
    <cellStyle name="Comma 4 4 2 2 4 3" xfId="5867" xr:uid="{00000000-0005-0000-0000-0000DB090000}"/>
    <cellStyle name="Comma 4 4 2 2 4 3 2" xfId="14306" xr:uid="{DB26862E-DAB4-4CDE-8486-40F85CA1D202}"/>
    <cellStyle name="Comma 4 4 2 2 4 4" xfId="10088" xr:uid="{B8121590-2119-4334-A868-307A84538D37}"/>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65EEC491-4513-4F94-A0B1-63F189095D4C}"/>
    <cellStyle name="Comma 4 4 2 2 5 2 3" xfId="12646" xr:uid="{5521FBA3-D9AE-4763-88A6-3637AE8C2DDE}"/>
    <cellStyle name="Comma 4 4 2 2 5 3" xfId="6280" xr:uid="{00000000-0005-0000-0000-0000DF090000}"/>
    <cellStyle name="Comma 4 4 2 2 5 3 2" xfId="14719" xr:uid="{4C234624-08EE-4416-850D-25CAFD919C00}"/>
    <cellStyle name="Comma 4 4 2 2 5 4" xfId="10501" xr:uid="{7744685C-90DE-4EE6-9935-BB4C158383B0}"/>
    <cellStyle name="Comma 4 4 2 2 6" xfId="2408" xr:uid="{00000000-0005-0000-0000-0000E0090000}"/>
    <cellStyle name="Comma 4 4 2 2 6 2" xfId="6693" xr:uid="{00000000-0005-0000-0000-0000E1090000}"/>
    <cellStyle name="Comma 4 4 2 2 6 2 2" xfId="15132" xr:uid="{25DDB12A-CAF0-4AD3-9FD2-28CEAA05B7C9}"/>
    <cellStyle name="Comma 4 4 2 2 6 3" xfId="10914" xr:uid="{A62E000D-2DC6-4F5F-9E1F-C85BD8324CF7}"/>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1E49F0E1-7A83-488F-B8BF-19228E1A150A}"/>
    <cellStyle name="Comma 4 4 2 2 8 3" xfId="11231" xr:uid="{7B290421-06CA-4153-A629-1ECB6A6FE99E}"/>
    <cellStyle name="Comma 4 4 2 2 9" xfId="4627" xr:uid="{00000000-0005-0000-0000-0000E5090000}"/>
    <cellStyle name="Comma 4 4 2 2 9 2" xfId="13066" xr:uid="{34089E13-6377-4AB0-81E3-5B6DDF9D44A0}"/>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2750CF84-A55F-4BDD-91B0-3070979B6837}"/>
    <cellStyle name="Comma 4 4 2 3 2 3" xfId="11406" xr:uid="{57FC7F59-49B2-4F3D-8600-ACD74C458261}"/>
    <cellStyle name="Comma 4 4 2 3 3" xfId="5040" xr:uid="{00000000-0005-0000-0000-0000E9090000}"/>
    <cellStyle name="Comma 4 4 2 3 3 2" xfId="13479" xr:uid="{B04377E7-2DC7-404C-A29F-3BAC3A5330C2}"/>
    <cellStyle name="Comma 4 4 2 3 4" xfId="9261" xr:uid="{4233BBBB-4C6F-494D-8332-64B70E440F2F}"/>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5E4D9047-FD49-4789-9183-8A6504485C8C}"/>
    <cellStyle name="Comma 4 4 2 4 2 3" xfId="11819" xr:uid="{D9C884A6-F433-4F24-B8FA-C7878EF9913A}"/>
    <cellStyle name="Comma 4 4 2 4 3" xfId="5453" xr:uid="{00000000-0005-0000-0000-0000ED090000}"/>
    <cellStyle name="Comma 4 4 2 4 3 2" xfId="13892" xr:uid="{B7FF5D0C-5889-46EB-B8E2-92F033FD3F51}"/>
    <cellStyle name="Comma 4 4 2 4 4" xfId="9674" xr:uid="{A9A42F9D-3346-4887-80D0-F983AD3973CC}"/>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1A549E2F-E5AF-46E1-BC01-E4E6DB5DF89F}"/>
    <cellStyle name="Comma 4 4 2 5 2 3" xfId="12232" xr:uid="{75EE3846-15AD-491A-B39B-7FF907373830}"/>
    <cellStyle name="Comma 4 4 2 5 3" xfId="5866" xr:uid="{00000000-0005-0000-0000-0000F1090000}"/>
    <cellStyle name="Comma 4 4 2 5 3 2" xfId="14305" xr:uid="{DD6F6AFB-FB4F-4EA1-984C-C1B2092FDDD3}"/>
    <cellStyle name="Comma 4 4 2 5 4" xfId="10087" xr:uid="{E7A3396E-DBC8-4EA6-A1B7-8B42D04D4DB1}"/>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FC003087-75E3-450E-A560-EA35B6DFD19A}"/>
    <cellStyle name="Comma 4 4 2 6 2 3" xfId="12645" xr:uid="{BACE8021-2379-4615-AB43-4B2568A1D1CD}"/>
    <cellStyle name="Comma 4 4 2 6 3" xfId="6279" xr:uid="{00000000-0005-0000-0000-0000F5090000}"/>
    <cellStyle name="Comma 4 4 2 6 3 2" xfId="14718" xr:uid="{5F879A2D-3A4C-4D9C-B1F0-6001178D49C0}"/>
    <cellStyle name="Comma 4 4 2 6 4" xfId="10500" xr:uid="{B67AE756-A7FE-42D9-8A9F-D978B17C49CD}"/>
    <cellStyle name="Comma 4 4 2 7" xfId="2407" xr:uid="{00000000-0005-0000-0000-0000F6090000}"/>
    <cellStyle name="Comma 4 4 2 7 2" xfId="6692" xr:uid="{00000000-0005-0000-0000-0000F7090000}"/>
    <cellStyle name="Comma 4 4 2 7 2 2" xfId="15131" xr:uid="{EAAE70C0-0469-42AD-A66F-2D7E051F98AB}"/>
    <cellStyle name="Comma 4 4 2 7 3" xfId="10913" xr:uid="{2435AF23-A0AC-43DF-A037-885682AC4B39}"/>
    <cellStyle name="Comma 4 4 2 8" xfId="2703" xr:uid="{00000000-0005-0000-0000-0000F8090000}"/>
    <cellStyle name="Comma 4 4 2 9" xfId="2785" xr:uid="{00000000-0005-0000-0000-0000F9090000}"/>
    <cellStyle name="Comma 4 4 2 9 2" xfId="7009" xr:uid="{00000000-0005-0000-0000-0000FA090000}"/>
    <cellStyle name="Comma 4 4 2 9 2 2" xfId="15448" xr:uid="{A52B6441-BEE6-4EEF-B3E6-E873AEDAD584}"/>
    <cellStyle name="Comma 4 4 2 9 3" xfId="11230" xr:uid="{F38F1EEC-6F90-41EB-A608-CC5CF790375B}"/>
    <cellStyle name="Comma 4 4 3" xfId="156" xr:uid="{00000000-0005-0000-0000-0000FB090000}"/>
    <cellStyle name="Comma 4 4 3 10" xfId="8849" xr:uid="{7666C877-5044-46AD-9D03-4D962072E1B9}"/>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66EDBA59-B7B7-4191-AC9A-CC6F406F235E}"/>
    <cellStyle name="Comma 4 4 3 2 2 3" xfId="11408" xr:uid="{4899D130-727E-43E9-BD46-1EC7E2692D18}"/>
    <cellStyle name="Comma 4 4 3 2 3" xfId="5042" xr:uid="{00000000-0005-0000-0000-0000FF090000}"/>
    <cellStyle name="Comma 4 4 3 2 3 2" xfId="13481" xr:uid="{0EA8C50B-B397-4432-AF19-48EB26972276}"/>
    <cellStyle name="Comma 4 4 3 2 4" xfId="9263" xr:uid="{88D9A242-DFFB-491B-94E7-9E51E2585DEE}"/>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63363A49-5867-4A68-92F4-6C91A45AAE3C}"/>
    <cellStyle name="Comma 4 4 3 3 2 3" xfId="11821" xr:uid="{14AA0823-E660-49D1-ABEA-6FB431566A9C}"/>
    <cellStyle name="Comma 4 4 3 3 3" xfId="5455" xr:uid="{00000000-0005-0000-0000-0000030A0000}"/>
    <cellStyle name="Comma 4 4 3 3 3 2" xfId="13894" xr:uid="{A2C26C51-8249-44FF-9A3C-F01B5180D6FE}"/>
    <cellStyle name="Comma 4 4 3 3 4" xfId="9676" xr:uid="{E0BB2F5A-3C13-4EF8-A604-6DC0FA6D675D}"/>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B30A03F3-7A84-4E05-B9B3-576B70583D5D}"/>
    <cellStyle name="Comma 4 4 3 4 2 3" xfId="12234" xr:uid="{346A42C9-2409-4AAD-B498-16B20B51F3E4}"/>
    <cellStyle name="Comma 4 4 3 4 3" xfId="5868" xr:uid="{00000000-0005-0000-0000-0000070A0000}"/>
    <cellStyle name="Comma 4 4 3 4 3 2" xfId="14307" xr:uid="{85AC013E-EF6B-4E86-B689-02F1CD3C6F0C}"/>
    <cellStyle name="Comma 4 4 3 4 4" xfId="10089" xr:uid="{DD85D857-6EF0-4A36-80A3-F9CF61D050DC}"/>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BD18FBA8-522E-487C-9605-FD314AF7B545}"/>
    <cellStyle name="Comma 4 4 3 5 2 3" xfId="12647" xr:uid="{F5DAC1FC-30B0-44DC-9822-BD2F46EB735B}"/>
    <cellStyle name="Comma 4 4 3 5 3" xfId="6281" xr:uid="{00000000-0005-0000-0000-00000B0A0000}"/>
    <cellStyle name="Comma 4 4 3 5 3 2" xfId="14720" xr:uid="{B180C684-F970-4641-AFF0-4392025A909A}"/>
    <cellStyle name="Comma 4 4 3 5 4" xfId="10502" xr:uid="{00DBF841-5901-461A-81C0-042F413F460C}"/>
    <cellStyle name="Comma 4 4 3 6" xfId="2409" xr:uid="{00000000-0005-0000-0000-00000C0A0000}"/>
    <cellStyle name="Comma 4 4 3 6 2" xfId="6694" xr:uid="{00000000-0005-0000-0000-00000D0A0000}"/>
    <cellStyle name="Comma 4 4 3 6 2 2" xfId="15133" xr:uid="{B30193D0-A218-4207-895D-22C0AF5A9745}"/>
    <cellStyle name="Comma 4 4 3 6 3" xfId="10915" xr:uid="{CEF8B7BF-5169-4CC4-BA42-A22709DE9D09}"/>
    <cellStyle name="Comma 4 4 3 7" xfId="2705" xr:uid="{00000000-0005-0000-0000-00000E0A0000}"/>
    <cellStyle name="Comma 4 4 3 8" xfId="2787" xr:uid="{00000000-0005-0000-0000-00000F0A0000}"/>
    <cellStyle name="Comma 4 4 3 8 2" xfId="7011" xr:uid="{00000000-0005-0000-0000-0000100A0000}"/>
    <cellStyle name="Comma 4 4 3 8 2 2" xfId="15450" xr:uid="{72A52311-0BB9-4BC0-84A9-BDB170A2D1D1}"/>
    <cellStyle name="Comma 4 4 3 8 3" xfId="11232" xr:uid="{0BE4F9A3-FC63-4122-9E3F-6DB44125A0F5}"/>
    <cellStyle name="Comma 4 4 3 9" xfId="4628" xr:uid="{00000000-0005-0000-0000-0000110A0000}"/>
    <cellStyle name="Comma 4 4 3 9 2" xfId="13067" xr:uid="{2CE55EE3-A221-4C10-B1F5-CDDC25BDD86F}"/>
    <cellStyle name="Comma 4 4 4" xfId="690" xr:uid="{00000000-0005-0000-0000-0000120A0000}"/>
    <cellStyle name="Comma 4 4 4 2" xfId="2961" xr:uid="{00000000-0005-0000-0000-0000130A0000}"/>
    <cellStyle name="Comma 4 4 4 2 2" xfId="7184" xr:uid="{00000000-0005-0000-0000-0000140A0000}"/>
    <cellStyle name="Comma 4 4 4 2 2 2" xfId="15623" xr:uid="{E5E98C32-F815-4322-9CEC-883E324C5D3F}"/>
    <cellStyle name="Comma 4 4 4 2 3" xfId="11405" xr:uid="{D6FE7D86-6F0A-4E1F-9510-CEA9B63B1287}"/>
    <cellStyle name="Comma 4 4 4 3" xfId="5039" xr:uid="{00000000-0005-0000-0000-0000150A0000}"/>
    <cellStyle name="Comma 4 4 4 3 2" xfId="13478" xr:uid="{51A6647F-5539-4E87-AFB8-238ABBF5B165}"/>
    <cellStyle name="Comma 4 4 4 4" xfId="9260" xr:uid="{30A9D07B-A173-4849-AE3B-7A934025F49E}"/>
    <cellStyle name="Comma 4 4 5" xfId="1143" xr:uid="{00000000-0005-0000-0000-0000160A0000}"/>
    <cellStyle name="Comma 4 4 5 2" xfId="3374" xr:uid="{00000000-0005-0000-0000-0000170A0000}"/>
    <cellStyle name="Comma 4 4 5 2 2" xfId="7597" xr:uid="{00000000-0005-0000-0000-0000180A0000}"/>
    <cellStyle name="Comma 4 4 5 2 2 2" xfId="16036" xr:uid="{0997EC0C-D574-4E98-92DA-8C4B460D95A9}"/>
    <cellStyle name="Comma 4 4 5 2 3" xfId="11818" xr:uid="{18F8E778-EB1A-4862-B33D-35B0666FA2BC}"/>
    <cellStyle name="Comma 4 4 5 3" xfId="5452" xr:uid="{00000000-0005-0000-0000-0000190A0000}"/>
    <cellStyle name="Comma 4 4 5 3 2" xfId="13891" xr:uid="{11FCC4D5-F49D-4DCB-918F-15E3425D396D}"/>
    <cellStyle name="Comma 4 4 5 4" xfId="9673" xr:uid="{44EBF051-99B3-41AC-9F70-F889632253AE}"/>
    <cellStyle name="Comma 4 4 6" xfId="1557" xr:uid="{00000000-0005-0000-0000-00001A0A0000}"/>
    <cellStyle name="Comma 4 4 6 2" xfId="3787" xr:uid="{00000000-0005-0000-0000-00001B0A0000}"/>
    <cellStyle name="Comma 4 4 6 2 2" xfId="8010" xr:uid="{00000000-0005-0000-0000-00001C0A0000}"/>
    <cellStyle name="Comma 4 4 6 2 2 2" xfId="16449" xr:uid="{792EADD6-AC19-42EA-BD9D-7B2C2BE72910}"/>
    <cellStyle name="Comma 4 4 6 2 3" xfId="12231" xr:uid="{78AC8B66-9C36-445E-9A49-180854B38B89}"/>
    <cellStyle name="Comma 4 4 6 3" xfId="5865" xr:uid="{00000000-0005-0000-0000-00001D0A0000}"/>
    <cellStyle name="Comma 4 4 6 3 2" xfId="14304" xr:uid="{C2F03D56-077F-448A-8726-C691E039A52A}"/>
    <cellStyle name="Comma 4 4 6 4" xfId="10086" xr:uid="{514D3518-8425-4AC6-AAF6-ED1C390D49F9}"/>
    <cellStyle name="Comma 4 4 7" xfId="1971" xr:uid="{00000000-0005-0000-0000-00001E0A0000}"/>
    <cellStyle name="Comma 4 4 7 2" xfId="4200" xr:uid="{00000000-0005-0000-0000-00001F0A0000}"/>
    <cellStyle name="Comma 4 4 7 2 2" xfId="8423" xr:uid="{00000000-0005-0000-0000-0000200A0000}"/>
    <cellStyle name="Comma 4 4 7 2 2 2" xfId="16862" xr:uid="{729E54B9-7BC0-4AE8-A9EB-9AD0E015F24F}"/>
    <cellStyle name="Comma 4 4 7 2 3" xfId="12644" xr:uid="{ED22BF2B-0E64-4CD4-B0EE-C408463851B2}"/>
    <cellStyle name="Comma 4 4 7 3" xfId="6278" xr:uid="{00000000-0005-0000-0000-0000210A0000}"/>
    <cellStyle name="Comma 4 4 7 3 2" xfId="14717" xr:uid="{FC65A3D7-FC12-4510-8851-FD4F275B6A98}"/>
    <cellStyle name="Comma 4 4 7 4" xfId="10499" xr:uid="{56C78438-815D-4495-B28B-6395740A33A0}"/>
    <cellStyle name="Comma 4 4 8" xfId="2406" xr:uid="{00000000-0005-0000-0000-0000220A0000}"/>
    <cellStyle name="Comma 4 4 8 2" xfId="6691" xr:uid="{00000000-0005-0000-0000-0000230A0000}"/>
    <cellStyle name="Comma 4 4 8 2 2" xfId="15130" xr:uid="{90029632-68AE-469E-99E2-9660AEF9B9EB}"/>
    <cellStyle name="Comma 4 4 8 3" xfId="10912" xr:uid="{507E3839-15A0-44C8-9F86-DB6B9FA4963F}"/>
    <cellStyle name="Comma 4 4 9" xfId="2702" xr:uid="{00000000-0005-0000-0000-0000240A0000}"/>
    <cellStyle name="Comma 4 5" xfId="157" xr:uid="{00000000-0005-0000-0000-0000250A0000}"/>
    <cellStyle name="Comma 4 5 10" xfId="4629" xr:uid="{00000000-0005-0000-0000-0000260A0000}"/>
    <cellStyle name="Comma 4 5 10 2" xfId="13068" xr:uid="{89E42B26-A09A-4CAB-AF01-265916AD35B0}"/>
    <cellStyle name="Comma 4 5 11" xfId="8850" xr:uid="{A5FC9511-5E8F-4956-B8AF-C8F9C49DF7EF}"/>
    <cellStyle name="Comma 4 5 2" xfId="158" xr:uid="{00000000-0005-0000-0000-0000270A0000}"/>
    <cellStyle name="Comma 4 5 2 10" xfId="8851" xr:uid="{DFA5ABEB-68DE-4274-91F6-8A28D03947D7}"/>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18A10F80-09FB-4F5B-9E58-B6EF19D1418C}"/>
    <cellStyle name="Comma 4 5 2 2 2 3" xfId="11410" xr:uid="{CD483F5D-3F4C-4B43-ADA5-FF18B57D4246}"/>
    <cellStyle name="Comma 4 5 2 2 3" xfId="5044" xr:uid="{00000000-0005-0000-0000-00002B0A0000}"/>
    <cellStyle name="Comma 4 5 2 2 3 2" xfId="13483" xr:uid="{F48A379E-DA7B-4AB9-A561-2F26407713CE}"/>
    <cellStyle name="Comma 4 5 2 2 4" xfId="9265" xr:uid="{1492646B-E850-47EA-BBE6-4118B47EA6E4}"/>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D206E800-6C81-4971-A0FF-7EB4FFB7A50C}"/>
    <cellStyle name="Comma 4 5 2 3 2 3" xfId="11823" xr:uid="{88DB6B8D-AA4A-4D66-9DEB-D75FD5FC7FCD}"/>
    <cellStyle name="Comma 4 5 2 3 3" xfId="5457" xr:uid="{00000000-0005-0000-0000-00002F0A0000}"/>
    <cellStyle name="Comma 4 5 2 3 3 2" xfId="13896" xr:uid="{94907974-E62F-4982-836B-73DDFECE5B1F}"/>
    <cellStyle name="Comma 4 5 2 3 4" xfId="9678" xr:uid="{F5519A74-46CE-4BD2-B380-D88CBB0BB209}"/>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B1275F16-15E4-45B8-A0E5-DA01CF9CEEB5}"/>
    <cellStyle name="Comma 4 5 2 4 2 3" xfId="12236" xr:uid="{C7BBC8A8-2394-4099-8FF1-3CBEEB3D85F2}"/>
    <cellStyle name="Comma 4 5 2 4 3" xfId="5870" xr:uid="{00000000-0005-0000-0000-0000330A0000}"/>
    <cellStyle name="Comma 4 5 2 4 3 2" xfId="14309" xr:uid="{73EF5589-E6A4-4F28-A3FD-CDC7B4C3AD24}"/>
    <cellStyle name="Comma 4 5 2 4 4" xfId="10091" xr:uid="{F1F2E492-20C0-4672-8597-27646DC8BC47}"/>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3912C8B4-534C-46CC-834B-7D00302BBC0F}"/>
    <cellStyle name="Comma 4 5 2 5 2 3" xfId="12649" xr:uid="{2537198E-3B01-4278-B859-9407CB8461C6}"/>
    <cellStyle name="Comma 4 5 2 5 3" xfId="6283" xr:uid="{00000000-0005-0000-0000-0000370A0000}"/>
    <cellStyle name="Comma 4 5 2 5 3 2" xfId="14722" xr:uid="{101A799B-0482-473C-86E6-9C294EDBD584}"/>
    <cellStyle name="Comma 4 5 2 5 4" xfId="10504" xr:uid="{091B09C0-E1FD-4776-84E7-77F624267309}"/>
    <cellStyle name="Comma 4 5 2 6" xfId="2411" xr:uid="{00000000-0005-0000-0000-0000380A0000}"/>
    <cellStyle name="Comma 4 5 2 6 2" xfId="6696" xr:uid="{00000000-0005-0000-0000-0000390A0000}"/>
    <cellStyle name="Comma 4 5 2 6 2 2" xfId="15135" xr:uid="{04904A3A-7D16-44F4-B447-F6D62EBFEEBC}"/>
    <cellStyle name="Comma 4 5 2 6 3" xfId="10917" xr:uid="{97CE929E-E68C-4C9C-A00D-2A9D1F774AAD}"/>
    <cellStyle name="Comma 4 5 2 7" xfId="2707" xr:uid="{00000000-0005-0000-0000-00003A0A0000}"/>
    <cellStyle name="Comma 4 5 2 8" xfId="2789" xr:uid="{00000000-0005-0000-0000-00003B0A0000}"/>
    <cellStyle name="Comma 4 5 2 8 2" xfId="7013" xr:uid="{00000000-0005-0000-0000-00003C0A0000}"/>
    <cellStyle name="Comma 4 5 2 8 2 2" xfId="15452" xr:uid="{0C2D9C3B-F25D-461D-BFFA-99D74BD96330}"/>
    <cellStyle name="Comma 4 5 2 8 3" xfId="11234" xr:uid="{7B2A5BC2-D523-45A8-AFA0-F3E01B8DDB33}"/>
    <cellStyle name="Comma 4 5 2 9" xfId="4630" xr:uid="{00000000-0005-0000-0000-00003D0A0000}"/>
    <cellStyle name="Comma 4 5 2 9 2" xfId="13069" xr:uid="{9AA4D567-C4B9-4233-B715-E88FD378C2CD}"/>
    <cellStyle name="Comma 4 5 3" xfId="694" xr:uid="{00000000-0005-0000-0000-00003E0A0000}"/>
    <cellStyle name="Comma 4 5 3 2" xfId="2965" xr:uid="{00000000-0005-0000-0000-00003F0A0000}"/>
    <cellStyle name="Comma 4 5 3 2 2" xfId="7188" xr:uid="{00000000-0005-0000-0000-0000400A0000}"/>
    <cellStyle name="Comma 4 5 3 2 2 2" xfId="15627" xr:uid="{6C8A607B-BEE2-473C-B0A9-783750D1FA5B}"/>
    <cellStyle name="Comma 4 5 3 2 3" xfId="11409" xr:uid="{2F8C68F0-03EB-4C85-8F90-1049EDE1E89A}"/>
    <cellStyle name="Comma 4 5 3 3" xfId="5043" xr:uid="{00000000-0005-0000-0000-0000410A0000}"/>
    <cellStyle name="Comma 4 5 3 3 2" xfId="13482" xr:uid="{C0230981-D06E-4EC5-A5DC-BD71B3B70DA2}"/>
    <cellStyle name="Comma 4 5 3 4" xfId="9264" xr:uid="{97D4DCA0-4BAF-4652-A171-B10269ECD3B5}"/>
    <cellStyle name="Comma 4 5 4" xfId="1147" xr:uid="{00000000-0005-0000-0000-0000420A0000}"/>
    <cellStyle name="Comma 4 5 4 2" xfId="3378" xr:uid="{00000000-0005-0000-0000-0000430A0000}"/>
    <cellStyle name="Comma 4 5 4 2 2" xfId="7601" xr:uid="{00000000-0005-0000-0000-0000440A0000}"/>
    <cellStyle name="Comma 4 5 4 2 2 2" xfId="16040" xr:uid="{2882976D-4DAD-4DE9-9CAA-DF1B34C93E51}"/>
    <cellStyle name="Comma 4 5 4 2 3" xfId="11822" xr:uid="{CA515475-5D99-4E46-93A2-8CCAABB6D406}"/>
    <cellStyle name="Comma 4 5 4 3" xfId="5456" xr:uid="{00000000-0005-0000-0000-0000450A0000}"/>
    <cellStyle name="Comma 4 5 4 3 2" xfId="13895" xr:uid="{DCB16A52-FBCD-43F3-9346-C82E4932D759}"/>
    <cellStyle name="Comma 4 5 4 4" xfId="9677" xr:uid="{53C5F4D7-AE1D-4029-9E2D-F1DCBCFD4698}"/>
    <cellStyle name="Comma 4 5 5" xfId="1561" xr:uid="{00000000-0005-0000-0000-0000460A0000}"/>
    <cellStyle name="Comma 4 5 5 2" xfId="3791" xr:uid="{00000000-0005-0000-0000-0000470A0000}"/>
    <cellStyle name="Comma 4 5 5 2 2" xfId="8014" xr:uid="{00000000-0005-0000-0000-0000480A0000}"/>
    <cellStyle name="Comma 4 5 5 2 2 2" xfId="16453" xr:uid="{492D614F-F418-4FAB-95EA-5475D48B740B}"/>
    <cellStyle name="Comma 4 5 5 2 3" xfId="12235" xr:uid="{0B124560-12BC-41F4-A5BE-BDFD00951DF9}"/>
    <cellStyle name="Comma 4 5 5 3" xfId="5869" xr:uid="{00000000-0005-0000-0000-0000490A0000}"/>
    <cellStyle name="Comma 4 5 5 3 2" xfId="14308" xr:uid="{B1A04CCD-F86F-4F0B-B0E0-509367B45C69}"/>
    <cellStyle name="Comma 4 5 5 4" xfId="10090" xr:uid="{3109DA1D-2C21-470B-A9B9-2CE602C96AA9}"/>
    <cellStyle name="Comma 4 5 6" xfId="1975" xr:uid="{00000000-0005-0000-0000-00004A0A0000}"/>
    <cellStyle name="Comma 4 5 6 2" xfId="4204" xr:uid="{00000000-0005-0000-0000-00004B0A0000}"/>
    <cellStyle name="Comma 4 5 6 2 2" xfId="8427" xr:uid="{00000000-0005-0000-0000-00004C0A0000}"/>
    <cellStyle name="Comma 4 5 6 2 2 2" xfId="16866" xr:uid="{DAED51AD-430B-49E2-B762-D3A9DE1B0676}"/>
    <cellStyle name="Comma 4 5 6 2 3" xfId="12648" xr:uid="{E6EBFAC6-84EE-4CD5-A317-56FE55761198}"/>
    <cellStyle name="Comma 4 5 6 3" xfId="6282" xr:uid="{00000000-0005-0000-0000-00004D0A0000}"/>
    <cellStyle name="Comma 4 5 6 3 2" xfId="14721" xr:uid="{6C6683AC-C7AB-4638-8FD4-A9E1770C2FBE}"/>
    <cellStyle name="Comma 4 5 6 4" xfId="10503" xr:uid="{8ACD1767-60A1-4223-A746-DCA36D36B134}"/>
    <cellStyle name="Comma 4 5 7" xfId="2410" xr:uid="{00000000-0005-0000-0000-00004E0A0000}"/>
    <cellStyle name="Comma 4 5 7 2" xfId="6695" xr:uid="{00000000-0005-0000-0000-00004F0A0000}"/>
    <cellStyle name="Comma 4 5 7 2 2" xfId="15134" xr:uid="{5B12896A-61FD-406A-BE9D-D068BE8ED944}"/>
    <cellStyle name="Comma 4 5 7 3" xfId="10916" xr:uid="{F2FE26DD-B3C6-4666-981E-6B63D2EB9243}"/>
    <cellStyle name="Comma 4 5 8" xfId="2706" xr:uid="{00000000-0005-0000-0000-0000500A0000}"/>
    <cellStyle name="Comma 4 5 9" xfId="2788" xr:uid="{00000000-0005-0000-0000-0000510A0000}"/>
    <cellStyle name="Comma 4 5 9 2" xfId="7012" xr:uid="{00000000-0005-0000-0000-0000520A0000}"/>
    <cellStyle name="Comma 4 5 9 2 2" xfId="15451" xr:uid="{56E5D318-C39E-480F-83AC-1FAE9B05E987}"/>
    <cellStyle name="Comma 4 5 9 3" xfId="11233" xr:uid="{945E99D8-938E-44BC-A59E-900E34979DDE}"/>
    <cellStyle name="Comma 4 6" xfId="159" xr:uid="{00000000-0005-0000-0000-0000530A0000}"/>
    <cellStyle name="Comma 4 6 10" xfId="8852" xr:uid="{F1E8E7AC-A087-44CB-B50E-3AB30E759876}"/>
    <cellStyle name="Comma 4 6 2" xfId="696" xr:uid="{00000000-0005-0000-0000-0000540A0000}"/>
    <cellStyle name="Comma 4 6 2 2" xfId="2967" xr:uid="{00000000-0005-0000-0000-0000550A0000}"/>
    <cellStyle name="Comma 4 6 2 2 2" xfId="7190" xr:uid="{00000000-0005-0000-0000-0000560A0000}"/>
    <cellStyle name="Comma 4 6 2 2 2 2" xfId="15629" xr:uid="{036DF598-0CDB-484C-84FB-D5729DD6EE8A}"/>
    <cellStyle name="Comma 4 6 2 2 3" xfId="11411" xr:uid="{83561830-236F-46E6-B657-169596F1BF14}"/>
    <cellStyle name="Comma 4 6 2 3" xfId="5045" xr:uid="{00000000-0005-0000-0000-0000570A0000}"/>
    <cellStyle name="Comma 4 6 2 3 2" xfId="13484" xr:uid="{77E4EE12-ECE1-4420-B4CE-393FF886C8B1}"/>
    <cellStyle name="Comma 4 6 2 4" xfId="9266" xr:uid="{AE3EF72D-3CA9-4D73-88AE-1980180939C7}"/>
    <cellStyle name="Comma 4 6 3" xfId="1149" xr:uid="{00000000-0005-0000-0000-0000580A0000}"/>
    <cellStyle name="Comma 4 6 3 2" xfId="3380" xr:uid="{00000000-0005-0000-0000-0000590A0000}"/>
    <cellStyle name="Comma 4 6 3 2 2" xfId="7603" xr:uid="{00000000-0005-0000-0000-00005A0A0000}"/>
    <cellStyle name="Comma 4 6 3 2 2 2" xfId="16042" xr:uid="{3E8D66C1-D6C5-47C6-BF24-4261A328DE7A}"/>
    <cellStyle name="Comma 4 6 3 2 3" xfId="11824" xr:uid="{D7122AD2-AC3B-486B-92F4-92A016AE4824}"/>
    <cellStyle name="Comma 4 6 3 3" xfId="5458" xr:uid="{00000000-0005-0000-0000-00005B0A0000}"/>
    <cellStyle name="Comma 4 6 3 3 2" xfId="13897" xr:uid="{96188F22-9E84-4E01-B04C-E5456DC27CC1}"/>
    <cellStyle name="Comma 4 6 3 4" xfId="9679" xr:uid="{EF374735-7A6B-4AAB-A06F-E925F33FE9CE}"/>
    <cellStyle name="Comma 4 6 4" xfId="1563" xr:uid="{00000000-0005-0000-0000-00005C0A0000}"/>
    <cellStyle name="Comma 4 6 4 2" xfId="3793" xr:uid="{00000000-0005-0000-0000-00005D0A0000}"/>
    <cellStyle name="Comma 4 6 4 2 2" xfId="8016" xr:uid="{00000000-0005-0000-0000-00005E0A0000}"/>
    <cellStyle name="Comma 4 6 4 2 2 2" xfId="16455" xr:uid="{3238442B-5011-4F70-A881-73C170364FA8}"/>
    <cellStyle name="Comma 4 6 4 2 3" xfId="12237" xr:uid="{47E410E9-7BC3-4024-B4BF-70D00DF16D8C}"/>
    <cellStyle name="Comma 4 6 4 3" xfId="5871" xr:uid="{00000000-0005-0000-0000-00005F0A0000}"/>
    <cellStyle name="Comma 4 6 4 3 2" xfId="14310" xr:uid="{9A299A84-FCA3-4C59-9B25-9EC58E12DD91}"/>
    <cellStyle name="Comma 4 6 4 4" xfId="10092" xr:uid="{BD3A40BE-9B72-422E-9FAE-93C603E7A874}"/>
    <cellStyle name="Comma 4 6 5" xfId="1977" xr:uid="{00000000-0005-0000-0000-0000600A0000}"/>
    <cellStyle name="Comma 4 6 5 2" xfId="4206" xr:uid="{00000000-0005-0000-0000-0000610A0000}"/>
    <cellStyle name="Comma 4 6 5 2 2" xfId="8429" xr:uid="{00000000-0005-0000-0000-0000620A0000}"/>
    <cellStyle name="Comma 4 6 5 2 2 2" xfId="16868" xr:uid="{0A9E0254-A95A-482F-A22A-30F8B612A768}"/>
    <cellStyle name="Comma 4 6 5 2 3" xfId="12650" xr:uid="{6B7E8CA2-536F-4D10-BDE7-C515B3A42334}"/>
    <cellStyle name="Comma 4 6 5 3" xfId="6284" xr:uid="{00000000-0005-0000-0000-0000630A0000}"/>
    <cellStyle name="Comma 4 6 5 3 2" xfId="14723" xr:uid="{189D5D52-6DFC-4DDC-910F-273BC0B4CBF7}"/>
    <cellStyle name="Comma 4 6 5 4" xfId="10505" xr:uid="{E644AF89-3A8F-4626-BACC-13335C509C5E}"/>
    <cellStyle name="Comma 4 6 6" xfId="2412" xr:uid="{00000000-0005-0000-0000-0000640A0000}"/>
    <cellStyle name="Comma 4 6 6 2" xfId="6697" xr:uid="{00000000-0005-0000-0000-0000650A0000}"/>
    <cellStyle name="Comma 4 6 6 2 2" xfId="15136" xr:uid="{76267C8D-B7CF-4B83-B9D7-31515C4D5F1F}"/>
    <cellStyle name="Comma 4 6 6 3" xfId="10918" xr:uid="{AAC567EC-40AA-4A51-A7A8-576B8A0773FD}"/>
    <cellStyle name="Comma 4 6 7" xfId="2708" xr:uid="{00000000-0005-0000-0000-0000660A0000}"/>
    <cellStyle name="Comma 4 6 8" xfId="2790" xr:uid="{00000000-0005-0000-0000-0000670A0000}"/>
    <cellStyle name="Comma 4 6 8 2" xfId="7014" xr:uid="{00000000-0005-0000-0000-0000680A0000}"/>
    <cellStyle name="Comma 4 6 8 2 2" xfId="15453" xr:uid="{210E5E10-2F0F-40BD-85A8-14923061EB71}"/>
    <cellStyle name="Comma 4 6 8 3" xfId="11235" xr:uid="{7E7605FC-578F-4AE8-BADE-E246F6D7A383}"/>
    <cellStyle name="Comma 4 6 9" xfId="4631" xr:uid="{00000000-0005-0000-0000-0000690A0000}"/>
    <cellStyle name="Comma 4 6 9 2" xfId="13070" xr:uid="{777543D6-678C-427A-88BD-73F4D9E8A54E}"/>
    <cellStyle name="Comma 4 7" xfId="160" xr:uid="{00000000-0005-0000-0000-00006A0A0000}"/>
    <cellStyle name="Comma 4 7 10" xfId="8853" xr:uid="{5EDD9B94-3788-470C-A889-A0EE3ED6BB7F}"/>
    <cellStyle name="Comma 4 7 2" xfId="697" xr:uid="{00000000-0005-0000-0000-00006B0A0000}"/>
    <cellStyle name="Comma 4 7 2 2" xfId="2968" xr:uid="{00000000-0005-0000-0000-00006C0A0000}"/>
    <cellStyle name="Comma 4 7 2 2 2" xfId="7191" xr:uid="{00000000-0005-0000-0000-00006D0A0000}"/>
    <cellStyle name="Comma 4 7 2 2 2 2" xfId="15630" xr:uid="{CADCEAE7-5F80-41C8-AAE5-C7C2A1D52B11}"/>
    <cellStyle name="Comma 4 7 2 2 3" xfId="11412" xr:uid="{18B5A8EB-3340-4C63-8FAB-465F5CC77080}"/>
    <cellStyle name="Comma 4 7 2 3" xfId="5046" xr:uid="{00000000-0005-0000-0000-00006E0A0000}"/>
    <cellStyle name="Comma 4 7 2 3 2" xfId="13485" xr:uid="{E3D81C29-6EC3-48EA-9904-4D8DE17B6B10}"/>
    <cellStyle name="Comma 4 7 2 4" xfId="9267" xr:uid="{94578D99-176F-4142-A78B-900CB3A1A37C}"/>
    <cellStyle name="Comma 4 7 3" xfId="1150" xr:uid="{00000000-0005-0000-0000-00006F0A0000}"/>
    <cellStyle name="Comma 4 7 3 2" xfId="3381" xr:uid="{00000000-0005-0000-0000-0000700A0000}"/>
    <cellStyle name="Comma 4 7 3 2 2" xfId="7604" xr:uid="{00000000-0005-0000-0000-0000710A0000}"/>
    <cellStyle name="Comma 4 7 3 2 2 2" xfId="16043" xr:uid="{9F16FE5F-0D02-48A5-AFE2-65B33F0CDBBE}"/>
    <cellStyle name="Comma 4 7 3 2 3" xfId="11825" xr:uid="{8C411D60-3E52-40AE-BD60-11B073223B86}"/>
    <cellStyle name="Comma 4 7 3 3" xfId="5459" xr:uid="{00000000-0005-0000-0000-0000720A0000}"/>
    <cellStyle name="Comma 4 7 3 3 2" xfId="13898" xr:uid="{B66F3A43-C5B1-4089-966C-543B88922EB1}"/>
    <cellStyle name="Comma 4 7 3 4" xfId="9680" xr:uid="{D1081CFF-8684-406C-9BCF-5DDBE011EE93}"/>
    <cellStyle name="Comma 4 7 4" xfId="1564" xr:uid="{00000000-0005-0000-0000-0000730A0000}"/>
    <cellStyle name="Comma 4 7 4 2" xfId="3794" xr:uid="{00000000-0005-0000-0000-0000740A0000}"/>
    <cellStyle name="Comma 4 7 4 2 2" xfId="8017" xr:uid="{00000000-0005-0000-0000-0000750A0000}"/>
    <cellStyle name="Comma 4 7 4 2 2 2" xfId="16456" xr:uid="{FBDEB813-4555-45C5-B50D-C7832FA34B7E}"/>
    <cellStyle name="Comma 4 7 4 2 3" xfId="12238" xr:uid="{765CA142-7D9B-4E2E-9B8A-A0D10C33A52A}"/>
    <cellStyle name="Comma 4 7 4 3" xfId="5872" xr:uid="{00000000-0005-0000-0000-0000760A0000}"/>
    <cellStyle name="Comma 4 7 4 3 2" xfId="14311" xr:uid="{51C3E960-7DBB-4100-93BD-01A5E756A682}"/>
    <cellStyle name="Comma 4 7 4 4" xfId="10093" xr:uid="{72C2C7C4-DAAC-4647-A941-B9B3CCCEECAE}"/>
    <cellStyle name="Comma 4 7 5" xfId="1978" xr:uid="{00000000-0005-0000-0000-0000770A0000}"/>
    <cellStyle name="Comma 4 7 5 2" xfId="4207" xr:uid="{00000000-0005-0000-0000-0000780A0000}"/>
    <cellStyle name="Comma 4 7 5 2 2" xfId="8430" xr:uid="{00000000-0005-0000-0000-0000790A0000}"/>
    <cellStyle name="Comma 4 7 5 2 2 2" xfId="16869" xr:uid="{738E1632-94D0-4C81-A4C0-80FD3A1459B3}"/>
    <cellStyle name="Comma 4 7 5 2 3" xfId="12651" xr:uid="{79762D2A-0EBC-4977-83B2-21663D7907C5}"/>
    <cellStyle name="Comma 4 7 5 3" xfId="6285" xr:uid="{00000000-0005-0000-0000-00007A0A0000}"/>
    <cellStyle name="Comma 4 7 5 3 2" xfId="14724" xr:uid="{AEEED4E3-01B4-4869-BAA2-D6FD6AFF19BB}"/>
    <cellStyle name="Comma 4 7 5 4" xfId="10506" xr:uid="{A10BDA57-BE37-4F99-BA3F-6EAAAA8C47AC}"/>
    <cellStyle name="Comma 4 7 6" xfId="2413" xr:uid="{00000000-0005-0000-0000-00007B0A0000}"/>
    <cellStyle name="Comma 4 7 6 2" xfId="6698" xr:uid="{00000000-0005-0000-0000-00007C0A0000}"/>
    <cellStyle name="Comma 4 7 6 2 2" xfId="15137" xr:uid="{557861B0-B225-44F0-8A80-222206368620}"/>
    <cellStyle name="Comma 4 7 6 3" xfId="10919" xr:uid="{73869B2B-90BD-4EDC-A8F5-B9FA7EABE4E0}"/>
    <cellStyle name="Comma 4 7 7" xfId="2709" xr:uid="{00000000-0005-0000-0000-00007D0A0000}"/>
    <cellStyle name="Comma 4 7 8" xfId="2791" xr:uid="{00000000-0005-0000-0000-00007E0A0000}"/>
    <cellStyle name="Comma 4 7 8 2" xfId="7015" xr:uid="{00000000-0005-0000-0000-00007F0A0000}"/>
    <cellStyle name="Comma 4 7 8 2 2" xfId="15454" xr:uid="{7EB336D8-BED9-4B52-83D3-7904C355D074}"/>
    <cellStyle name="Comma 4 7 8 3" xfId="11236" xr:uid="{11FF3132-EAF3-4B0A-8E4F-50B0B86CA587}"/>
    <cellStyle name="Comma 4 7 9" xfId="4632" xr:uid="{00000000-0005-0000-0000-0000800A0000}"/>
    <cellStyle name="Comma 4 7 9 2" xfId="13071" xr:uid="{38BE35AB-A6BD-4123-92A7-237E3DE64E6A}"/>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478588F2-47DF-4FC0-9EA1-3D8082492B78}"/>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92672BF5-87D2-4E96-B5A9-B3671A38AE61}"/>
    <cellStyle name="Currency 14 3" xfId="8720" xr:uid="{729B09A7-2394-4D7C-912C-1471FB3455A3}"/>
    <cellStyle name="Currency 14 3 2" xfId="8724" xr:uid="{1945FB0F-31EC-4D98-B64C-BAFBADA341A1}"/>
    <cellStyle name="Currency 14 3 2 2" xfId="17162" xr:uid="{B71E7904-472B-4CC2-A0DD-7D2F269F654A}"/>
    <cellStyle name="Currency 14 3 3" xfId="17159" xr:uid="{55446CF0-3B73-419E-98A4-97BD5695AF34}"/>
    <cellStyle name="Currency 14 4" xfId="12942" xr:uid="{1B2F2475-A458-4976-804A-496F10FC475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0EA2D26C-99BB-4D8B-A7B5-70C513527ED4}"/>
    <cellStyle name="Currency 3 2 2 10 3" xfId="11237" xr:uid="{66AFE041-2BA8-4586-BD9C-9B60F5D8A70D}"/>
    <cellStyle name="Currency 3 2 2 11" xfId="4633" xr:uid="{00000000-0005-0000-0000-0000A50A0000}"/>
    <cellStyle name="Currency 3 2 2 11 2" xfId="13072" xr:uid="{653A2B00-DF24-4A10-855D-2B0B1F340505}"/>
    <cellStyle name="Currency 3 2 2 12" xfId="8854" xr:uid="{088B11E9-0ED4-4E95-A2B9-B7B980A783C6}"/>
    <cellStyle name="Currency 3 2 2 2" xfId="179" xr:uid="{00000000-0005-0000-0000-0000A60A0000}"/>
    <cellStyle name="Currency 3 2 2 2 10" xfId="4634" xr:uid="{00000000-0005-0000-0000-0000A70A0000}"/>
    <cellStyle name="Currency 3 2 2 2 10 2" xfId="13073" xr:uid="{2E7DA884-3D20-4D7B-94F4-F63798A9848A}"/>
    <cellStyle name="Currency 3 2 2 2 11" xfId="8855" xr:uid="{A47C1AE8-8662-419B-8926-B305080028F3}"/>
    <cellStyle name="Currency 3 2 2 2 2" xfId="180" xr:uid="{00000000-0005-0000-0000-0000A80A0000}"/>
    <cellStyle name="Currency 3 2 2 2 2 10" xfId="8856" xr:uid="{7FE9E128-B90B-4D9A-8733-0E21E137F15C}"/>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08D8A001-20DD-48F8-8374-AEED457E9566}"/>
    <cellStyle name="Currency 3 2 2 2 2 2 2 3" xfId="11415" xr:uid="{312289D4-ABCD-4021-96FC-C2D6E5CFA704}"/>
    <cellStyle name="Currency 3 2 2 2 2 2 3" xfId="5049" xr:uid="{00000000-0005-0000-0000-0000AC0A0000}"/>
    <cellStyle name="Currency 3 2 2 2 2 2 3 2" xfId="13488" xr:uid="{E5F601E0-1FD3-49DE-AE4C-4E4623BD5E63}"/>
    <cellStyle name="Currency 3 2 2 2 2 2 4" xfId="9270" xr:uid="{224FBD0F-43A9-499D-8B6C-115C642B870C}"/>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E864808B-5E02-4B1A-9280-3C824E7C87B0}"/>
    <cellStyle name="Currency 3 2 2 2 2 3 2 3" xfId="11828" xr:uid="{CB8567CE-F277-4D57-920B-F069D9E7B25D}"/>
    <cellStyle name="Currency 3 2 2 2 2 3 3" xfId="5462" xr:uid="{00000000-0005-0000-0000-0000B00A0000}"/>
    <cellStyle name="Currency 3 2 2 2 2 3 3 2" xfId="13901" xr:uid="{0D300F77-D3D5-4C9E-9145-D3767A0B8A0D}"/>
    <cellStyle name="Currency 3 2 2 2 2 3 4" xfId="9683" xr:uid="{F5668597-CD5E-4F58-8F15-AC4A01E31823}"/>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9D439702-F9DC-4952-B7D9-DEB9ED92B285}"/>
    <cellStyle name="Currency 3 2 2 2 2 4 2 3" xfId="12241" xr:uid="{83BF3194-0A0E-41AF-A55A-505550F01A00}"/>
    <cellStyle name="Currency 3 2 2 2 2 4 3" xfId="5875" xr:uid="{00000000-0005-0000-0000-0000B40A0000}"/>
    <cellStyle name="Currency 3 2 2 2 2 4 3 2" xfId="14314" xr:uid="{BCAD7021-352B-4115-8A63-07A831F413B8}"/>
    <cellStyle name="Currency 3 2 2 2 2 4 4" xfId="10096" xr:uid="{15FB44F4-9657-4315-BD4A-624D2803AE6F}"/>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6A06601A-CAFC-493A-8019-20209FDD4189}"/>
    <cellStyle name="Currency 3 2 2 2 2 5 2 3" xfId="12654" xr:uid="{1986B343-70EA-44A2-AE40-FDFE3270D8C5}"/>
    <cellStyle name="Currency 3 2 2 2 2 5 3" xfId="6288" xr:uid="{00000000-0005-0000-0000-0000B80A0000}"/>
    <cellStyle name="Currency 3 2 2 2 2 5 3 2" xfId="14727" xr:uid="{D39039CC-A8F1-4EE2-A677-45B71683B564}"/>
    <cellStyle name="Currency 3 2 2 2 2 5 4" xfId="10509" xr:uid="{6F0CE520-8387-4DC7-BCBB-AB055D046732}"/>
    <cellStyle name="Currency 3 2 2 2 2 6" xfId="2416" xr:uid="{00000000-0005-0000-0000-0000B90A0000}"/>
    <cellStyle name="Currency 3 2 2 2 2 6 2" xfId="6701" xr:uid="{00000000-0005-0000-0000-0000BA0A0000}"/>
    <cellStyle name="Currency 3 2 2 2 2 6 2 2" xfId="15140" xr:uid="{08C19033-611A-4E86-B915-C3F3751579C8}"/>
    <cellStyle name="Currency 3 2 2 2 2 6 3" xfId="10922" xr:uid="{77AD86DF-365F-4C0B-94A1-96B222978BC3}"/>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9F2EF656-7CD2-40A1-ACE2-218B84880225}"/>
    <cellStyle name="Currency 3 2 2 2 2 8 3" xfId="11239" xr:uid="{4EBAD254-4E68-485A-8660-574B894C807A}"/>
    <cellStyle name="Currency 3 2 2 2 2 9" xfId="4635" xr:uid="{00000000-0005-0000-0000-0000BE0A0000}"/>
    <cellStyle name="Currency 3 2 2 2 2 9 2" xfId="13074" xr:uid="{5347D29D-6950-40A1-B0AA-F786A66B81C8}"/>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82BC8E11-1F98-40FA-9053-03E62F90A201}"/>
    <cellStyle name="Currency 3 2 2 2 3 2 3" xfId="11414" xr:uid="{8A0E9F81-6A7A-493F-921D-EE2A9166C9E2}"/>
    <cellStyle name="Currency 3 2 2 2 3 3" xfId="5048" xr:uid="{00000000-0005-0000-0000-0000C20A0000}"/>
    <cellStyle name="Currency 3 2 2 2 3 3 2" xfId="13487" xr:uid="{5D9280CE-EFAF-47C3-BE12-34C29CF14D21}"/>
    <cellStyle name="Currency 3 2 2 2 3 4" xfId="9269" xr:uid="{649A41D9-9780-4D31-A4FB-0C187A9CD77C}"/>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A0B99378-9945-402C-AE75-726735BC16F7}"/>
    <cellStyle name="Currency 3 2 2 2 4 2 3" xfId="11827" xr:uid="{48DF4B87-0634-454B-82A5-840CACCF1A18}"/>
    <cellStyle name="Currency 3 2 2 2 4 3" xfId="5461" xr:uid="{00000000-0005-0000-0000-0000C60A0000}"/>
    <cellStyle name="Currency 3 2 2 2 4 3 2" xfId="13900" xr:uid="{75A764C2-85B7-413F-BF65-1B4FE6330A31}"/>
    <cellStyle name="Currency 3 2 2 2 4 4" xfId="9682" xr:uid="{5E67494D-7652-4937-AE98-D3934EACBD53}"/>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AB8B90E4-2336-441F-830E-D8F0F495004C}"/>
    <cellStyle name="Currency 3 2 2 2 5 2 3" xfId="12240" xr:uid="{CF2FFDF2-EDBC-4A55-86B7-016D18ED12E1}"/>
    <cellStyle name="Currency 3 2 2 2 5 3" xfId="5874" xr:uid="{00000000-0005-0000-0000-0000CA0A0000}"/>
    <cellStyle name="Currency 3 2 2 2 5 3 2" xfId="14313" xr:uid="{0D2F7128-8E5B-4D35-99D3-754F143773A9}"/>
    <cellStyle name="Currency 3 2 2 2 5 4" xfId="10095" xr:uid="{5F0D52D7-09A6-41FF-A4AA-D95776AF96CE}"/>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1DD58127-AC22-4201-B248-ED5773B2DB18}"/>
    <cellStyle name="Currency 3 2 2 2 6 2 3" xfId="12653" xr:uid="{550E2570-3F4A-4792-B439-B4732A06EAA5}"/>
    <cellStyle name="Currency 3 2 2 2 6 3" xfId="6287" xr:uid="{00000000-0005-0000-0000-0000CE0A0000}"/>
    <cellStyle name="Currency 3 2 2 2 6 3 2" xfId="14726" xr:uid="{1F62A7B7-1331-463E-8F3E-1826640DEDBB}"/>
    <cellStyle name="Currency 3 2 2 2 6 4" xfId="10508" xr:uid="{D2182B07-E5C8-44F4-B90D-904A7BA83B95}"/>
    <cellStyle name="Currency 3 2 2 2 7" xfId="2415" xr:uid="{00000000-0005-0000-0000-0000CF0A0000}"/>
    <cellStyle name="Currency 3 2 2 2 7 2" xfId="6700" xr:uid="{00000000-0005-0000-0000-0000D00A0000}"/>
    <cellStyle name="Currency 3 2 2 2 7 2 2" xfId="15139" xr:uid="{C687EFC1-8397-456B-97A1-033D1345895E}"/>
    <cellStyle name="Currency 3 2 2 2 7 3" xfId="10921" xr:uid="{2BCB66F2-A3B7-4980-8872-D6FF3DECAEC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5E23A1B0-C8C8-4A9A-B47A-2248D5717C0A}"/>
    <cellStyle name="Currency 3 2 2 2 9 3" xfId="11238" xr:uid="{28868B6C-DA7D-4608-9F81-215A22B749A1}"/>
    <cellStyle name="Currency 3 2 2 3" xfId="181" xr:uid="{00000000-0005-0000-0000-0000D40A0000}"/>
    <cellStyle name="Currency 3 2 2 3 10" xfId="8857" xr:uid="{034D3882-A6BF-4C43-BF48-4840B8600008}"/>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9B541A8A-19E8-4928-B758-63CB41A14ED9}"/>
    <cellStyle name="Currency 3 2 2 3 2 2 3" xfId="11416" xr:uid="{12C46F38-4715-4B24-AB24-602D0B518968}"/>
    <cellStyle name="Currency 3 2 2 3 2 3" xfId="5050" xr:uid="{00000000-0005-0000-0000-0000D80A0000}"/>
    <cellStyle name="Currency 3 2 2 3 2 3 2" xfId="13489" xr:uid="{B99BD554-7420-4024-9DD7-7E324AC575C1}"/>
    <cellStyle name="Currency 3 2 2 3 2 4" xfId="9271" xr:uid="{7D940F3E-5E77-4777-AA18-54DF671C3545}"/>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4AE4877F-1630-46C4-9237-C9D1EC61DBBC}"/>
    <cellStyle name="Currency 3 2 2 3 3 2 3" xfId="11829" xr:uid="{9A428EC1-E53C-4AA3-95A3-B1D42709550E}"/>
    <cellStyle name="Currency 3 2 2 3 3 3" xfId="5463" xr:uid="{00000000-0005-0000-0000-0000DC0A0000}"/>
    <cellStyle name="Currency 3 2 2 3 3 3 2" xfId="13902" xr:uid="{D8D9EC8E-2F0C-4078-A1A6-008BD156F5F8}"/>
    <cellStyle name="Currency 3 2 2 3 3 4" xfId="9684" xr:uid="{E6BDBB2B-21E5-4CB5-A811-2CE5EEDA8D36}"/>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09DACC94-0A5E-46AA-9561-AD9F337FD779}"/>
    <cellStyle name="Currency 3 2 2 3 4 2 3" xfId="12242" xr:uid="{19B55220-AF06-4054-9B53-68ACD64E20FA}"/>
    <cellStyle name="Currency 3 2 2 3 4 3" xfId="5876" xr:uid="{00000000-0005-0000-0000-0000E00A0000}"/>
    <cellStyle name="Currency 3 2 2 3 4 3 2" xfId="14315" xr:uid="{826FEB18-7994-4318-9E64-8FD2AD966B1D}"/>
    <cellStyle name="Currency 3 2 2 3 4 4" xfId="10097" xr:uid="{A75AA1B6-1447-4FBD-886B-65AE31B0CA24}"/>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37D3A5E7-E330-4CBF-BC66-0B411F88A795}"/>
    <cellStyle name="Currency 3 2 2 3 5 2 3" xfId="12655" xr:uid="{B9DE0EB1-8A7A-4806-9290-479CF0C186A8}"/>
    <cellStyle name="Currency 3 2 2 3 5 3" xfId="6289" xr:uid="{00000000-0005-0000-0000-0000E40A0000}"/>
    <cellStyle name="Currency 3 2 2 3 5 3 2" xfId="14728" xr:uid="{CD85F714-6768-4CA2-A73F-A664D568D130}"/>
    <cellStyle name="Currency 3 2 2 3 5 4" xfId="10510" xr:uid="{BF61C90C-E0ED-4F52-A37C-6FB963877A7D}"/>
    <cellStyle name="Currency 3 2 2 3 6" xfId="2417" xr:uid="{00000000-0005-0000-0000-0000E50A0000}"/>
    <cellStyle name="Currency 3 2 2 3 6 2" xfId="6702" xr:uid="{00000000-0005-0000-0000-0000E60A0000}"/>
    <cellStyle name="Currency 3 2 2 3 6 2 2" xfId="15141" xr:uid="{C483C6F5-F7AA-428A-A629-0D5B0F2536AC}"/>
    <cellStyle name="Currency 3 2 2 3 6 3" xfId="10923" xr:uid="{01931469-8446-4924-AE76-A3CB0CE040C5}"/>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BAC12059-E00E-49D1-B9D8-4E586A8EBCC0}"/>
    <cellStyle name="Currency 3 2 2 3 8 3" xfId="11240" xr:uid="{432D6CAB-5D86-4C1C-93E1-158817825B15}"/>
    <cellStyle name="Currency 3 2 2 3 9" xfId="4636" xr:uid="{00000000-0005-0000-0000-0000EA0A0000}"/>
    <cellStyle name="Currency 3 2 2 3 9 2" xfId="13075" xr:uid="{64641E7A-41DC-487E-A4B3-3C228CF42AB8}"/>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7DDCBD5E-5B97-4B1C-8186-C4450BAE0DCB}"/>
    <cellStyle name="Currency 3 2 2 4 2 3" xfId="11413" xr:uid="{FFAF3867-FBB3-4E99-AF89-4483C27CFF55}"/>
    <cellStyle name="Currency 3 2 2 4 3" xfId="5047" xr:uid="{00000000-0005-0000-0000-0000EE0A0000}"/>
    <cellStyle name="Currency 3 2 2 4 3 2" xfId="13486" xr:uid="{6200327E-E023-4D25-9260-BE4B99A7F671}"/>
    <cellStyle name="Currency 3 2 2 4 4" xfId="9268" xr:uid="{CD5042FF-5732-42C6-984D-5DDB1953002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376E9F3C-0653-40A0-A333-42E0E7628808}"/>
    <cellStyle name="Currency 3 2 2 5 2 3" xfId="11826" xr:uid="{8D368E53-F25C-4640-AA21-21F48D50D1E3}"/>
    <cellStyle name="Currency 3 2 2 5 3" xfId="5460" xr:uid="{00000000-0005-0000-0000-0000F20A0000}"/>
    <cellStyle name="Currency 3 2 2 5 3 2" xfId="13899" xr:uid="{A19A67C0-CE5F-4A60-B508-2A4FB274EC49}"/>
    <cellStyle name="Currency 3 2 2 5 4" xfId="9681" xr:uid="{3FDA2DBD-1C60-488D-9027-0A0FEE685932}"/>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4D810DED-C363-4B72-B458-3608FC4C7672}"/>
    <cellStyle name="Currency 3 2 2 6 2 3" xfId="12239" xr:uid="{F37BBAE7-5E02-4A32-9AD0-9943C5A2E88C}"/>
    <cellStyle name="Currency 3 2 2 6 3" xfId="5873" xr:uid="{00000000-0005-0000-0000-0000F60A0000}"/>
    <cellStyle name="Currency 3 2 2 6 3 2" xfId="14312" xr:uid="{3D1B6BAB-A530-4837-8421-F69C7F21AC95}"/>
    <cellStyle name="Currency 3 2 2 6 4" xfId="10094" xr:uid="{AB4A865C-8F6D-4B92-BB91-1554B9DCEC13}"/>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E88821CE-2A4A-4B23-BE89-96DDBB093193}"/>
    <cellStyle name="Currency 3 2 2 7 2 3" xfId="12652" xr:uid="{9F9E2C39-E4AF-4302-B59D-5971E74672E2}"/>
    <cellStyle name="Currency 3 2 2 7 3" xfId="6286" xr:uid="{00000000-0005-0000-0000-0000FA0A0000}"/>
    <cellStyle name="Currency 3 2 2 7 3 2" xfId="14725" xr:uid="{7F0B06E5-BDE4-4597-B52F-9CBA6E4F626E}"/>
    <cellStyle name="Currency 3 2 2 7 4" xfId="10507" xr:uid="{118D4919-DB63-45D3-85EC-CFAE5FEC28F3}"/>
    <cellStyle name="Currency 3 2 2 8" xfId="2414" xr:uid="{00000000-0005-0000-0000-0000FB0A0000}"/>
    <cellStyle name="Currency 3 2 2 8 2" xfId="6699" xr:uid="{00000000-0005-0000-0000-0000FC0A0000}"/>
    <cellStyle name="Currency 3 2 2 8 2 2" xfId="15138" xr:uid="{A49CEB00-B420-49A0-B3EA-71F7C8FC9954}"/>
    <cellStyle name="Currency 3 2 2 8 3" xfId="10920" xr:uid="{3F5E8BB6-4785-43A8-88CE-A9EE539B7F9B}"/>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E31C47F9-AA53-42D8-BDBC-5613C2B05EC8}"/>
    <cellStyle name="Currency 3 2 3 11" xfId="8858" xr:uid="{F842F6F9-81FE-46A5-B060-7FC99DE3C771}"/>
    <cellStyle name="Currency 3 2 3 2" xfId="183" xr:uid="{00000000-0005-0000-0000-0000000B0000}"/>
    <cellStyle name="Currency 3 2 3 2 10" xfId="8859" xr:uid="{A9DDBF9A-3B6A-4146-B56D-9D61A2BDF9D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297D1B42-3C55-4302-881D-B7BDE6794379}"/>
    <cellStyle name="Currency 3 2 3 2 2 2 3" xfId="11418" xr:uid="{CB96AD83-08C6-445F-AD60-15EA1F3F8F34}"/>
    <cellStyle name="Currency 3 2 3 2 2 3" xfId="5052" xr:uid="{00000000-0005-0000-0000-0000040B0000}"/>
    <cellStyle name="Currency 3 2 3 2 2 3 2" xfId="13491" xr:uid="{7008EE02-9FAC-4C81-9D31-DD57FD902DF7}"/>
    <cellStyle name="Currency 3 2 3 2 2 4" xfId="9273" xr:uid="{51A831F2-646F-4ADE-983B-A7DA2FDFCF16}"/>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B9541AB3-72CB-432E-9FF9-5C56AEB50CF2}"/>
    <cellStyle name="Currency 3 2 3 2 3 2 3" xfId="11831" xr:uid="{6424DFEE-584F-45B0-A1DE-E5E638A3FC7D}"/>
    <cellStyle name="Currency 3 2 3 2 3 3" xfId="5465" xr:uid="{00000000-0005-0000-0000-0000080B0000}"/>
    <cellStyle name="Currency 3 2 3 2 3 3 2" xfId="13904" xr:uid="{48E97431-AB5F-4D05-B994-93E257AE5CEC}"/>
    <cellStyle name="Currency 3 2 3 2 3 4" xfId="9686" xr:uid="{83B096D5-5E24-46B7-AEF9-E5EFD408694A}"/>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583641A4-C0E9-43B8-969B-D695C06E2DDE}"/>
    <cellStyle name="Currency 3 2 3 2 4 2 3" xfId="12244" xr:uid="{CF6C0B2E-FA5F-4271-A79F-F07B71ED4F0E}"/>
    <cellStyle name="Currency 3 2 3 2 4 3" xfId="5878" xr:uid="{00000000-0005-0000-0000-00000C0B0000}"/>
    <cellStyle name="Currency 3 2 3 2 4 3 2" xfId="14317" xr:uid="{20C212F2-FC88-4383-9371-8E464F4C4E3E}"/>
    <cellStyle name="Currency 3 2 3 2 4 4" xfId="10099" xr:uid="{6D506744-BC69-4769-A2FB-7AE0F4155138}"/>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EF4F45CB-0C7D-442B-8E3D-9F8D2021C7AA}"/>
    <cellStyle name="Currency 3 2 3 2 5 2 3" xfId="12657" xr:uid="{F5407875-E881-48FC-959C-F6A581F9B9AD}"/>
    <cellStyle name="Currency 3 2 3 2 5 3" xfId="6291" xr:uid="{00000000-0005-0000-0000-0000100B0000}"/>
    <cellStyle name="Currency 3 2 3 2 5 3 2" xfId="14730" xr:uid="{0421961B-F240-437A-8D7C-1205CF11F487}"/>
    <cellStyle name="Currency 3 2 3 2 5 4" xfId="10512" xr:uid="{6B94402C-42A2-4522-BF1C-B7772F9B8148}"/>
    <cellStyle name="Currency 3 2 3 2 6" xfId="2419" xr:uid="{00000000-0005-0000-0000-0000110B0000}"/>
    <cellStyle name="Currency 3 2 3 2 6 2" xfId="6704" xr:uid="{00000000-0005-0000-0000-0000120B0000}"/>
    <cellStyle name="Currency 3 2 3 2 6 2 2" xfId="15143" xr:uid="{A99C2A59-0A9F-48C3-A374-6572F3B5D886}"/>
    <cellStyle name="Currency 3 2 3 2 6 3" xfId="10925" xr:uid="{56C6251C-3003-43C2-AF03-54AAFEE0486C}"/>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7023DF5F-8CBB-4459-98CA-F37F955499F9}"/>
    <cellStyle name="Currency 3 2 3 2 8 3" xfId="11242" xr:uid="{5A97BDD4-FA56-460F-8F77-2FC32DFD8842}"/>
    <cellStyle name="Currency 3 2 3 2 9" xfId="4638" xr:uid="{00000000-0005-0000-0000-0000160B0000}"/>
    <cellStyle name="Currency 3 2 3 2 9 2" xfId="13077" xr:uid="{224F6289-073C-4B61-9F46-E42C8397F0B6}"/>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601DDC02-815D-43D6-8353-79FCB31620F4}"/>
    <cellStyle name="Currency 3 2 3 3 2 3" xfId="11417" xr:uid="{A4D121E4-4A96-43E7-A0D4-2C21F05E7D3A}"/>
    <cellStyle name="Currency 3 2 3 3 3" xfId="5051" xr:uid="{00000000-0005-0000-0000-00001A0B0000}"/>
    <cellStyle name="Currency 3 2 3 3 3 2" xfId="13490" xr:uid="{F07E58F8-5C31-44FC-AE96-094ADAA7E54C}"/>
    <cellStyle name="Currency 3 2 3 3 4" xfId="9272" xr:uid="{5BE00FD4-8C67-47CE-9167-55C1A0E99101}"/>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39CDC38D-6EFF-412F-8AFE-D3FD4306F3AD}"/>
    <cellStyle name="Currency 3 2 3 4 2 3" xfId="11830" xr:uid="{C52AF72D-47F6-4E14-9403-54CF4FC63902}"/>
    <cellStyle name="Currency 3 2 3 4 3" xfId="5464" xr:uid="{00000000-0005-0000-0000-00001E0B0000}"/>
    <cellStyle name="Currency 3 2 3 4 3 2" xfId="13903" xr:uid="{96F0D82D-A97D-4A64-98F5-41E923448D72}"/>
    <cellStyle name="Currency 3 2 3 4 4" xfId="9685" xr:uid="{1915B230-36C0-4DA6-9FC6-0F698A3D79E4}"/>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2F945879-C534-4AB2-BF36-DF3549BAD84D}"/>
    <cellStyle name="Currency 3 2 3 5 2 3" xfId="12243" xr:uid="{751CC100-C110-4A01-B0F5-D16309F6CFDD}"/>
    <cellStyle name="Currency 3 2 3 5 3" xfId="5877" xr:uid="{00000000-0005-0000-0000-0000220B0000}"/>
    <cellStyle name="Currency 3 2 3 5 3 2" xfId="14316" xr:uid="{50A18996-A237-41C6-8F71-9F7C19489C9B}"/>
    <cellStyle name="Currency 3 2 3 5 4" xfId="10098" xr:uid="{D87C649A-151A-4CBE-8C44-74166E27343D}"/>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145CFD70-B8D0-4E32-8CDE-2D71C8E0AFE4}"/>
    <cellStyle name="Currency 3 2 3 6 2 3" xfId="12656" xr:uid="{4CBE10A0-9236-43CE-86B1-736338FE1621}"/>
    <cellStyle name="Currency 3 2 3 6 3" xfId="6290" xr:uid="{00000000-0005-0000-0000-0000260B0000}"/>
    <cellStyle name="Currency 3 2 3 6 3 2" xfId="14729" xr:uid="{F988DE1A-4CDE-47F5-B236-C1C3FE92C88C}"/>
    <cellStyle name="Currency 3 2 3 6 4" xfId="10511" xr:uid="{D5D9C524-BDED-4615-91BC-E8E385EA457B}"/>
    <cellStyle name="Currency 3 2 3 7" xfId="2418" xr:uid="{00000000-0005-0000-0000-0000270B0000}"/>
    <cellStyle name="Currency 3 2 3 7 2" xfId="6703" xr:uid="{00000000-0005-0000-0000-0000280B0000}"/>
    <cellStyle name="Currency 3 2 3 7 2 2" xfId="15142" xr:uid="{A476C42E-BE06-4158-A619-2C56B0948490}"/>
    <cellStyle name="Currency 3 2 3 7 3" xfId="10924" xr:uid="{096E267A-936C-4158-A3C3-0960EE947F64}"/>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49693A36-7569-46C9-B9DA-9F70DA05968B}"/>
    <cellStyle name="Currency 3 2 3 9 3" xfId="11241" xr:uid="{1E8DFCB4-1673-4CC1-AE7B-553884247727}"/>
    <cellStyle name="Currency 3 2 4" xfId="184" xr:uid="{00000000-0005-0000-0000-00002C0B0000}"/>
    <cellStyle name="Currency 3 2 4 10" xfId="8860" xr:uid="{E2B6D114-C35A-49E5-9E98-DF8B573F0271}"/>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D186DC1A-5BE1-45DC-86E1-3E17DEBF87DC}"/>
    <cellStyle name="Currency 3 2 4 2 2 3" xfId="11419" xr:uid="{9A4F9591-3D69-4F34-B434-4E666C15E0C8}"/>
    <cellStyle name="Currency 3 2 4 2 3" xfId="5053" xr:uid="{00000000-0005-0000-0000-0000300B0000}"/>
    <cellStyle name="Currency 3 2 4 2 3 2" xfId="13492" xr:uid="{B1BE0EB1-3A07-4D0D-A340-8BB1FCB82B1D}"/>
    <cellStyle name="Currency 3 2 4 2 4" xfId="9274" xr:uid="{99222DAD-E444-48F3-A5AE-1925DF5DFC67}"/>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8E236502-9376-42AD-B0A3-6139550E917A}"/>
    <cellStyle name="Currency 3 2 4 3 2 3" xfId="11832" xr:uid="{89B383DB-2307-4A7D-9A80-BC62AE400488}"/>
    <cellStyle name="Currency 3 2 4 3 3" xfId="5466" xr:uid="{00000000-0005-0000-0000-0000340B0000}"/>
    <cellStyle name="Currency 3 2 4 3 3 2" xfId="13905" xr:uid="{39866C2A-AD5A-4B62-B7D6-0C247C682751}"/>
    <cellStyle name="Currency 3 2 4 3 4" xfId="9687" xr:uid="{CC0D5258-02FF-421B-A573-47A63F8F962F}"/>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41E66D27-0B7E-4C36-B2CD-6220705E1C67}"/>
    <cellStyle name="Currency 3 2 4 4 2 3" xfId="12245" xr:uid="{7D184733-3850-4D43-9665-4588019C44D2}"/>
    <cellStyle name="Currency 3 2 4 4 3" xfId="5879" xr:uid="{00000000-0005-0000-0000-0000380B0000}"/>
    <cellStyle name="Currency 3 2 4 4 3 2" xfId="14318" xr:uid="{CF6B517F-1462-4653-842D-C0316516F2B9}"/>
    <cellStyle name="Currency 3 2 4 4 4" xfId="10100" xr:uid="{57AA8216-A8AC-4E7C-83B2-661B9FB5A28B}"/>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0230A54A-5C30-4C80-A0C9-7E9700ED7AC4}"/>
    <cellStyle name="Currency 3 2 4 5 2 3" xfId="12658" xr:uid="{90FAEAF0-6F22-41E4-94E4-CD24F63143AD}"/>
    <cellStyle name="Currency 3 2 4 5 3" xfId="6292" xr:uid="{00000000-0005-0000-0000-00003C0B0000}"/>
    <cellStyle name="Currency 3 2 4 5 3 2" xfId="14731" xr:uid="{0E20F23C-89C9-4DE6-B986-AF8FBA7D602E}"/>
    <cellStyle name="Currency 3 2 4 5 4" xfId="10513" xr:uid="{95813935-3AA0-4FB5-8B9E-C21E0CB64CE3}"/>
    <cellStyle name="Currency 3 2 4 6" xfId="2420" xr:uid="{00000000-0005-0000-0000-00003D0B0000}"/>
    <cellStyle name="Currency 3 2 4 6 2" xfId="6705" xr:uid="{00000000-0005-0000-0000-00003E0B0000}"/>
    <cellStyle name="Currency 3 2 4 6 2 2" xfId="15144" xr:uid="{90CB7237-5767-4D05-8BE5-1BDB6F740D39}"/>
    <cellStyle name="Currency 3 2 4 6 3" xfId="10926" xr:uid="{C8D69D61-27BF-4B8C-ADCF-AA074D1876F2}"/>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EA3429CA-1BED-4ED8-BBFB-6856E8F35A0C}"/>
    <cellStyle name="Currency 3 2 4 8 3" xfId="11243" xr:uid="{CC456CB0-1F4C-4AB6-BA91-91B711B90836}"/>
    <cellStyle name="Currency 3 2 4 9" xfId="4639" xr:uid="{00000000-0005-0000-0000-0000420B0000}"/>
    <cellStyle name="Currency 3 2 4 9 2" xfId="13078" xr:uid="{7587003D-8EAD-4B54-90C9-29D959A657FA}"/>
    <cellStyle name="Currency 3 2 5" xfId="185" xr:uid="{00000000-0005-0000-0000-0000430B0000}"/>
    <cellStyle name="Currency 3 2 5 10" xfId="8861" xr:uid="{E5CC54E1-4F04-4B28-8988-63206B6E21ED}"/>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2ACB5FBD-DE5B-4114-9319-5A4E77140A8A}"/>
    <cellStyle name="Currency 3 2 5 2 2 3" xfId="11420" xr:uid="{D0769FBC-EC92-4C57-8C5D-AF361D55607C}"/>
    <cellStyle name="Currency 3 2 5 2 3" xfId="5054" xr:uid="{00000000-0005-0000-0000-0000470B0000}"/>
    <cellStyle name="Currency 3 2 5 2 3 2" xfId="13493" xr:uid="{B441CE26-A9F2-4721-96EF-EF7A0604A13B}"/>
    <cellStyle name="Currency 3 2 5 2 4" xfId="9275" xr:uid="{78579FD4-1EF1-4554-AE56-B4973567029F}"/>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A9AF4A45-6129-4C2B-AF88-E9AA7B83CCA8}"/>
    <cellStyle name="Currency 3 2 5 3 2 3" xfId="11833" xr:uid="{883978F6-78FD-4473-8E97-6AEA7851B956}"/>
    <cellStyle name="Currency 3 2 5 3 3" xfId="5467" xr:uid="{00000000-0005-0000-0000-00004B0B0000}"/>
    <cellStyle name="Currency 3 2 5 3 3 2" xfId="13906" xr:uid="{5DA7DDEE-FDF2-4CA2-998B-0855603BDF50}"/>
    <cellStyle name="Currency 3 2 5 3 4" xfId="9688" xr:uid="{6B440768-B454-4465-9CFE-48C251CB7FAC}"/>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AC9F91E2-E8EB-421C-9708-756092989399}"/>
    <cellStyle name="Currency 3 2 5 4 2 3" xfId="12246" xr:uid="{6DB1CB45-2631-40D0-9052-700DD1819FDB}"/>
    <cellStyle name="Currency 3 2 5 4 3" xfId="5880" xr:uid="{00000000-0005-0000-0000-00004F0B0000}"/>
    <cellStyle name="Currency 3 2 5 4 3 2" xfId="14319" xr:uid="{8C2CC825-30EA-4AB9-B4F1-D3E55B186460}"/>
    <cellStyle name="Currency 3 2 5 4 4" xfId="10101" xr:uid="{F5B259D0-CCEA-4A2A-B49A-76B950A9DF09}"/>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B8282B64-5956-48F5-88D6-8DD3E78A67AA}"/>
    <cellStyle name="Currency 3 2 5 5 2 3" xfId="12659" xr:uid="{8AAF71BD-3BD2-4EEE-AAD4-2B39ABF30BA8}"/>
    <cellStyle name="Currency 3 2 5 5 3" xfId="6293" xr:uid="{00000000-0005-0000-0000-0000530B0000}"/>
    <cellStyle name="Currency 3 2 5 5 3 2" xfId="14732" xr:uid="{5D6ABAC3-E020-485B-A025-A7AE9089D966}"/>
    <cellStyle name="Currency 3 2 5 5 4" xfId="10514" xr:uid="{8E0F62B2-E544-4CCD-96E4-EF34F424F60F}"/>
    <cellStyle name="Currency 3 2 5 6" xfId="2421" xr:uid="{00000000-0005-0000-0000-0000540B0000}"/>
    <cellStyle name="Currency 3 2 5 6 2" xfId="6706" xr:uid="{00000000-0005-0000-0000-0000550B0000}"/>
    <cellStyle name="Currency 3 2 5 6 2 2" xfId="15145" xr:uid="{37573888-A77E-4952-A4C3-3D4FBF41B92F}"/>
    <cellStyle name="Currency 3 2 5 6 3" xfId="10927" xr:uid="{2648DCB8-6AC1-4F6D-B5E1-668A3301A3A7}"/>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D4EE83F5-BCC2-49ED-ADE6-76CFD12818B2}"/>
    <cellStyle name="Currency 3 2 5 8 3" xfId="11244" xr:uid="{5DC94427-2D70-40A3-8C41-190CA462F9C0}"/>
    <cellStyle name="Currency 3 2 5 9" xfId="4640" xr:uid="{00000000-0005-0000-0000-0000590B0000}"/>
    <cellStyle name="Currency 3 2 5 9 2" xfId="13079" xr:uid="{0192CDBA-4925-4441-81D4-EB6AC08182D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61AE89FB-F525-4BF0-9576-28FFE675D340}"/>
    <cellStyle name="Currency 5 2 2 2 10 3" xfId="11245" xr:uid="{7D330297-A5A2-4E91-B4AA-4E88DF958C78}"/>
    <cellStyle name="Currency 5 2 2 2 11" xfId="4641" xr:uid="{00000000-0005-0000-0000-00006C0B0000}"/>
    <cellStyle name="Currency 5 2 2 2 11 2" xfId="13080" xr:uid="{CAA41461-3AC0-44C8-A768-0422DF293BDD}"/>
    <cellStyle name="Currency 5 2 2 2 12" xfId="8862" xr:uid="{7EB0AF6C-A852-4826-B8F7-B9E844A083EE}"/>
    <cellStyle name="Currency 5 2 2 2 2" xfId="197" xr:uid="{00000000-0005-0000-0000-00006D0B0000}"/>
    <cellStyle name="Currency 5 2 2 2 2 10" xfId="4642" xr:uid="{00000000-0005-0000-0000-00006E0B0000}"/>
    <cellStyle name="Currency 5 2 2 2 2 10 2" xfId="13081" xr:uid="{75B974DC-3DA8-492C-A946-EADCA846787D}"/>
    <cellStyle name="Currency 5 2 2 2 2 11" xfId="8863" xr:uid="{E2DBE94A-4893-4815-BBBA-78B7284737A3}"/>
    <cellStyle name="Currency 5 2 2 2 2 2" xfId="198" xr:uid="{00000000-0005-0000-0000-00006F0B0000}"/>
    <cellStyle name="Currency 5 2 2 2 2 2 10" xfId="8864" xr:uid="{2BF73C9D-783B-43EF-AC2C-64CAB183E543}"/>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11335C86-EC94-422B-A81F-1037F2BAB779}"/>
    <cellStyle name="Currency 5 2 2 2 2 2 2 2 3" xfId="11423" xr:uid="{C0DA37C2-9FE2-43EF-A0E6-BC36DE6FB3A2}"/>
    <cellStyle name="Currency 5 2 2 2 2 2 2 3" xfId="5057" xr:uid="{00000000-0005-0000-0000-0000730B0000}"/>
    <cellStyle name="Currency 5 2 2 2 2 2 2 3 2" xfId="13496" xr:uid="{0ED8AFA5-5FF4-4034-894D-AD8FE76232CF}"/>
    <cellStyle name="Currency 5 2 2 2 2 2 2 4" xfId="9278" xr:uid="{FBF8BA1E-CE4B-4B3E-9F00-5562B51FBF46}"/>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F29CEE96-CB2D-4451-8F4E-23DB69047565}"/>
    <cellStyle name="Currency 5 2 2 2 2 2 3 2 3" xfId="11836" xr:uid="{0D216B73-3A5F-4B51-B4A4-A2621CD72522}"/>
    <cellStyle name="Currency 5 2 2 2 2 2 3 3" xfId="5470" xr:uid="{00000000-0005-0000-0000-0000770B0000}"/>
    <cellStyle name="Currency 5 2 2 2 2 2 3 3 2" xfId="13909" xr:uid="{76D1C351-55FD-41CF-A473-1C2079D8F8D3}"/>
    <cellStyle name="Currency 5 2 2 2 2 2 3 4" xfId="9691" xr:uid="{5296225E-AE95-4F5A-8B5E-CAF25FCC57B5}"/>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937B347B-0900-4831-880F-890086D3BA91}"/>
    <cellStyle name="Currency 5 2 2 2 2 2 4 2 3" xfId="12249" xr:uid="{EFEC8D0C-ED80-4576-A7EB-C2A78DD3A1A2}"/>
    <cellStyle name="Currency 5 2 2 2 2 2 4 3" xfId="5883" xr:uid="{00000000-0005-0000-0000-00007B0B0000}"/>
    <cellStyle name="Currency 5 2 2 2 2 2 4 3 2" xfId="14322" xr:uid="{8FC3BC15-CBFE-474F-9491-95D8BB4725FF}"/>
    <cellStyle name="Currency 5 2 2 2 2 2 4 4" xfId="10104" xr:uid="{A8F54C98-5112-4722-AA00-3C16D72BD244}"/>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93EA735E-F5EB-4C6E-87CC-6763EDA57AC4}"/>
    <cellStyle name="Currency 5 2 2 2 2 2 5 2 3" xfId="12662" xr:uid="{17D496CE-7B38-4604-9A9C-ABBA950F804B}"/>
    <cellStyle name="Currency 5 2 2 2 2 2 5 3" xfId="6296" xr:uid="{00000000-0005-0000-0000-00007F0B0000}"/>
    <cellStyle name="Currency 5 2 2 2 2 2 5 3 2" xfId="14735" xr:uid="{41A00D89-0293-42E2-A4AB-631130911323}"/>
    <cellStyle name="Currency 5 2 2 2 2 2 5 4" xfId="10517" xr:uid="{302948B0-2592-4C34-BABE-1A941335E8DB}"/>
    <cellStyle name="Currency 5 2 2 2 2 2 6" xfId="2424" xr:uid="{00000000-0005-0000-0000-0000800B0000}"/>
    <cellStyle name="Currency 5 2 2 2 2 2 6 2" xfId="6709" xr:uid="{00000000-0005-0000-0000-0000810B0000}"/>
    <cellStyle name="Currency 5 2 2 2 2 2 6 2 2" xfId="15148" xr:uid="{D519A526-8B59-4DEB-B5DE-E58A6A5EE478}"/>
    <cellStyle name="Currency 5 2 2 2 2 2 6 3" xfId="10930" xr:uid="{C9235A7A-08A8-42E3-AC3E-77DE98596624}"/>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8611D43A-6E80-405F-A8A1-1BC91B3D4F2C}"/>
    <cellStyle name="Currency 5 2 2 2 2 2 8 3" xfId="11247" xr:uid="{6B0BB80C-B058-416A-A2EA-B01E85079E0B}"/>
    <cellStyle name="Currency 5 2 2 2 2 2 9" xfId="4643" xr:uid="{00000000-0005-0000-0000-0000850B0000}"/>
    <cellStyle name="Currency 5 2 2 2 2 2 9 2" xfId="13082" xr:uid="{E5C6FE85-88BB-4BCF-A427-C3AB70F7F61C}"/>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80AC031D-91D0-4C94-9585-1B8D6559F80A}"/>
    <cellStyle name="Currency 5 2 2 2 2 3 2 3" xfId="11422" xr:uid="{BB09E9BF-B1EF-46F9-8795-565E78819BBE}"/>
    <cellStyle name="Currency 5 2 2 2 2 3 3" xfId="5056" xr:uid="{00000000-0005-0000-0000-0000890B0000}"/>
    <cellStyle name="Currency 5 2 2 2 2 3 3 2" xfId="13495" xr:uid="{DB42E8DC-C0DF-4E04-A620-55226F5C9D2B}"/>
    <cellStyle name="Currency 5 2 2 2 2 3 4" xfId="9277" xr:uid="{430923E5-C8A4-4953-82E7-2EFC8D54E22A}"/>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5609EA53-F687-44EB-A82C-04B6BFB920FF}"/>
    <cellStyle name="Currency 5 2 2 2 2 4 2 3" xfId="11835" xr:uid="{D284617F-F584-46B0-92FB-96895D23ADEB}"/>
    <cellStyle name="Currency 5 2 2 2 2 4 3" xfId="5469" xr:uid="{00000000-0005-0000-0000-00008D0B0000}"/>
    <cellStyle name="Currency 5 2 2 2 2 4 3 2" xfId="13908" xr:uid="{D554987A-AAA8-45F7-A475-7CBD933A0AA6}"/>
    <cellStyle name="Currency 5 2 2 2 2 4 4" xfId="9690" xr:uid="{D679B803-F6F1-4414-A831-1EBBC36B4EE5}"/>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4A5BA1EF-E1EB-470A-A6B7-25BE351183D3}"/>
    <cellStyle name="Currency 5 2 2 2 2 5 2 3" xfId="12248" xr:uid="{6AEBA5D5-B16D-4678-ADF2-D49CFF92A74B}"/>
    <cellStyle name="Currency 5 2 2 2 2 5 3" xfId="5882" xr:uid="{00000000-0005-0000-0000-0000910B0000}"/>
    <cellStyle name="Currency 5 2 2 2 2 5 3 2" xfId="14321" xr:uid="{AC8529CA-CFEB-4854-ACA2-9E98A57984CC}"/>
    <cellStyle name="Currency 5 2 2 2 2 5 4" xfId="10103" xr:uid="{595C120D-D680-4991-876F-6FB1FC1D7D5B}"/>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7C5B1AF6-7CFF-4F75-B245-07770D3020AE}"/>
    <cellStyle name="Currency 5 2 2 2 2 6 2 3" xfId="12661" xr:uid="{E4054F06-42B1-4899-A6F7-9D1337346251}"/>
    <cellStyle name="Currency 5 2 2 2 2 6 3" xfId="6295" xr:uid="{00000000-0005-0000-0000-0000950B0000}"/>
    <cellStyle name="Currency 5 2 2 2 2 6 3 2" xfId="14734" xr:uid="{E9A1F728-D5A7-40A9-A853-76E807E85BD2}"/>
    <cellStyle name="Currency 5 2 2 2 2 6 4" xfId="10516" xr:uid="{71CCCF59-1BA1-4F82-9937-80BA472B4506}"/>
    <cellStyle name="Currency 5 2 2 2 2 7" xfId="2423" xr:uid="{00000000-0005-0000-0000-0000960B0000}"/>
    <cellStyle name="Currency 5 2 2 2 2 7 2" xfId="6708" xr:uid="{00000000-0005-0000-0000-0000970B0000}"/>
    <cellStyle name="Currency 5 2 2 2 2 7 2 2" xfId="15147" xr:uid="{4CDEBC4A-C8E2-4928-90E9-B1EE7E83A687}"/>
    <cellStyle name="Currency 5 2 2 2 2 7 3" xfId="10929" xr:uid="{198F2C86-5199-4EF1-8892-36122A8531D5}"/>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731C6F68-154B-49B1-AA0C-CE7998AEC527}"/>
    <cellStyle name="Currency 5 2 2 2 2 9 3" xfId="11246" xr:uid="{71B83B5A-843A-43E2-B774-63D5CF1D6D1D}"/>
    <cellStyle name="Currency 5 2 2 2 3" xfId="199" xr:uid="{00000000-0005-0000-0000-00009B0B0000}"/>
    <cellStyle name="Currency 5 2 2 2 3 10" xfId="8865" xr:uid="{AF7E964E-C45C-49B0-B458-DA7FE22835A9}"/>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BF64A551-B804-49CD-BDFF-4D6985B4A6BB}"/>
    <cellStyle name="Currency 5 2 2 2 3 2 2 3" xfId="11424" xr:uid="{3BA0699A-0732-4E6B-9476-240626AB4290}"/>
    <cellStyle name="Currency 5 2 2 2 3 2 3" xfId="5058" xr:uid="{00000000-0005-0000-0000-00009F0B0000}"/>
    <cellStyle name="Currency 5 2 2 2 3 2 3 2" xfId="13497" xr:uid="{E45DC831-2B97-46FC-8592-446A9205E43E}"/>
    <cellStyle name="Currency 5 2 2 2 3 2 4" xfId="9279" xr:uid="{73DE863C-6A96-4C0B-B3AC-76A20451448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8357BD72-4373-40CF-93D8-590486DE40E1}"/>
    <cellStyle name="Currency 5 2 2 2 3 3 2 3" xfId="11837" xr:uid="{FCFEAB2D-D7CF-4508-AAC5-CDE37C060AD6}"/>
    <cellStyle name="Currency 5 2 2 2 3 3 3" xfId="5471" xr:uid="{00000000-0005-0000-0000-0000A30B0000}"/>
    <cellStyle name="Currency 5 2 2 2 3 3 3 2" xfId="13910" xr:uid="{8FDDDFDC-931B-4331-BB16-9D9F1F852368}"/>
    <cellStyle name="Currency 5 2 2 2 3 3 4" xfId="9692" xr:uid="{15FFFDB1-CF5F-400A-ADD4-A66D09521741}"/>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5739F278-B327-4E38-8F87-D076DCA88188}"/>
    <cellStyle name="Currency 5 2 2 2 3 4 2 3" xfId="12250" xr:uid="{3E9F5A31-F88F-4FA4-B844-6C13544E4775}"/>
    <cellStyle name="Currency 5 2 2 2 3 4 3" xfId="5884" xr:uid="{00000000-0005-0000-0000-0000A70B0000}"/>
    <cellStyle name="Currency 5 2 2 2 3 4 3 2" xfId="14323" xr:uid="{AB1B7C6D-77B2-4407-8AEC-06677BAA01C5}"/>
    <cellStyle name="Currency 5 2 2 2 3 4 4" xfId="10105" xr:uid="{90BA27BF-9C71-4F28-A058-89771665A91D}"/>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A5C7536C-E3A4-4716-B98C-36678F48E45A}"/>
    <cellStyle name="Currency 5 2 2 2 3 5 2 3" xfId="12663" xr:uid="{F43C717C-A90B-43CF-9F02-89CA5E5FD57E}"/>
    <cellStyle name="Currency 5 2 2 2 3 5 3" xfId="6297" xr:uid="{00000000-0005-0000-0000-0000AB0B0000}"/>
    <cellStyle name="Currency 5 2 2 2 3 5 3 2" xfId="14736" xr:uid="{3165E00B-C5FA-4D79-BCCA-A6729DA9F957}"/>
    <cellStyle name="Currency 5 2 2 2 3 5 4" xfId="10518" xr:uid="{AE3892AA-FECA-451C-AE2A-0CC337BD671C}"/>
    <cellStyle name="Currency 5 2 2 2 3 6" xfId="2425" xr:uid="{00000000-0005-0000-0000-0000AC0B0000}"/>
    <cellStyle name="Currency 5 2 2 2 3 6 2" xfId="6710" xr:uid="{00000000-0005-0000-0000-0000AD0B0000}"/>
    <cellStyle name="Currency 5 2 2 2 3 6 2 2" xfId="15149" xr:uid="{B6F6A183-7A0A-4964-9123-808FB650E14E}"/>
    <cellStyle name="Currency 5 2 2 2 3 6 3" xfId="10931" xr:uid="{D6D00BE9-0CA5-46FC-B3CF-03D5B3A6A84C}"/>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14660B82-EC92-4574-9F32-69DE5A1497B5}"/>
    <cellStyle name="Currency 5 2 2 2 3 8 3" xfId="11248" xr:uid="{4B08342E-0852-4B30-9558-0D0C6B0DE4E3}"/>
    <cellStyle name="Currency 5 2 2 2 3 9" xfId="4644" xr:uid="{00000000-0005-0000-0000-0000B10B0000}"/>
    <cellStyle name="Currency 5 2 2 2 3 9 2" xfId="13083" xr:uid="{3E0CBFD7-CEE9-4512-A840-BCDDC1D029F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C719CAC0-42CA-4309-8F55-A7183DFE3773}"/>
    <cellStyle name="Currency 5 2 2 2 4 2 3" xfId="11421" xr:uid="{E12F8008-89B6-4E26-9641-FF07F0A9A086}"/>
    <cellStyle name="Currency 5 2 2 2 4 3" xfId="5055" xr:uid="{00000000-0005-0000-0000-0000B50B0000}"/>
    <cellStyle name="Currency 5 2 2 2 4 3 2" xfId="13494" xr:uid="{3D6F458F-D9B0-4699-BBEF-646C8C69E94D}"/>
    <cellStyle name="Currency 5 2 2 2 4 4" xfId="9276" xr:uid="{7830D41D-58D5-411C-A8F0-29CF0496A14D}"/>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2BA9467F-6E21-4F1D-9CCA-414BFA77CB2D}"/>
    <cellStyle name="Currency 5 2 2 2 5 2 3" xfId="11834" xr:uid="{DB54420A-AE3D-4404-ADA2-5731D262CDC4}"/>
    <cellStyle name="Currency 5 2 2 2 5 3" xfId="5468" xr:uid="{00000000-0005-0000-0000-0000B90B0000}"/>
    <cellStyle name="Currency 5 2 2 2 5 3 2" xfId="13907" xr:uid="{F28F52CD-E9BE-46F8-954F-EAB768B9EFCF}"/>
    <cellStyle name="Currency 5 2 2 2 5 4" xfId="9689" xr:uid="{2102B3C6-D934-4ED4-B253-7514AA28D091}"/>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E9C12F6B-73AE-41A4-BB01-8C42EAE233F4}"/>
    <cellStyle name="Currency 5 2 2 2 6 2 3" xfId="12247" xr:uid="{3F43B5F0-4A5E-4ABC-A5EC-F69FFDA919ED}"/>
    <cellStyle name="Currency 5 2 2 2 6 3" xfId="5881" xr:uid="{00000000-0005-0000-0000-0000BD0B0000}"/>
    <cellStyle name="Currency 5 2 2 2 6 3 2" xfId="14320" xr:uid="{85BD8B65-0FE7-4F9A-AF9F-D4FA6F8364C8}"/>
    <cellStyle name="Currency 5 2 2 2 6 4" xfId="10102" xr:uid="{60D33F2F-1D5D-4CE2-9269-4B00DE709823}"/>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2A4B86B4-0E24-4000-9F40-B0B8C49FF470}"/>
    <cellStyle name="Currency 5 2 2 2 7 2 3" xfId="12660" xr:uid="{75A4E817-57D7-4366-9885-A054BA86A049}"/>
    <cellStyle name="Currency 5 2 2 2 7 3" xfId="6294" xr:uid="{00000000-0005-0000-0000-0000C10B0000}"/>
    <cellStyle name="Currency 5 2 2 2 7 3 2" xfId="14733" xr:uid="{56637FE3-6ABA-4C32-805B-7F48D60F6727}"/>
    <cellStyle name="Currency 5 2 2 2 7 4" xfId="10515" xr:uid="{4DF8C62B-D2F9-4B8D-9E3C-35BA4B795680}"/>
    <cellStyle name="Currency 5 2 2 2 8" xfId="2422" xr:uid="{00000000-0005-0000-0000-0000C20B0000}"/>
    <cellStyle name="Currency 5 2 2 2 8 2" xfId="6707" xr:uid="{00000000-0005-0000-0000-0000C30B0000}"/>
    <cellStyle name="Currency 5 2 2 2 8 2 2" xfId="15146" xr:uid="{ABE97E20-AAD8-4907-8CD4-0F30BC8928BB}"/>
    <cellStyle name="Currency 5 2 2 2 8 3" xfId="10928" xr:uid="{8E23AAC1-823E-4312-99CE-23C517BEEA5D}"/>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5EC84D89-F236-4D60-8EED-8D82947FFCED}"/>
    <cellStyle name="Currency 5 2 2 3 11" xfId="8866" xr:uid="{ED41FC47-56DC-4FD1-A7BD-FE2E9795CE41}"/>
    <cellStyle name="Currency 5 2 2 3 2" xfId="201" xr:uid="{00000000-0005-0000-0000-0000C70B0000}"/>
    <cellStyle name="Currency 5 2 2 3 2 10" xfId="8867" xr:uid="{C26B9068-4CB6-4BFC-9E69-F0F0A2C67D71}"/>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892E96C8-F9E7-465D-828E-1835BBDDEE09}"/>
    <cellStyle name="Currency 5 2 2 3 2 2 2 3" xfId="11426" xr:uid="{A792FE27-F52A-447D-ACC0-770C8354EBB2}"/>
    <cellStyle name="Currency 5 2 2 3 2 2 3" xfId="5060" xr:uid="{00000000-0005-0000-0000-0000CB0B0000}"/>
    <cellStyle name="Currency 5 2 2 3 2 2 3 2" xfId="13499" xr:uid="{BC75AAA6-F342-47F3-AAB6-62A85C23ECE2}"/>
    <cellStyle name="Currency 5 2 2 3 2 2 4" xfId="9281" xr:uid="{7EDAC679-4D08-43CB-8889-65204B852828}"/>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ED9867C7-72A6-4EE0-8B96-0ADC9FEC7B1A}"/>
    <cellStyle name="Currency 5 2 2 3 2 3 2 3" xfId="11839" xr:uid="{2440C965-A69C-4B76-A8F0-D9F990B96D2A}"/>
    <cellStyle name="Currency 5 2 2 3 2 3 3" xfId="5473" xr:uid="{00000000-0005-0000-0000-0000CF0B0000}"/>
    <cellStyle name="Currency 5 2 2 3 2 3 3 2" xfId="13912" xr:uid="{39F176F2-1CE0-44D2-A9BB-31EEDD4A9C33}"/>
    <cellStyle name="Currency 5 2 2 3 2 3 4" xfId="9694" xr:uid="{62BBD569-AD85-4F17-BE7E-8B8F51125318}"/>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21FD95EF-F1C7-4DD3-B607-4740F5BBE0BE}"/>
    <cellStyle name="Currency 5 2 2 3 2 4 2 3" xfId="12252" xr:uid="{740911FB-5488-4298-B506-06EB9CDF6C7C}"/>
    <cellStyle name="Currency 5 2 2 3 2 4 3" xfId="5886" xr:uid="{00000000-0005-0000-0000-0000D30B0000}"/>
    <cellStyle name="Currency 5 2 2 3 2 4 3 2" xfId="14325" xr:uid="{BC12CFEB-31EF-4C89-9411-3F178A2EBBAE}"/>
    <cellStyle name="Currency 5 2 2 3 2 4 4" xfId="10107" xr:uid="{434CB01C-535C-46FF-952B-AFA5DF026CB8}"/>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61C2683B-C904-4409-A47B-5516A8779D5F}"/>
    <cellStyle name="Currency 5 2 2 3 2 5 2 3" xfId="12665" xr:uid="{123F5410-DC7A-4047-91F6-1B14AD86FA8F}"/>
    <cellStyle name="Currency 5 2 2 3 2 5 3" xfId="6299" xr:uid="{00000000-0005-0000-0000-0000D70B0000}"/>
    <cellStyle name="Currency 5 2 2 3 2 5 3 2" xfId="14738" xr:uid="{EB77882F-F229-41D4-9C08-30B7645EF261}"/>
    <cellStyle name="Currency 5 2 2 3 2 5 4" xfId="10520" xr:uid="{DA3ED0FD-C7E0-4393-AA6E-D6F1F762D6FE}"/>
    <cellStyle name="Currency 5 2 2 3 2 6" xfId="2427" xr:uid="{00000000-0005-0000-0000-0000D80B0000}"/>
    <cellStyle name="Currency 5 2 2 3 2 6 2" xfId="6712" xr:uid="{00000000-0005-0000-0000-0000D90B0000}"/>
    <cellStyle name="Currency 5 2 2 3 2 6 2 2" xfId="15151" xr:uid="{DDD5223B-AB3D-4399-9696-BE3C259493B2}"/>
    <cellStyle name="Currency 5 2 2 3 2 6 3" xfId="10933" xr:uid="{F1D3D808-6F83-44B1-8973-AC7BBD2E1CB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164CEE82-6F34-46D2-8F75-E5015CEC0826}"/>
    <cellStyle name="Currency 5 2 2 3 2 8 3" xfId="11250" xr:uid="{9F8BA24C-5E8B-4E66-B3C1-EBB3BA7D4AAE}"/>
    <cellStyle name="Currency 5 2 2 3 2 9" xfId="4646" xr:uid="{00000000-0005-0000-0000-0000DD0B0000}"/>
    <cellStyle name="Currency 5 2 2 3 2 9 2" xfId="13085" xr:uid="{089E5DDF-1560-470B-879E-84C05B068997}"/>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909C36CB-D70B-4D66-8DF9-7053B38E9A7B}"/>
    <cellStyle name="Currency 5 2 2 3 3 2 3" xfId="11425" xr:uid="{64A1C7ED-F13D-4787-AFA8-73BAE2205331}"/>
    <cellStyle name="Currency 5 2 2 3 3 3" xfId="5059" xr:uid="{00000000-0005-0000-0000-0000E10B0000}"/>
    <cellStyle name="Currency 5 2 2 3 3 3 2" xfId="13498" xr:uid="{98670292-9227-4ED9-B9D7-405C41175A78}"/>
    <cellStyle name="Currency 5 2 2 3 3 4" xfId="9280" xr:uid="{6F5B3BEE-A886-4896-9A81-D449AD78F8E5}"/>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EDE894C1-B154-481B-B2C2-8A49D890F393}"/>
    <cellStyle name="Currency 5 2 2 3 4 2 3" xfId="11838" xr:uid="{371560A0-561C-4E06-8206-E6A7964A9479}"/>
    <cellStyle name="Currency 5 2 2 3 4 3" xfId="5472" xr:uid="{00000000-0005-0000-0000-0000E50B0000}"/>
    <cellStyle name="Currency 5 2 2 3 4 3 2" xfId="13911" xr:uid="{2DA679C2-BD24-4E74-AAFC-2B4FEE74E58D}"/>
    <cellStyle name="Currency 5 2 2 3 4 4" xfId="9693" xr:uid="{C530641C-5564-4A1B-80C2-6CD0F534C49D}"/>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FF08B5F3-4105-4D22-B638-265564341AA9}"/>
    <cellStyle name="Currency 5 2 2 3 5 2 3" xfId="12251" xr:uid="{3D0EEA10-B229-4BC0-9314-180409161693}"/>
    <cellStyle name="Currency 5 2 2 3 5 3" xfId="5885" xr:uid="{00000000-0005-0000-0000-0000E90B0000}"/>
    <cellStyle name="Currency 5 2 2 3 5 3 2" xfId="14324" xr:uid="{FAA5648E-0C0F-489E-A1A1-97D8B1546734}"/>
    <cellStyle name="Currency 5 2 2 3 5 4" xfId="10106" xr:uid="{B2562184-1B8E-4300-A80F-3BCF3495C8FA}"/>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6225BF23-17F6-4427-9E0E-61785522A203}"/>
    <cellStyle name="Currency 5 2 2 3 6 2 3" xfId="12664" xr:uid="{8DA598E8-5DA9-4814-A651-5414A042D17E}"/>
    <cellStyle name="Currency 5 2 2 3 6 3" xfId="6298" xr:uid="{00000000-0005-0000-0000-0000ED0B0000}"/>
    <cellStyle name="Currency 5 2 2 3 6 3 2" xfId="14737" xr:uid="{7CB52D84-04B5-44A4-BADC-05F9C33A0C6C}"/>
    <cellStyle name="Currency 5 2 2 3 6 4" xfId="10519" xr:uid="{D82497BE-57B0-4A76-954D-9504AB96B6F0}"/>
    <cellStyle name="Currency 5 2 2 3 7" xfId="2426" xr:uid="{00000000-0005-0000-0000-0000EE0B0000}"/>
    <cellStyle name="Currency 5 2 2 3 7 2" xfId="6711" xr:uid="{00000000-0005-0000-0000-0000EF0B0000}"/>
    <cellStyle name="Currency 5 2 2 3 7 2 2" xfId="15150" xr:uid="{75EF8587-9EFE-45C4-90B8-8B6AA27A009A}"/>
    <cellStyle name="Currency 5 2 2 3 7 3" xfId="10932" xr:uid="{5BBA09CA-6A06-4B79-A9B2-40FA554053DB}"/>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C9180FF3-885D-424C-85C6-6C137FBC0959}"/>
    <cellStyle name="Currency 5 2 2 3 9 3" xfId="11249" xr:uid="{1C107D9B-5242-41DE-AE6B-2C184485CB4A}"/>
    <cellStyle name="Currency 5 2 2 4" xfId="202" xr:uid="{00000000-0005-0000-0000-0000F30B0000}"/>
    <cellStyle name="Currency 5 2 2 4 10" xfId="8868" xr:uid="{A39E18FD-BF16-402B-91F4-62286E893756}"/>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D31CDCFA-E6C9-4664-B660-FDF8C413ACCE}"/>
    <cellStyle name="Currency 5 2 2 4 2 2 3" xfId="11427" xr:uid="{8CBC0DE4-1467-43BF-AECE-C82613804DFF}"/>
    <cellStyle name="Currency 5 2 2 4 2 3" xfId="5061" xr:uid="{00000000-0005-0000-0000-0000F70B0000}"/>
    <cellStyle name="Currency 5 2 2 4 2 3 2" xfId="13500" xr:uid="{AA2AD696-0AE7-4518-AAAD-B743335B1B37}"/>
    <cellStyle name="Currency 5 2 2 4 2 4" xfId="9282" xr:uid="{8AB5D44F-CCBE-4F1A-930D-1F67E50E17B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D64FD51C-4313-405D-A2A8-A784D8665D68}"/>
    <cellStyle name="Currency 5 2 2 4 3 2 3" xfId="11840" xr:uid="{28F346A7-336B-4F1C-AD6D-959209439341}"/>
    <cellStyle name="Currency 5 2 2 4 3 3" xfId="5474" xr:uid="{00000000-0005-0000-0000-0000FB0B0000}"/>
    <cellStyle name="Currency 5 2 2 4 3 3 2" xfId="13913" xr:uid="{7FB113F0-D920-4473-8BD3-16C02173BA1D}"/>
    <cellStyle name="Currency 5 2 2 4 3 4" xfId="9695" xr:uid="{4D9AD256-C983-4477-919F-D420F5B6FADB}"/>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B31B6E46-83E8-4DC9-848D-2A84D206752E}"/>
    <cellStyle name="Currency 5 2 2 4 4 2 3" xfId="12253" xr:uid="{E3E5F063-0A9F-4369-9528-CAC1C7A409F7}"/>
    <cellStyle name="Currency 5 2 2 4 4 3" xfId="5887" xr:uid="{00000000-0005-0000-0000-0000FF0B0000}"/>
    <cellStyle name="Currency 5 2 2 4 4 3 2" xfId="14326" xr:uid="{A6DEBD08-23FA-45C3-A478-CB0C1F9907D2}"/>
    <cellStyle name="Currency 5 2 2 4 4 4" xfId="10108" xr:uid="{B58AC348-F063-43B5-8BE2-752BECC7CAD5}"/>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70CD4483-9683-4C57-939A-2EF2C8152E34}"/>
    <cellStyle name="Currency 5 2 2 4 5 2 3" xfId="12666" xr:uid="{CB173E04-927A-47F4-9805-EAB29CA4EEFD}"/>
    <cellStyle name="Currency 5 2 2 4 5 3" xfId="6300" xr:uid="{00000000-0005-0000-0000-0000030C0000}"/>
    <cellStyle name="Currency 5 2 2 4 5 3 2" xfId="14739" xr:uid="{D73E05AD-D686-4F7E-A171-7FD955AC1DCC}"/>
    <cellStyle name="Currency 5 2 2 4 5 4" xfId="10521" xr:uid="{AA9AAEBF-D870-4A75-992F-80756D9E3E62}"/>
    <cellStyle name="Currency 5 2 2 4 6" xfId="2428" xr:uid="{00000000-0005-0000-0000-0000040C0000}"/>
    <cellStyle name="Currency 5 2 2 4 6 2" xfId="6713" xr:uid="{00000000-0005-0000-0000-0000050C0000}"/>
    <cellStyle name="Currency 5 2 2 4 6 2 2" xfId="15152" xr:uid="{4D8CA1D0-0ABB-4325-9756-1D6F80BD5D5F}"/>
    <cellStyle name="Currency 5 2 2 4 6 3" xfId="10934" xr:uid="{79903435-4D22-41F5-9F31-7827187C5EC0}"/>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61F0AFCB-F0A9-4989-ABAF-978CBD330890}"/>
    <cellStyle name="Currency 5 2 2 4 8 3" xfId="11251" xr:uid="{089E10B2-6AA8-4B74-A968-1DA0C8F7BD19}"/>
    <cellStyle name="Currency 5 2 2 4 9" xfId="4647" xr:uid="{00000000-0005-0000-0000-0000090C0000}"/>
    <cellStyle name="Currency 5 2 2 4 9 2" xfId="13086" xr:uid="{A96736B2-DE6B-4806-A495-DBF5B5D4F4AA}"/>
    <cellStyle name="Currency 5 2 2 5" xfId="203" xr:uid="{00000000-0005-0000-0000-00000A0C0000}"/>
    <cellStyle name="Currency 5 2 2 5 10" xfId="8869" xr:uid="{FB9238B5-C4A1-4CB2-963C-744E6A8DBAB9}"/>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FA314EC1-CFF9-430B-9FBD-3FBD90816C06}"/>
    <cellStyle name="Currency 5 2 2 5 2 2 3" xfId="11428" xr:uid="{2A51FF89-E0B3-4E38-B7F5-C155B3288C3B}"/>
    <cellStyle name="Currency 5 2 2 5 2 3" xfId="5062" xr:uid="{00000000-0005-0000-0000-00000E0C0000}"/>
    <cellStyle name="Currency 5 2 2 5 2 3 2" xfId="13501" xr:uid="{FB71A9A3-6CA1-467B-AD9F-E219732B8344}"/>
    <cellStyle name="Currency 5 2 2 5 2 4" xfId="9283" xr:uid="{E9795527-D089-4E33-BF3D-C8724CDF28FC}"/>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DAABD113-AE14-459A-93FF-510111D5E0D3}"/>
    <cellStyle name="Currency 5 2 2 5 3 2 3" xfId="11841" xr:uid="{32120A46-EB46-4340-8499-C547E9CA0629}"/>
    <cellStyle name="Currency 5 2 2 5 3 3" xfId="5475" xr:uid="{00000000-0005-0000-0000-0000120C0000}"/>
    <cellStyle name="Currency 5 2 2 5 3 3 2" xfId="13914" xr:uid="{C10CB92C-C021-47C0-91E8-CDEBBABAFECA}"/>
    <cellStyle name="Currency 5 2 2 5 3 4" xfId="9696" xr:uid="{4AEA2D13-7282-4D32-B2CE-D9E9D649AFC5}"/>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0014B745-2842-4514-8681-C6844B107143}"/>
    <cellStyle name="Currency 5 2 2 5 4 2 3" xfId="12254" xr:uid="{E7B703EF-DC68-488A-A458-8D35749E4437}"/>
    <cellStyle name="Currency 5 2 2 5 4 3" xfId="5888" xr:uid="{00000000-0005-0000-0000-0000160C0000}"/>
    <cellStyle name="Currency 5 2 2 5 4 3 2" xfId="14327" xr:uid="{78DD10A3-7572-4C5B-A0A1-4F518AF8D5CA}"/>
    <cellStyle name="Currency 5 2 2 5 4 4" xfId="10109" xr:uid="{FF72B6D8-631A-493A-ADC6-502F784E091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5AAFC6AE-6276-4CED-9DB1-26013EF946DA}"/>
    <cellStyle name="Currency 5 2 2 5 5 2 3" xfId="12667" xr:uid="{B2A3DDFC-1F54-4D8E-A935-16D875FE6F1E}"/>
    <cellStyle name="Currency 5 2 2 5 5 3" xfId="6301" xr:uid="{00000000-0005-0000-0000-00001A0C0000}"/>
    <cellStyle name="Currency 5 2 2 5 5 3 2" xfId="14740" xr:uid="{44A19E5E-8121-4582-8FD6-783EA76E67B7}"/>
    <cellStyle name="Currency 5 2 2 5 5 4" xfId="10522" xr:uid="{936C0567-91B9-4809-9EDC-9BABE0220876}"/>
    <cellStyle name="Currency 5 2 2 5 6" xfId="2429" xr:uid="{00000000-0005-0000-0000-00001B0C0000}"/>
    <cellStyle name="Currency 5 2 2 5 6 2" xfId="6714" xr:uid="{00000000-0005-0000-0000-00001C0C0000}"/>
    <cellStyle name="Currency 5 2 2 5 6 2 2" xfId="15153" xr:uid="{6575C178-FADC-4AC3-87CD-CABBB1853FC6}"/>
    <cellStyle name="Currency 5 2 2 5 6 3" xfId="10935" xr:uid="{A206BE0F-AC49-4614-93E2-042CD2506036}"/>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DB520CB7-03BE-41B1-890A-702C767D7663}"/>
    <cellStyle name="Currency 5 2 2 5 8 3" xfId="11252" xr:uid="{E2F72578-DB82-4DA6-B93B-76A175B974C0}"/>
    <cellStyle name="Currency 5 2 2 5 9" xfId="4648" xr:uid="{00000000-0005-0000-0000-0000200C0000}"/>
    <cellStyle name="Currency 5 2 2 5 9 2" xfId="13087" xr:uid="{AC062F27-EEE2-442C-AEBC-3C8C943C253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DA2C8601-021E-4431-92D9-02B92EA5CEFA}"/>
    <cellStyle name="Currency 5 2 4 11" xfId="8870" xr:uid="{A01EF983-8E61-4CAC-8ADD-CDAEFDF3EDE9}"/>
    <cellStyle name="Currency 5 2 4 2" xfId="206" xr:uid="{00000000-0005-0000-0000-0000250C0000}"/>
    <cellStyle name="Currency 5 2 4 2 10" xfId="8871" xr:uid="{939F2F16-05B5-462D-8E37-E6594F270265}"/>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3156D442-55C9-4163-BF51-08B1242EF3B1}"/>
    <cellStyle name="Currency 5 2 4 2 2 2 3" xfId="11430" xr:uid="{4F6BB7DD-1D84-46FE-A65E-7450EFCA4DE8}"/>
    <cellStyle name="Currency 5 2 4 2 2 3" xfId="5064" xr:uid="{00000000-0005-0000-0000-0000290C0000}"/>
    <cellStyle name="Currency 5 2 4 2 2 3 2" xfId="13503" xr:uid="{849FB401-93A2-42ED-807D-4CCC0FBA648C}"/>
    <cellStyle name="Currency 5 2 4 2 2 4" xfId="9285" xr:uid="{0FF1BE14-DBAB-4574-878D-D69BCCAEFC42}"/>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460172B9-BA46-4C73-8B84-2250032A1DF5}"/>
    <cellStyle name="Currency 5 2 4 2 3 2 3" xfId="11843" xr:uid="{A3865B52-9F3F-4C7A-B613-9F59B6241DBC}"/>
    <cellStyle name="Currency 5 2 4 2 3 3" xfId="5477" xr:uid="{00000000-0005-0000-0000-00002D0C0000}"/>
    <cellStyle name="Currency 5 2 4 2 3 3 2" xfId="13916" xr:uid="{843EB5D5-8E76-45C7-B33F-D87F79C20EB5}"/>
    <cellStyle name="Currency 5 2 4 2 3 4" xfId="9698" xr:uid="{24267275-04CD-46B0-BF34-59D548896D76}"/>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21AEAAC9-7F27-4F7E-8463-FABFDDCD34A0}"/>
    <cellStyle name="Currency 5 2 4 2 4 2 3" xfId="12256" xr:uid="{DE0A06C4-D153-40C6-B935-F9814E44EC49}"/>
    <cellStyle name="Currency 5 2 4 2 4 3" xfId="5890" xr:uid="{00000000-0005-0000-0000-0000310C0000}"/>
    <cellStyle name="Currency 5 2 4 2 4 3 2" xfId="14329" xr:uid="{8BCAB29F-71A0-48EC-A53C-B71EFFD999EA}"/>
    <cellStyle name="Currency 5 2 4 2 4 4" xfId="10111" xr:uid="{825CE0A0-84F1-44E0-876A-F781A45D030C}"/>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E907C714-9DCC-4848-8914-62DE2F99A6D3}"/>
    <cellStyle name="Currency 5 2 4 2 5 2 3" xfId="12669" xr:uid="{C0497243-627A-4F6A-B301-FA28FB8E00B3}"/>
    <cellStyle name="Currency 5 2 4 2 5 3" xfId="6303" xr:uid="{00000000-0005-0000-0000-0000350C0000}"/>
    <cellStyle name="Currency 5 2 4 2 5 3 2" xfId="14742" xr:uid="{C2112FD7-ABB1-47A8-AF87-3EDAE51ED979}"/>
    <cellStyle name="Currency 5 2 4 2 5 4" xfId="10524" xr:uid="{DD7A515F-EA13-4CAD-8734-2D2A80F6C64B}"/>
    <cellStyle name="Currency 5 2 4 2 6" xfId="2431" xr:uid="{00000000-0005-0000-0000-0000360C0000}"/>
    <cellStyle name="Currency 5 2 4 2 6 2" xfId="6716" xr:uid="{00000000-0005-0000-0000-0000370C0000}"/>
    <cellStyle name="Currency 5 2 4 2 6 2 2" xfId="15155" xr:uid="{9DCFC175-4B3B-43AD-95D4-FDE5BCD51154}"/>
    <cellStyle name="Currency 5 2 4 2 6 3" xfId="10937" xr:uid="{E4D4869D-33CD-4EAC-B3A1-3D35127D3352}"/>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0700209D-6D20-4C8B-B8E6-B1F401D74EB9}"/>
    <cellStyle name="Currency 5 2 4 2 8 3" xfId="11254" xr:uid="{A606CED3-2508-4AC2-9794-073197BE30D9}"/>
    <cellStyle name="Currency 5 2 4 2 9" xfId="4650" xr:uid="{00000000-0005-0000-0000-00003B0C0000}"/>
    <cellStyle name="Currency 5 2 4 2 9 2" xfId="13089" xr:uid="{53EF5BB5-445E-489B-8564-6C429E3BBD4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FB0F8884-013D-4F43-80DE-342359B8EB1F}"/>
    <cellStyle name="Currency 5 2 4 3 2 3" xfId="11429" xr:uid="{00C2ECA0-9234-4443-9288-91392D3F2432}"/>
    <cellStyle name="Currency 5 2 4 3 3" xfId="5063" xr:uid="{00000000-0005-0000-0000-00003F0C0000}"/>
    <cellStyle name="Currency 5 2 4 3 3 2" xfId="13502" xr:uid="{5C270369-F79C-4318-BD0E-8D39E074D293}"/>
    <cellStyle name="Currency 5 2 4 3 4" xfId="9284" xr:uid="{AA0DDEF7-E19E-4BBC-91F3-E7ECA6F9F037}"/>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331E75D5-EDE8-4402-A15F-5D97BDF31442}"/>
    <cellStyle name="Currency 5 2 4 4 2 3" xfId="11842" xr:uid="{6AE50FB3-B7F1-4BA7-A5FB-2EBB1213F81B}"/>
    <cellStyle name="Currency 5 2 4 4 3" xfId="5476" xr:uid="{00000000-0005-0000-0000-0000430C0000}"/>
    <cellStyle name="Currency 5 2 4 4 3 2" xfId="13915" xr:uid="{5087C5A7-03B6-427F-A8E8-34BE93001A1A}"/>
    <cellStyle name="Currency 5 2 4 4 4" xfId="9697" xr:uid="{4140DEF2-D23F-4EC5-B871-B92257F36544}"/>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5E1559FA-BCE5-47DD-9F8B-6C8CC0D59413}"/>
    <cellStyle name="Currency 5 2 4 5 2 3" xfId="12255" xr:uid="{A90C9CFF-A1CA-4634-A6E4-28FE3ABFFBE5}"/>
    <cellStyle name="Currency 5 2 4 5 3" xfId="5889" xr:uid="{00000000-0005-0000-0000-0000470C0000}"/>
    <cellStyle name="Currency 5 2 4 5 3 2" xfId="14328" xr:uid="{17B04F9A-D9AA-451D-BC92-7C31043A89E3}"/>
    <cellStyle name="Currency 5 2 4 5 4" xfId="10110" xr:uid="{244E1983-4631-44AD-BF7C-031E025BB0E2}"/>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04676B74-8269-4410-A3CF-4598A159F8FC}"/>
    <cellStyle name="Currency 5 2 4 6 2 3" xfId="12668" xr:uid="{B96DE654-A0B8-41BD-AEC8-12F062ACDE5B}"/>
    <cellStyle name="Currency 5 2 4 6 3" xfId="6302" xr:uid="{00000000-0005-0000-0000-00004B0C0000}"/>
    <cellStyle name="Currency 5 2 4 6 3 2" xfId="14741" xr:uid="{D2CD0FA4-59CF-45D6-A880-69CE63C67E13}"/>
    <cellStyle name="Currency 5 2 4 6 4" xfId="10523" xr:uid="{DC3767E6-1ACD-48E0-B7C4-6E949D87B1CC}"/>
    <cellStyle name="Currency 5 2 4 7" xfId="2430" xr:uid="{00000000-0005-0000-0000-00004C0C0000}"/>
    <cellStyle name="Currency 5 2 4 7 2" xfId="6715" xr:uid="{00000000-0005-0000-0000-00004D0C0000}"/>
    <cellStyle name="Currency 5 2 4 7 2 2" xfId="15154" xr:uid="{F0DC944D-F35C-48C9-A92B-1F24D663ACBF}"/>
    <cellStyle name="Currency 5 2 4 7 3" xfId="10936" xr:uid="{10B07122-E89A-47FD-A598-4D45AA293C00}"/>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1C023D35-DE07-4127-8B88-28D51EF35536}"/>
    <cellStyle name="Currency 5 2 4 9 3" xfId="11253" xr:uid="{078C6925-734B-480B-844F-570F5D48CA8F}"/>
    <cellStyle name="Currency 5 2 5" xfId="207" xr:uid="{00000000-0005-0000-0000-0000510C0000}"/>
    <cellStyle name="Currency 5 2 5 10" xfId="8872" xr:uid="{A27553DE-008F-4CD3-9677-26F90D7A0D23}"/>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01051404-8408-4B55-AFA4-7DD946F2EE2B}"/>
    <cellStyle name="Currency 5 2 5 2 2 3" xfId="11431" xr:uid="{5005D6B5-15FF-4301-9D38-2BB674425245}"/>
    <cellStyle name="Currency 5 2 5 2 3" xfId="5065" xr:uid="{00000000-0005-0000-0000-0000550C0000}"/>
    <cellStyle name="Currency 5 2 5 2 3 2" xfId="13504" xr:uid="{151C3386-077D-46A2-B8DF-BDFBA5B4E33F}"/>
    <cellStyle name="Currency 5 2 5 2 4" xfId="9286" xr:uid="{8F50525E-3974-4182-99BE-7F2E12583F9E}"/>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8D6C5FA5-9AE3-43F1-BC25-A5B39596D0A9}"/>
    <cellStyle name="Currency 5 2 5 3 2 3" xfId="11844" xr:uid="{B032045F-1764-453A-A4F9-7814638409D9}"/>
    <cellStyle name="Currency 5 2 5 3 3" xfId="5478" xr:uid="{00000000-0005-0000-0000-0000590C0000}"/>
    <cellStyle name="Currency 5 2 5 3 3 2" xfId="13917" xr:uid="{BC3FEB85-68EA-424D-9C7C-1EE16C4098B0}"/>
    <cellStyle name="Currency 5 2 5 3 4" xfId="9699" xr:uid="{6409F7E8-63CB-436A-9EF0-E47100F62AD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75C521EA-97EA-4224-B644-A45C62205D60}"/>
    <cellStyle name="Currency 5 2 5 4 2 3" xfId="12257" xr:uid="{620B86DD-70E2-4515-BC07-CF6CB9CE2263}"/>
    <cellStyle name="Currency 5 2 5 4 3" xfId="5891" xr:uid="{00000000-0005-0000-0000-00005D0C0000}"/>
    <cellStyle name="Currency 5 2 5 4 3 2" xfId="14330" xr:uid="{43E15A97-F844-48C5-8717-806CE609E4BC}"/>
    <cellStyle name="Currency 5 2 5 4 4" xfId="10112" xr:uid="{3D4FB0E9-1FE3-498C-A2E7-0EE509FCC72B}"/>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342296AF-B547-4653-92B5-62DC6EAC694C}"/>
    <cellStyle name="Currency 5 2 5 5 2 3" xfId="12670" xr:uid="{03EEF4A7-9F82-4B7F-BA54-FB280643361B}"/>
    <cellStyle name="Currency 5 2 5 5 3" xfId="6304" xr:uid="{00000000-0005-0000-0000-0000610C0000}"/>
    <cellStyle name="Currency 5 2 5 5 3 2" xfId="14743" xr:uid="{6F33853D-1C3D-4802-862F-AC15C66B0BE5}"/>
    <cellStyle name="Currency 5 2 5 5 4" xfId="10525" xr:uid="{D26F8F74-1123-48F8-B8EB-4F2CDAD35F55}"/>
    <cellStyle name="Currency 5 2 5 6" xfId="2432" xr:uid="{00000000-0005-0000-0000-0000620C0000}"/>
    <cellStyle name="Currency 5 2 5 6 2" xfId="6717" xr:uid="{00000000-0005-0000-0000-0000630C0000}"/>
    <cellStyle name="Currency 5 2 5 6 2 2" xfId="15156" xr:uid="{3354A974-F35E-4E55-AB57-ABC305AE69CF}"/>
    <cellStyle name="Currency 5 2 5 6 3" xfId="10938" xr:uid="{8B8B8802-6B48-4816-9A62-8B33A438F22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E6566F12-372A-43FF-A158-578E82666CC4}"/>
    <cellStyle name="Currency 5 2 5 8 3" xfId="11255" xr:uid="{F6FFDBF8-C2F8-4D9E-9C19-5711AE938CDE}"/>
    <cellStyle name="Currency 5 2 5 9" xfId="4651" xr:uid="{00000000-0005-0000-0000-0000670C0000}"/>
    <cellStyle name="Currency 5 2 5 9 2" xfId="13090" xr:uid="{2C4C095F-40AE-41EE-8015-BC1914612E68}"/>
    <cellStyle name="Currency 5 2 6" xfId="208" xr:uid="{00000000-0005-0000-0000-0000680C0000}"/>
    <cellStyle name="Currency 5 2 6 10" xfId="8873" xr:uid="{C359F20D-C8C7-47A3-A6B5-B9EB86C5500D}"/>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C4FF1860-C550-460C-8023-0AC687DDEED5}"/>
    <cellStyle name="Currency 5 2 6 2 2 3" xfId="11432" xr:uid="{6311A5FC-E7D5-484F-9898-51BB5976F173}"/>
    <cellStyle name="Currency 5 2 6 2 3" xfId="5066" xr:uid="{00000000-0005-0000-0000-00006C0C0000}"/>
    <cellStyle name="Currency 5 2 6 2 3 2" xfId="13505" xr:uid="{2558BF0F-BEB9-41F4-A16A-8A1FBDA17F89}"/>
    <cellStyle name="Currency 5 2 6 2 4" xfId="9287" xr:uid="{58125B5D-366D-46B4-8D12-5082E4F85FE4}"/>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D1EB796F-36DE-4AA6-9AFA-98143252B328}"/>
    <cellStyle name="Currency 5 2 6 3 2 3" xfId="11845" xr:uid="{FF20C9FA-6B05-45F5-88B8-FD548B4496BE}"/>
    <cellStyle name="Currency 5 2 6 3 3" xfId="5479" xr:uid="{00000000-0005-0000-0000-0000700C0000}"/>
    <cellStyle name="Currency 5 2 6 3 3 2" xfId="13918" xr:uid="{0C5360D4-898D-42B9-B664-94009A48E807}"/>
    <cellStyle name="Currency 5 2 6 3 4" xfId="9700" xr:uid="{D67EE056-7180-4C40-8570-2AA0C1868251}"/>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64ECDFDF-9A5D-4B24-BDAD-1693CE12F91A}"/>
    <cellStyle name="Currency 5 2 6 4 2 3" xfId="12258" xr:uid="{BAD6D8E4-B6C3-4AE3-A86E-BC7B7B800008}"/>
    <cellStyle name="Currency 5 2 6 4 3" xfId="5892" xr:uid="{00000000-0005-0000-0000-0000740C0000}"/>
    <cellStyle name="Currency 5 2 6 4 3 2" xfId="14331" xr:uid="{B4114C81-D1F4-47E1-939A-8360266BC0C2}"/>
    <cellStyle name="Currency 5 2 6 4 4" xfId="10113" xr:uid="{275F3734-C9A9-4841-B04A-2895F64122B6}"/>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EAED45CD-562D-4EEC-B1FC-48CC7FCFD04A}"/>
    <cellStyle name="Currency 5 2 6 5 2 3" xfId="12671" xr:uid="{9182A661-9641-47B0-9C89-A8F17B2F7C55}"/>
    <cellStyle name="Currency 5 2 6 5 3" xfId="6305" xr:uid="{00000000-0005-0000-0000-0000780C0000}"/>
    <cellStyle name="Currency 5 2 6 5 3 2" xfId="14744" xr:uid="{35E8EDEA-9592-433A-87D1-F32E762D53CA}"/>
    <cellStyle name="Currency 5 2 6 5 4" xfId="10526" xr:uid="{0A767185-CF9D-4874-97C5-74F055521526}"/>
    <cellStyle name="Currency 5 2 6 6" xfId="2433" xr:uid="{00000000-0005-0000-0000-0000790C0000}"/>
    <cellStyle name="Currency 5 2 6 6 2" xfId="6718" xr:uid="{00000000-0005-0000-0000-00007A0C0000}"/>
    <cellStyle name="Currency 5 2 6 6 2 2" xfId="15157" xr:uid="{C8E22415-439E-4EB6-88C8-74A3D8B6969D}"/>
    <cellStyle name="Currency 5 2 6 6 3" xfId="10939" xr:uid="{F1FC578A-716C-40F7-A999-A2736CE78D59}"/>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C867D2E9-1133-43B7-837D-27BDF1EB15F7}"/>
    <cellStyle name="Currency 5 2 6 8 3" xfId="11256" xr:uid="{1A01BE97-0813-4342-B1B6-796F285B773D}"/>
    <cellStyle name="Currency 5 2 6 9" xfId="4652" xr:uid="{00000000-0005-0000-0000-00007E0C0000}"/>
    <cellStyle name="Currency 5 2 6 9 2" xfId="13091" xr:uid="{0F78F566-5225-4B96-9D88-42AA9D1E8E4D}"/>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F7015480-F9A8-4485-BB23-156376D2585E}"/>
    <cellStyle name="Currency 5 3 2 10 3" xfId="11257" xr:uid="{18091EE8-213A-4925-A628-83CFDA1C2C8A}"/>
    <cellStyle name="Currency 5 3 2 11" xfId="4653" xr:uid="{00000000-0005-0000-0000-0000840C0000}"/>
    <cellStyle name="Currency 5 3 2 11 2" xfId="13092" xr:uid="{B56B62C1-21E1-4D8E-B6B4-405D74EA2873}"/>
    <cellStyle name="Currency 5 3 2 12" xfId="8874" xr:uid="{43050552-87D1-4F12-A0E4-9AF047530153}"/>
    <cellStyle name="Currency 5 3 2 2" xfId="211" xr:uid="{00000000-0005-0000-0000-0000850C0000}"/>
    <cellStyle name="Currency 5 3 2 2 10" xfId="4654" xr:uid="{00000000-0005-0000-0000-0000860C0000}"/>
    <cellStyle name="Currency 5 3 2 2 10 2" xfId="13093" xr:uid="{31C00969-CB44-4F92-8D8A-4327215CFFCB}"/>
    <cellStyle name="Currency 5 3 2 2 11" xfId="8875" xr:uid="{0B2A5152-1B49-457D-A77F-43ED2890A74F}"/>
    <cellStyle name="Currency 5 3 2 2 2" xfId="212" xr:uid="{00000000-0005-0000-0000-0000870C0000}"/>
    <cellStyle name="Currency 5 3 2 2 2 10" xfId="8876" xr:uid="{B69830E9-3854-456C-B248-6B74345971E4}"/>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A6D79BF2-5FEF-447E-829B-9E3FAD13844C}"/>
    <cellStyle name="Currency 5 3 2 2 2 2 2 3" xfId="11435" xr:uid="{A62B7433-574C-4DA8-AC60-090AF8FCF2F1}"/>
    <cellStyle name="Currency 5 3 2 2 2 2 3" xfId="5069" xr:uid="{00000000-0005-0000-0000-00008B0C0000}"/>
    <cellStyle name="Currency 5 3 2 2 2 2 3 2" xfId="13508" xr:uid="{9C22292C-6253-4A71-A4F5-C8DD29377A0F}"/>
    <cellStyle name="Currency 5 3 2 2 2 2 4" xfId="9290" xr:uid="{FBAFE286-2788-473F-A756-A0A7ED2AA4B7}"/>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DA04A0F0-3944-420C-8B9B-1D98801F01C8}"/>
    <cellStyle name="Currency 5 3 2 2 2 3 2 3" xfId="11848" xr:uid="{99E6692B-F393-4838-AA10-13B834704EA5}"/>
    <cellStyle name="Currency 5 3 2 2 2 3 3" xfId="5482" xr:uid="{00000000-0005-0000-0000-00008F0C0000}"/>
    <cellStyle name="Currency 5 3 2 2 2 3 3 2" xfId="13921" xr:uid="{A0B18275-3DBE-48DE-99C4-4EF3BE8269E3}"/>
    <cellStyle name="Currency 5 3 2 2 2 3 4" xfId="9703" xr:uid="{96FB0D61-4399-4578-9BA2-4EF0E5D7229C}"/>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5FE1C87F-0183-4F23-ADAB-39DFB0B4F9E5}"/>
    <cellStyle name="Currency 5 3 2 2 2 4 2 3" xfId="12261" xr:uid="{D7D027BC-9644-4674-B4AB-31EF27F06B3F}"/>
    <cellStyle name="Currency 5 3 2 2 2 4 3" xfId="5895" xr:uid="{00000000-0005-0000-0000-0000930C0000}"/>
    <cellStyle name="Currency 5 3 2 2 2 4 3 2" xfId="14334" xr:uid="{46D4F444-A124-4425-83BE-05446BFC5761}"/>
    <cellStyle name="Currency 5 3 2 2 2 4 4" xfId="10116" xr:uid="{ADEB9C7B-709A-4B63-B95A-2706DCC3EF0A}"/>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77D6F5F3-B2A5-48F2-B207-B62DB381E761}"/>
    <cellStyle name="Currency 5 3 2 2 2 5 2 3" xfId="12674" xr:uid="{7B8D690D-B578-44A7-B3DE-9176BAF21DB9}"/>
    <cellStyle name="Currency 5 3 2 2 2 5 3" xfId="6308" xr:uid="{00000000-0005-0000-0000-0000970C0000}"/>
    <cellStyle name="Currency 5 3 2 2 2 5 3 2" xfId="14747" xr:uid="{816CA9FB-609D-4623-9744-F050F7496A4D}"/>
    <cellStyle name="Currency 5 3 2 2 2 5 4" xfId="10529" xr:uid="{4D4448B8-F3CC-4FC8-94A6-6BAE630BECB4}"/>
    <cellStyle name="Currency 5 3 2 2 2 6" xfId="2436" xr:uid="{00000000-0005-0000-0000-0000980C0000}"/>
    <cellStyle name="Currency 5 3 2 2 2 6 2" xfId="6721" xr:uid="{00000000-0005-0000-0000-0000990C0000}"/>
    <cellStyle name="Currency 5 3 2 2 2 6 2 2" xfId="15160" xr:uid="{1B24B322-1427-4C50-AAF1-933D6A051D1B}"/>
    <cellStyle name="Currency 5 3 2 2 2 6 3" xfId="10942" xr:uid="{A48680B5-3D0E-402B-805E-1E13125C6331}"/>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EF77871F-1500-4322-9C64-C1B722971BD7}"/>
    <cellStyle name="Currency 5 3 2 2 2 8 3" xfId="11259" xr:uid="{9D6465D4-9DD4-4DF4-A0DC-1C11292CA458}"/>
    <cellStyle name="Currency 5 3 2 2 2 9" xfId="4655" xr:uid="{00000000-0005-0000-0000-00009D0C0000}"/>
    <cellStyle name="Currency 5 3 2 2 2 9 2" xfId="13094" xr:uid="{44A97A48-B5B9-4EA2-862D-7D0FB009A429}"/>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6734BD5B-AE90-4F9B-996D-31EF7E390822}"/>
    <cellStyle name="Currency 5 3 2 2 3 2 3" xfId="11434" xr:uid="{F0D2C643-8107-435C-867D-6EE36257C176}"/>
    <cellStyle name="Currency 5 3 2 2 3 3" xfId="5068" xr:uid="{00000000-0005-0000-0000-0000A10C0000}"/>
    <cellStyle name="Currency 5 3 2 2 3 3 2" xfId="13507" xr:uid="{94DED3DE-427A-4DAC-809D-2C04DFABB279}"/>
    <cellStyle name="Currency 5 3 2 2 3 4" xfId="9289" xr:uid="{719459A0-5FD7-4B6E-88F2-B98A0998AE19}"/>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96F9E934-7891-4A39-B717-982897A17EC8}"/>
    <cellStyle name="Currency 5 3 2 2 4 2 3" xfId="11847" xr:uid="{CAE4A84D-325D-4622-AA54-2D9B347F82EA}"/>
    <cellStyle name="Currency 5 3 2 2 4 3" xfId="5481" xr:uid="{00000000-0005-0000-0000-0000A50C0000}"/>
    <cellStyle name="Currency 5 3 2 2 4 3 2" xfId="13920" xr:uid="{A92A420A-38AE-4253-9421-A9BBFB1E0739}"/>
    <cellStyle name="Currency 5 3 2 2 4 4" xfId="9702" xr:uid="{5761C3D7-D2EC-4D8D-9360-1184BB31D75F}"/>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35A38F4E-43C8-4C2B-BB7A-8130246F1DC7}"/>
    <cellStyle name="Currency 5 3 2 2 5 2 3" xfId="12260" xr:uid="{FE4DFAD8-82EB-40F5-8887-79D7B88BCDA2}"/>
    <cellStyle name="Currency 5 3 2 2 5 3" xfId="5894" xr:uid="{00000000-0005-0000-0000-0000A90C0000}"/>
    <cellStyle name="Currency 5 3 2 2 5 3 2" xfId="14333" xr:uid="{C0E35C17-A35F-4A9E-9017-1575D6D75C09}"/>
    <cellStyle name="Currency 5 3 2 2 5 4" xfId="10115" xr:uid="{DC7E321A-173E-4C6E-B1E6-3D5F59747E1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0B3566DD-0C9C-44E5-927C-B3275AD6BE5E}"/>
    <cellStyle name="Currency 5 3 2 2 6 2 3" xfId="12673" xr:uid="{0C3D5A68-84F4-451D-93F4-980F6CE80BF6}"/>
    <cellStyle name="Currency 5 3 2 2 6 3" xfId="6307" xr:uid="{00000000-0005-0000-0000-0000AD0C0000}"/>
    <cellStyle name="Currency 5 3 2 2 6 3 2" xfId="14746" xr:uid="{BF06827C-B881-49DD-B300-DFA3A5AC1994}"/>
    <cellStyle name="Currency 5 3 2 2 6 4" xfId="10528" xr:uid="{7C97A9D5-0535-4B3B-B091-A3D76D71D4B0}"/>
    <cellStyle name="Currency 5 3 2 2 7" xfId="2435" xr:uid="{00000000-0005-0000-0000-0000AE0C0000}"/>
    <cellStyle name="Currency 5 3 2 2 7 2" xfId="6720" xr:uid="{00000000-0005-0000-0000-0000AF0C0000}"/>
    <cellStyle name="Currency 5 3 2 2 7 2 2" xfId="15159" xr:uid="{74FA24E1-17EF-404E-B45E-63BD7D380C02}"/>
    <cellStyle name="Currency 5 3 2 2 7 3" xfId="10941" xr:uid="{C1005762-77E1-4E16-A99C-97D61F492D4E}"/>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0AFBEC7D-3AA0-468B-84A4-CADB6E56DC5D}"/>
    <cellStyle name="Currency 5 3 2 2 9 3" xfId="11258" xr:uid="{364294CC-6CD6-42A0-A709-AC6CD4D09C19}"/>
    <cellStyle name="Currency 5 3 2 3" xfId="213" xr:uid="{00000000-0005-0000-0000-0000B30C0000}"/>
    <cellStyle name="Currency 5 3 2 3 10" xfId="8877" xr:uid="{841794E5-B8F9-40C1-9EF1-A0ADE0848DF6}"/>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1C854EB4-1D1D-4E87-B13B-980EB2CC42C8}"/>
    <cellStyle name="Currency 5 3 2 3 2 2 3" xfId="11436" xr:uid="{3841FA87-1401-4156-ADD4-774D0152AD96}"/>
    <cellStyle name="Currency 5 3 2 3 2 3" xfId="5070" xr:uid="{00000000-0005-0000-0000-0000B70C0000}"/>
    <cellStyle name="Currency 5 3 2 3 2 3 2" xfId="13509" xr:uid="{A7983972-C4AB-461F-8C5C-96658466371C}"/>
    <cellStyle name="Currency 5 3 2 3 2 4" xfId="9291" xr:uid="{4A44DD52-5773-4F48-A2AE-0B3306F238EA}"/>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5559F033-6F01-4DEE-8208-CD227F068004}"/>
    <cellStyle name="Currency 5 3 2 3 3 2 3" xfId="11849" xr:uid="{65604E2A-9D97-4B05-A70A-176935B8D0BC}"/>
    <cellStyle name="Currency 5 3 2 3 3 3" xfId="5483" xr:uid="{00000000-0005-0000-0000-0000BB0C0000}"/>
    <cellStyle name="Currency 5 3 2 3 3 3 2" xfId="13922" xr:uid="{0D9252DD-575D-4EEC-9690-9AFF69A44614}"/>
    <cellStyle name="Currency 5 3 2 3 3 4" xfId="9704" xr:uid="{4D6E3665-1F9E-4E3A-8C48-2B15D671CB5F}"/>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1000FA48-F847-4A7C-BF3A-6BF31D0EE0A6}"/>
    <cellStyle name="Currency 5 3 2 3 4 2 3" xfId="12262" xr:uid="{B4D667D1-23C9-4E3A-81BD-7AABC874B856}"/>
    <cellStyle name="Currency 5 3 2 3 4 3" xfId="5896" xr:uid="{00000000-0005-0000-0000-0000BF0C0000}"/>
    <cellStyle name="Currency 5 3 2 3 4 3 2" xfId="14335" xr:uid="{1DFAA658-3778-4873-BFD7-68FB50CE7467}"/>
    <cellStyle name="Currency 5 3 2 3 4 4" xfId="10117" xr:uid="{58A27D60-18B3-486E-AD1E-FE97084208A4}"/>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780A592B-A6A9-4793-9C98-DDF2D0E19944}"/>
    <cellStyle name="Currency 5 3 2 3 5 2 3" xfId="12675" xr:uid="{8CBE4D21-9BD5-4977-AF14-B6D6B3D9E718}"/>
    <cellStyle name="Currency 5 3 2 3 5 3" xfId="6309" xr:uid="{00000000-0005-0000-0000-0000C30C0000}"/>
    <cellStyle name="Currency 5 3 2 3 5 3 2" xfId="14748" xr:uid="{3D944113-20C8-48EB-9AF0-AB433B2D6CD8}"/>
    <cellStyle name="Currency 5 3 2 3 5 4" xfId="10530" xr:uid="{7BAD1452-85F4-4E1D-B052-09694BC59868}"/>
    <cellStyle name="Currency 5 3 2 3 6" xfId="2437" xr:uid="{00000000-0005-0000-0000-0000C40C0000}"/>
    <cellStyle name="Currency 5 3 2 3 6 2" xfId="6722" xr:uid="{00000000-0005-0000-0000-0000C50C0000}"/>
    <cellStyle name="Currency 5 3 2 3 6 2 2" xfId="15161" xr:uid="{0FEFC9E6-E93E-45EE-BCA2-C8E269EA7D67}"/>
    <cellStyle name="Currency 5 3 2 3 6 3" xfId="10943" xr:uid="{28A975EC-C9B0-4C94-AF3E-E8E62E5F8353}"/>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97451B00-F7EE-465E-BF52-E4431B31D121}"/>
    <cellStyle name="Currency 5 3 2 3 8 3" xfId="11260" xr:uid="{96F195BC-B0F4-4B2B-8338-A9D1E1C515F6}"/>
    <cellStyle name="Currency 5 3 2 3 9" xfId="4656" xr:uid="{00000000-0005-0000-0000-0000C90C0000}"/>
    <cellStyle name="Currency 5 3 2 3 9 2" xfId="13095" xr:uid="{FDA22E41-59E1-4D50-A794-40DA06B58D08}"/>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6C6AB661-D58C-4CF7-90E7-96D433FAA38D}"/>
    <cellStyle name="Currency 5 3 2 4 2 3" xfId="11433" xr:uid="{191DD4B4-F40A-4EA4-B58E-BBC7636C161D}"/>
    <cellStyle name="Currency 5 3 2 4 3" xfId="5067" xr:uid="{00000000-0005-0000-0000-0000CD0C0000}"/>
    <cellStyle name="Currency 5 3 2 4 3 2" xfId="13506" xr:uid="{E5C8DCF6-9417-4421-8A4E-6B1896A35981}"/>
    <cellStyle name="Currency 5 3 2 4 4" xfId="9288" xr:uid="{3C47FED9-E73B-4C2D-9B1E-2F1A0BAACC3B}"/>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83537F95-09E3-4A7B-AE81-96BAA9FBDE82}"/>
    <cellStyle name="Currency 5 3 2 5 2 3" xfId="11846" xr:uid="{632D9861-CD7B-4A43-8E5B-15DB47F3CB62}"/>
    <cellStyle name="Currency 5 3 2 5 3" xfId="5480" xr:uid="{00000000-0005-0000-0000-0000D10C0000}"/>
    <cellStyle name="Currency 5 3 2 5 3 2" xfId="13919" xr:uid="{B4BDF74B-3261-4CCE-9617-4B762588C176}"/>
    <cellStyle name="Currency 5 3 2 5 4" xfId="9701" xr:uid="{2414F5DE-D85B-4827-A873-FCD8A9871A4F}"/>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F7F2910F-1CEE-4CA1-AB17-302D832DEFEA}"/>
    <cellStyle name="Currency 5 3 2 6 2 3" xfId="12259" xr:uid="{1F875C84-271A-4759-8F43-BCC3593469B7}"/>
    <cellStyle name="Currency 5 3 2 6 3" xfId="5893" xr:uid="{00000000-0005-0000-0000-0000D50C0000}"/>
    <cellStyle name="Currency 5 3 2 6 3 2" xfId="14332" xr:uid="{609D1A4B-EFB9-4F99-B6D7-F9834A286A46}"/>
    <cellStyle name="Currency 5 3 2 6 4" xfId="10114" xr:uid="{93EC27AD-6E4B-43C0-AB5E-1DAB898160D4}"/>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1D15484B-8D0C-4590-BA1E-3984704D7325}"/>
    <cellStyle name="Currency 5 3 2 7 2 3" xfId="12672" xr:uid="{EA434BC4-B3F4-47EA-9735-D0E64B00E9F2}"/>
    <cellStyle name="Currency 5 3 2 7 3" xfId="6306" xr:uid="{00000000-0005-0000-0000-0000D90C0000}"/>
    <cellStyle name="Currency 5 3 2 7 3 2" xfId="14745" xr:uid="{C4C7D034-2286-45A3-A1A4-58EF3FC99C62}"/>
    <cellStyle name="Currency 5 3 2 7 4" xfId="10527" xr:uid="{F9501F7A-9C6A-4FC5-9F94-A27E3DD87B09}"/>
    <cellStyle name="Currency 5 3 2 8" xfId="2434" xr:uid="{00000000-0005-0000-0000-0000DA0C0000}"/>
    <cellStyle name="Currency 5 3 2 8 2" xfId="6719" xr:uid="{00000000-0005-0000-0000-0000DB0C0000}"/>
    <cellStyle name="Currency 5 3 2 8 2 2" xfId="15158" xr:uid="{8DE05194-8626-42FA-BDCD-47F4679230C9}"/>
    <cellStyle name="Currency 5 3 2 8 3" xfId="10940" xr:uid="{D11D012D-40B1-463E-B8E3-F5019D0A8A0E}"/>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5C81BDC5-FAAE-4E5B-80E2-B7AAFBF904EB}"/>
    <cellStyle name="Currency 5 3 3 11" xfId="8878" xr:uid="{9531BFAE-02D9-4BBC-B687-B2B5DCF75AF8}"/>
    <cellStyle name="Currency 5 3 3 2" xfId="215" xr:uid="{00000000-0005-0000-0000-0000DF0C0000}"/>
    <cellStyle name="Currency 5 3 3 2 10" xfId="8879" xr:uid="{F2D3FB31-E8C0-4334-9165-CE0FC8C589E2}"/>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AB308B1E-FEC8-4051-B521-189D55214D7A}"/>
    <cellStyle name="Currency 5 3 3 2 2 2 3" xfId="11438" xr:uid="{07C0553B-004A-4836-995D-C979082C90B1}"/>
    <cellStyle name="Currency 5 3 3 2 2 3" xfId="5072" xr:uid="{00000000-0005-0000-0000-0000E30C0000}"/>
    <cellStyle name="Currency 5 3 3 2 2 3 2" xfId="13511" xr:uid="{29F142F2-562A-48DC-B2D3-EC3DB7FD39EA}"/>
    <cellStyle name="Currency 5 3 3 2 2 4" xfId="9293" xr:uid="{A08B74F9-915B-4264-B22D-E43BDB042C15}"/>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9399A11C-96F5-47A7-B767-F41AC7F6A0F3}"/>
    <cellStyle name="Currency 5 3 3 2 3 2 3" xfId="11851" xr:uid="{A91F4DFA-2188-4EE9-9A3F-AE40E245D68E}"/>
    <cellStyle name="Currency 5 3 3 2 3 3" xfId="5485" xr:uid="{00000000-0005-0000-0000-0000E70C0000}"/>
    <cellStyle name="Currency 5 3 3 2 3 3 2" xfId="13924" xr:uid="{D5E972EC-C297-458C-884A-3AE8F8923E5B}"/>
    <cellStyle name="Currency 5 3 3 2 3 4" xfId="9706" xr:uid="{634C92E8-EE84-4693-9CA0-1243AA456F93}"/>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94C56580-A79E-493B-A724-7012A590A7C8}"/>
    <cellStyle name="Currency 5 3 3 2 4 2 3" xfId="12264" xr:uid="{303CE3A1-82DC-4818-8B3B-73FFA4F43D13}"/>
    <cellStyle name="Currency 5 3 3 2 4 3" xfId="5898" xr:uid="{00000000-0005-0000-0000-0000EB0C0000}"/>
    <cellStyle name="Currency 5 3 3 2 4 3 2" xfId="14337" xr:uid="{A986D567-FE7C-4D58-9DF8-A620855EBE48}"/>
    <cellStyle name="Currency 5 3 3 2 4 4" xfId="10119" xr:uid="{D41FDB32-2F63-4C94-8F99-F5222783A4C2}"/>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A7319307-F8F1-4C6F-A2BB-85E4A10859F5}"/>
    <cellStyle name="Currency 5 3 3 2 5 2 3" xfId="12677" xr:uid="{0DF343C8-E057-49C9-A82E-F2F63AC39BC8}"/>
    <cellStyle name="Currency 5 3 3 2 5 3" xfId="6311" xr:uid="{00000000-0005-0000-0000-0000EF0C0000}"/>
    <cellStyle name="Currency 5 3 3 2 5 3 2" xfId="14750" xr:uid="{AF839C69-0E86-45B8-B972-5BEB5E51B4CE}"/>
    <cellStyle name="Currency 5 3 3 2 5 4" xfId="10532" xr:uid="{AE5664E6-46EA-4A08-859B-3011A56F97F5}"/>
    <cellStyle name="Currency 5 3 3 2 6" xfId="2439" xr:uid="{00000000-0005-0000-0000-0000F00C0000}"/>
    <cellStyle name="Currency 5 3 3 2 6 2" xfId="6724" xr:uid="{00000000-0005-0000-0000-0000F10C0000}"/>
    <cellStyle name="Currency 5 3 3 2 6 2 2" xfId="15163" xr:uid="{34794EA4-A80E-4FA6-B406-99AB2432542C}"/>
    <cellStyle name="Currency 5 3 3 2 6 3" xfId="10945" xr:uid="{79D2222F-F535-45E8-A110-2628CC0D7AC5}"/>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DD3421B9-8E29-49D4-848B-4CDA63D96515}"/>
    <cellStyle name="Currency 5 3 3 2 8 3" xfId="11262" xr:uid="{A7D655FD-4EAB-4077-9530-F0EAFE8BAC5C}"/>
    <cellStyle name="Currency 5 3 3 2 9" xfId="4658" xr:uid="{00000000-0005-0000-0000-0000F50C0000}"/>
    <cellStyle name="Currency 5 3 3 2 9 2" xfId="13097" xr:uid="{1209D7D5-3AD6-46BC-9560-A901A26E7937}"/>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13BBEEB5-A4F6-40B5-B731-8D2B0664E00D}"/>
    <cellStyle name="Currency 5 3 3 3 2 3" xfId="11437" xr:uid="{372618EB-C69C-4A76-A2DC-2395CD4C43B2}"/>
    <cellStyle name="Currency 5 3 3 3 3" xfId="5071" xr:uid="{00000000-0005-0000-0000-0000F90C0000}"/>
    <cellStyle name="Currency 5 3 3 3 3 2" xfId="13510" xr:uid="{2C23565D-AD5A-443B-AA67-C9A711F2BDA2}"/>
    <cellStyle name="Currency 5 3 3 3 4" xfId="9292" xr:uid="{4C8927F2-90FD-4D8A-B159-4E9519223221}"/>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968D80CF-9F90-412B-A599-A75C619F370B}"/>
    <cellStyle name="Currency 5 3 3 4 2 3" xfId="11850" xr:uid="{74061878-27A1-46EC-9647-110231B9DF48}"/>
    <cellStyle name="Currency 5 3 3 4 3" xfId="5484" xr:uid="{00000000-0005-0000-0000-0000FD0C0000}"/>
    <cellStyle name="Currency 5 3 3 4 3 2" xfId="13923" xr:uid="{61F1DB75-CEF8-4A1D-A0B0-BD588CCE1B45}"/>
    <cellStyle name="Currency 5 3 3 4 4" xfId="9705" xr:uid="{DFBA41BE-8D0D-45A1-9E51-1F0BD0415A8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F9C98D87-6DA2-4C06-9C7D-B6DA01ECEF13}"/>
    <cellStyle name="Currency 5 3 3 5 2 3" xfId="12263" xr:uid="{A965B8FD-ADB3-4B5D-86BD-619E523C9C52}"/>
    <cellStyle name="Currency 5 3 3 5 3" xfId="5897" xr:uid="{00000000-0005-0000-0000-0000010D0000}"/>
    <cellStyle name="Currency 5 3 3 5 3 2" xfId="14336" xr:uid="{67EC34B9-BCDC-4E70-903F-726E28B954C8}"/>
    <cellStyle name="Currency 5 3 3 5 4" xfId="10118" xr:uid="{F4E02DB0-BAE7-467F-8771-72D62BE02C6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21038F94-854D-4770-930A-15BCA44E6ED3}"/>
    <cellStyle name="Currency 5 3 3 6 2 3" xfId="12676" xr:uid="{ECD1CDC7-F60D-45AE-8E0C-D378105F80B2}"/>
    <cellStyle name="Currency 5 3 3 6 3" xfId="6310" xr:uid="{00000000-0005-0000-0000-0000050D0000}"/>
    <cellStyle name="Currency 5 3 3 6 3 2" xfId="14749" xr:uid="{5238DFAD-67F8-49A9-9220-7BB1DEBAA6ED}"/>
    <cellStyle name="Currency 5 3 3 6 4" xfId="10531" xr:uid="{5A593AF2-C513-48EB-A7BF-38669E0E20D0}"/>
    <cellStyle name="Currency 5 3 3 7" xfId="2438" xr:uid="{00000000-0005-0000-0000-0000060D0000}"/>
    <cellStyle name="Currency 5 3 3 7 2" xfId="6723" xr:uid="{00000000-0005-0000-0000-0000070D0000}"/>
    <cellStyle name="Currency 5 3 3 7 2 2" xfId="15162" xr:uid="{137ABD25-9482-4F7A-A831-5F27F947B5B2}"/>
    <cellStyle name="Currency 5 3 3 7 3" xfId="10944" xr:uid="{0D8D3A9B-F35B-474C-A157-4239E208B73E}"/>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0963CD7F-46C1-4178-A1B2-0775205B5E6D}"/>
    <cellStyle name="Currency 5 3 3 9 3" xfId="11261" xr:uid="{75FC2818-3E8D-4638-841B-B623C63433FF}"/>
    <cellStyle name="Currency 5 3 4" xfId="216" xr:uid="{00000000-0005-0000-0000-00000B0D0000}"/>
    <cellStyle name="Currency 5 3 4 10" xfId="8880" xr:uid="{153F578F-6E2E-41BA-B654-4DF413461611}"/>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4CDA9805-6A5B-42E7-AE69-05C527C98D5F}"/>
    <cellStyle name="Currency 5 3 4 2 2 3" xfId="11439" xr:uid="{63AEA315-5BD2-491A-824F-30769554BD49}"/>
    <cellStyle name="Currency 5 3 4 2 3" xfId="5073" xr:uid="{00000000-0005-0000-0000-00000F0D0000}"/>
    <cellStyle name="Currency 5 3 4 2 3 2" xfId="13512" xr:uid="{73536A48-8A44-42EE-926B-80FCEE0BE2F0}"/>
    <cellStyle name="Currency 5 3 4 2 4" xfId="9294" xr:uid="{9ABA54F4-F906-4A48-AD57-3F71CBFD38A1}"/>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50EE6AF6-FBDE-43C4-924A-97842B431F2A}"/>
    <cellStyle name="Currency 5 3 4 3 2 3" xfId="11852" xr:uid="{07B24B5D-F623-4707-BAE6-1771ACE274B4}"/>
    <cellStyle name="Currency 5 3 4 3 3" xfId="5486" xr:uid="{00000000-0005-0000-0000-0000130D0000}"/>
    <cellStyle name="Currency 5 3 4 3 3 2" xfId="13925" xr:uid="{D940F6F9-0D0F-429E-B3A2-7E5F888FD641}"/>
    <cellStyle name="Currency 5 3 4 3 4" xfId="9707" xr:uid="{4AFA48E8-DA70-45E3-9EE0-1B65075D2F4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1576FFB9-190F-49B9-BF63-836735E80D64}"/>
    <cellStyle name="Currency 5 3 4 4 2 3" xfId="12265" xr:uid="{92F9C940-0671-491B-A2AF-DD1C72292916}"/>
    <cellStyle name="Currency 5 3 4 4 3" xfId="5899" xr:uid="{00000000-0005-0000-0000-0000170D0000}"/>
    <cellStyle name="Currency 5 3 4 4 3 2" xfId="14338" xr:uid="{61B98E33-0DC8-483F-BB16-9490CEEF4AC4}"/>
    <cellStyle name="Currency 5 3 4 4 4" xfId="10120" xr:uid="{2DC0AD1E-9E0A-4098-82C5-5A4F9B68EBE9}"/>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F6F53188-566C-4360-8C1F-7A91F1C6509F}"/>
    <cellStyle name="Currency 5 3 4 5 2 3" xfId="12678" xr:uid="{8CE4609C-F023-4D0A-8ACC-5780D40BAAA5}"/>
    <cellStyle name="Currency 5 3 4 5 3" xfId="6312" xr:uid="{00000000-0005-0000-0000-00001B0D0000}"/>
    <cellStyle name="Currency 5 3 4 5 3 2" xfId="14751" xr:uid="{BEA573D0-9851-415D-A9BE-9F9F6509C4F2}"/>
    <cellStyle name="Currency 5 3 4 5 4" xfId="10533" xr:uid="{E9007092-C20D-47D4-9626-51A20C28F7C4}"/>
    <cellStyle name="Currency 5 3 4 6" xfId="2440" xr:uid="{00000000-0005-0000-0000-00001C0D0000}"/>
    <cellStyle name="Currency 5 3 4 6 2" xfId="6725" xr:uid="{00000000-0005-0000-0000-00001D0D0000}"/>
    <cellStyle name="Currency 5 3 4 6 2 2" xfId="15164" xr:uid="{3A73E925-865F-4435-B289-B88911D0C630}"/>
    <cellStyle name="Currency 5 3 4 6 3" xfId="10946" xr:uid="{7816262F-1754-41A3-B052-3EAE54340222}"/>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BCA2DBFF-2BF9-49F1-99CF-7070777B4A22}"/>
    <cellStyle name="Currency 5 3 4 8 3" xfId="11263" xr:uid="{F108F18A-0D0E-44D8-8AB6-FE0C37D948EC}"/>
    <cellStyle name="Currency 5 3 4 9" xfId="4659" xr:uid="{00000000-0005-0000-0000-0000210D0000}"/>
    <cellStyle name="Currency 5 3 4 9 2" xfId="13098" xr:uid="{295FB369-6927-4525-8028-BBD1B75B0F52}"/>
    <cellStyle name="Currency 5 3 5" xfId="217" xr:uid="{00000000-0005-0000-0000-0000220D0000}"/>
    <cellStyle name="Currency 5 3 5 10" xfId="8881" xr:uid="{1C568216-B581-4788-974F-5E04F061A5B2}"/>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5B37E0F4-41FC-411E-BDA8-8C24D9F011D4}"/>
    <cellStyle name="Currency 5 3 5 2 2 3" xfId="11440" xr:uid="{DE616FEC-EBBE-4CA1-B5D0-3F3C4E7CCFE4}"/>
    <cellStyle name="Currency 5 3 5 2 3" xfId="5074" xr:uid="{00000000-0005-0000-0000-0000260D0000}"/>
    <cellStyle name="Currency 5 3 5 2 3 2" xfId="13513" xr:uid="{70BE0593-A329-44A4-844D-17371DDA3019}"/>
    <cellStyle name="Currency 5 3 5 2 4" xfId="9295" xr:uid="{FF299B6F-5125-4CEF-88E8-948BC3EF618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0992DD76-95B6-45B1-9C2A-DDB1A395870E}"/>
    <cellStyle name="Currency 5 3 5 3 2 3" xfId="11853" xr:uid="{FF595F23-59EA-4FB5-81C4-52CB449BCD71}"/>
    <cellStyle name="Currency 5 3 5 3 3" xfId="5487" xr:uid="{00000000-0005-0000-0000-00002A0D0000}"/>
    <cellStyle name="Currency 5 3 5 3 3 2" xfId="13926" xr:uid="{C6C93D6F-6852-4857-8828-C6F4279886E0}"/>
    <cellStyle name="Currency 5 3 5 3 4" xfId="9708" xr:uid="{7A40E1B6-B239-4143-828F-F8E79F6AF98C}"/>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6B175A10-C020-4A29-96A8-86F15CCEEF14}"/>
    <cellStyle name="Currency 5 3 5 4 2 3" xfId="12266" xr:uid="{CC401123-674E-43EA-9631-6453BF6A4A51}"/>
    <cellStyle name="Currency 5 3 5 4 3" xfId="5900" xr:uid="{00000000-0005-0000-0000-00002E0D0000}"/>
    <cellStyle name="Currency 5 3 5 4 3 2" xfId="14339" xr:uid="{C0D18133-B6D9-43AB-82EB-F6029A11D8D6}"/>
    <cellStyle name="Currency 5 3 5 4 4" xfId="10121" xr:uid="{FA7049A4-1CF1-48AA-A783-0FEB76D02ABF}"/>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EFED22CA-E769-4C67-B28F-5BC5D5EB7607}"/>
    <cellStyle name="Currency 5 3 5 5 2 3" xfId="12679" xr:uid="{298B4616-8982-498B-8000-D0830757B2CF}"/>
    <cellStyle name="Currency 5 3 5 5 3" xfId="6313" xr:uid="{00000000-0005-0000-0000-0000320D0000}"/>
    <cellStyle name="Currency 5 3 5 5 3 2" xfId="14752" xr:uid="{A2A8596B-96F5-48C2-9022-9330AE04E260}"/>
    <cellStyle name="Currency 5 3 5 5 4" xfId="10534" xr:uid="{D2D87646-3894-4E0A-8E02-86DC9D5587E9}"/>
    <cellStyle name="Currency 5 3 5 6" xfId="2441" xr:uid="{00000000-0005-0000-0000-0000330D0000}"/>
    <cellStyle name="Currency 5 3 5 6 2" xfId="6726" xr:uid="{00000000-0005-0000-0000-0000340D0000}"/>
    <cellStyle name="Currency 5 3 5 6 2 2" xfId="15165" xr:uid="{2F802F60-D75D-40D0-8E84-F7AFCDD48824}"/>
    <cellStyle name="Currency 5 3 5 6 3" xfId="10947" xr:uid="{A66C7695-C2A8-4DE0-A4CC-20E6657FA9A9}"/>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F3059F87-700F-43D9-A1EB-6BD348B496E1}"/>
    <cellStyle name="Currency 5 3 5 8 3" xfId="11264" xr:uid="{29B7A67A-5266-4193-BDAB-EAF9AE120AFC}"/>
    <cellStyle name="Currency 5 3 5 9" xfId="4660" xr:uid="{00000000-0005-0000-0000-0000380D0000}"/>
    <cellStyle name="Currency 5 3 5 9 2" xfId="13099" xr:uid="{4F4D5C26-96B4-4C98-8045-9A4DC7D8D675}"/>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351CD82C-0614-4171-B072-06C3024F6C07}"/>
    <cellStyle name="Currency 5 5 11" xfId="8882" xr:uid="{15BFAE53-4D52-4DD6-853C-26477B040BB9}"/>
    <cellStyle name="Currency 5 5 2" xfId="220" xr:uid="{00000000-0005-0000-0000-00003D0D0000}"/>
    <cellStyle name="Currency 5 5 2 10" xfId="8883" xr:uid="{DEF0D5C2-491F-4598-8413-C2629679F40D}"/>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2C09DDAF-40F3-4056-8852-EEA0430188F2}"/>
    <cellStyle name="Currency 5 5 2 2 2 3" xfId="11442" xr:uid="{084F8A27-3626-4E49-A432-4F1DBF32C4E3}"/>
    <cellStyle name="Currency 5 5 2 2 3" xfId="5076" xr:uid="{00000000-0005-0000-0000-0000410D0000}"/>
    <cellStyle name="Currency 5 5 2 2 3 2" xfId="13515" xr:uid="{A89495EF-BA94-4E33-94E0-575B817AE424}"/>
    <cellStyle name="Currency 5 5 2 2 4" xfId="9297" xr:uid="{1DC39D79-7F96-4B00-97F7-02F504DDDDE6}"/>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0F80663D-7587-4219-A0E1-3A1851D9A033}"/>
    <cellStyle name="Currency 5 5 2 3 2 3" xfId="11855" xr:uid="{D2C761F3-F713-47EF-89F7-8A77FFA4661A}"/>
    <cellStyle name="Currency 5 5 2 3 3" xfId="5489" xr:uid="{00000000-0005-0000-0000-0000450D0000}"/>
    <cellStyle name="Currency 5 5 2 3 3 2" xfId="13928" xr:uid="{94A487D1-4BAD-4183-8D43-DDCC3BA40B40}"/>
    <cellStyle name="Currency 5 5 2 3 4" xfId="9710" xr:uid="{FAF5D6F8-0BD1-4E75-BA04-1FC0D4B7EA84}"/>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24FC2D86-5169-4F50-96C7-FCA5B3564588}"/>
    <cellStyle name="Currency 5 5 2 4 2 3" xfId="12268" xr:uid="{EAF5D680-7ED2-4F67-B397-4348EA06A0B5}"/>
    <cellStyle name="Currency 5 5 2 4 3" xfId="5902" xr:uid="{00000000-0005-0000-0000-0000490D0000}"/>
    <cellStyle name="Currency 5 5 2 4 3 2" xfId="14341" xr:uid="{61526343-A22C-49FB-A067-AE448CBB3701}"/>
    <cellStyle name="Currency 5 5 2 4 4" xfId="10123" xr:uid="{FAFD71EE-6A61-4348-9472-16125E765A2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FC0470AC-F8E3-4E4A-B509-E2231789EE90}"/>
    <cellStyle name="Currency 5 5 2 5 2 3" xfId="12681" xr:uid="{95680661-7D54-48AB-86D3-FBAED23B0D65}"/>
    <cellStyle name="Currency 5 5 2 5 3" xfId="6315" xr:uid="{00000000-0005-0000-0000-00004D0D0000}"/>
    <cellStyle name="Currency 5 5 2 5 3 2" xfId="14754" xr:uid="{2078C846-4687-4AF8-9766-D31C6C78E097}"/>
    <cellStyle name="Currency 5 5 2 5 4" xfId="10536" xr:uid="{6777431A-2D09-4695-BDF5-6A962C805433}"/>
    <cellStyle name="Currency 5 5 2 6" xfId="2443" xr:uid="{00000000-0005-0000-0000-00004E0D0000}"/>
    <cellStyle name="Currency 5 5 2 6 2" xfId="6728" xr:uid="{00000000-0005-0000-0000-00004F0D0000}"/>
    <cellStyle name="Currency 5 5 2 6 2 2" xfId="15167" xr:uid="{DAC9CBC2-2338-479F-82BD-575FC49A6FB3}"/>
    <cellStyle name="Currency 5 5 2 6 3" xfId="10949" xr:uid="{1960733F-1907-4A7B-96B8-4C4E68E24696}"/>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83E86A2A-2946-4A97-959D-EEFF58119254}"/>
    <cellStyle name="Currency 5 5 2 8 3" xfId="11266" xr:uid="{91945382-119A-4FD7-876C-F36540C62B66}"/>
    <cellStyle name="Currency 5 5 2 9" xfId="4662" xr:uid="{00000000-0005-0000-0000-0000530D0000}"/>
    <cellStyle name="Currency 5 5 2 9 2" xfId="13101" xr:uid="{B4FFFBFF-5E33-4A50-B762-77B77340EAB2}"/>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5EC927BA-D1A5-4A4B-881A-23818D03E182}"/>
    <cellStyle name="Currency 5 5 3 2 3" xfId="11441" xr:uid="{E71D16AF-0A6B-493C-B94C-DF170B63A310}"/>
    <cellStyle name="Currency 5 5 3 3" xfId="5075" xr:uid="{00000000-0005-0000-0000-0000570D0000}"/>
    <cellStyle name="Currency 5 5 3 3 2" xfId="13514" xr:uid="{1694793D-28F1-4502-9E19-BD0CF5805A94}"/>
    <cellStyle name="Currency 5 5 3 4" xfId="9296" xr:uid="{6FA08B68-8C57-461C-8E03-80E64FEEF4B1}"/>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CA40C6B9-6006-490F-9518-F4AF84D32A34}"/>
    <cellStyle name="Currency 5 5 4 2 3" xfId="11854" xr:uid="{90A91340-AB1D-4567-B259-53A012476314}"/>
    <cellStyle name="Currency 5 5 4 3" xfId="5488" xr:uid="{00000000-0005-0000-0000-00005B0D0000}"/>
    <cellStyle name="Currency 5 5 4 3 2" xfId="13927" xr:uid="{F99AB69E-0526-4219-A88B-629F53A295CF}"/>
    <cellStyle name="Currency 5 5 4 4" xfId="9709" xr:uid="{62FBED4F-29A8-4F1D-B456-39BB9A65AC0A}"/>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1AFD9339-B6CF-4048-8C89-7A5D507D462D}"/>
    <cellStyle name="Currency 5 5 5 2 3" xfId="12267" xr:uid="{2436F40C-DD53-4895-9639-94BEB24DD0E9}"/>
    <cellStyle name="Currency 5 5 5 3" xfId="5901" xr:uid="{00000000-0005-0000-0000-00005F0D0000}"/>
    <cellStyle name="Currency 5 5 5 3 2" xfId="14340" xr:uid="{D7D79A31-7A2F-4781-96BB-733BF1407018}"/>
    <cellStyle name="Currency 5 5 5 4" xfId="10122" xr:uid="{44815B32-71AD-482B-8018-C12BF5A568DE}"/>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C0DC25D0-3346-46DE-81DB-DAE41F75D001}"/>
    <cellStyle name="Currency 5 5 6 2 3" xfId="12680" xr:uid="{A52CEB7B-4C47-4501-9D68-3781CDB8A8AC}"/>
    <cellStyle name="Currency 5 5 6 3" xfId="6314" xr:uid="{00000000-0005-0000-0000-0000630D0000}"/>
    <cellStyle name="Currency 5 5 6 3 2" xfId="14753" xr:uid="{1884D5CD-D906-4674-A366-994A542A4CC1}"/>
    <cellStyle name="Currency 5 5 6 4" xfId="10535" xr:uid="{E6B48B48-9F97-4B71-8436-30B186C77309}"/>
    <cellStyle name="Currency 5 5 7" xfId="2442" xr:uid="{00000000-0005-0000-0000-0000640D0000}"/>
    <cellStyle name="Currency 5 5 7 2" xfId="6727" xr:uid="{00000000-0005-0000-0000-0000650D0000}"/>
    <cellStyle name="Currency 5 5 7 2 2" xfId="15166" xr:uid="{D947F5FE-3C00-4759-B723-F1FC76FF24A9}"/>
    <cellStyle name="Currency 5 5 7 3" xfId="10948" xr:uid="{BFB928A4-5172-488E-BD1C-616132EF5620}"/>
    <cellStyle name="Currency 5 5 8" xfId="2739" xr:uid="{00000000-0005-0000-0000-0000660D0000}"/>
    <cellStyle name="Currency 5 5 9" xfId="2820" xr:uid="{00000000-0005-0000-0000-0000670D0000}"/>
    <cellStyle name="Currency 5 5 9 2" xfId="7044" xr:uid="{00000000-0005-0000-0000-0000680D0000}"/>
    <cellStyle name="Currency 5 5 9 2 2" xfId="15483" xr:uid="{11B628B6-1F6C-4558-9B41-EA5C039C307C}"/>
    <cellStyle name="Currency 5 5 9 3" xfId="11265" xr:uid="{53D70338-CFF9-4552-A48A-78DE1B4BBF08}"/>
    <cellStyle name="Currency 5 6" xfId="221" xr:uid="{00000000-0005-0000-0000-0000690D0000}"/>
    <cellStyle name="Currency 5 6 10" xfId="8884" xr:uid="{A293F646-EA00-42B3-8AFE-83306DB6E26F}"/>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B394307F-CD21-44E3-BCA9-CE86F48AE9CB}"/>
    <cellStyle name="Currency 5 6 2 2 3" xfId="11443" xr:uid="{14EC8C06-09BF-4BE0-A182-5196A0C11242}"/>
    <cellStyle name="Currency 5 6 2 3" xfId="5077" xr:uid="{00000000-0005-0000-0000-00006D0D0000}"/>
    <cellStyle name="Currency 5 6 2 3 2" xfId="13516" xr:uid="{2B6C7912-52BF-4CBD-892E-0F9F0A3702CA}"/>
    <cellStyle name="Currency 5 6 2 4" xfId="9298" xr:uid="{8C8B5B84-E640-4845-8433-4D4B34D7A643}"/>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D2769AF0-3A6F-4C86-80FE-5981F6C5B0A4}"/>
    <cellStyle name="Currency 5 6 3 2 3" xfId="11856" xr:uid="{11AF93E7-7978-4D74-AE40-78785B0DD751}"/>
    <cellStyle name="Currency 5 6 3 3" xfId="5490" xr:uid="{00000000-0005-0000-0000-0000710D0000}"/>
    <cellStyle name="Currency 5 6 3 3 2" xfId="13929" xr:uid="{F76C981A-6418-433B-BA01-B54AF1651F6E}"/>
    <cellStyle name="Currency 5 6 3 4" xfId="9711" xr:uid="{19927394-5BD1-48A0-81B5-23EAF5939E7E}"/>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07311FD4-DEB4-46A1-9AD0-9AA64A69A867}"/>
    <cellStyle name="Currency 5 6 4 2 3" xfId="12269" xr:uid="{E76F21B8-2FEF-4139-AF7A-ACE03C56EC01}"/>
    <cellStyle name="Currency 5 6 4 3" xfId="5903" xr:uid="{00000000-0005-0000-0000-0000750D0000}"/>
    <cellStyle name="Currency 5 6 4 3 2" xfId="14342" xr:uid="{563348DE-7F59-4F60-AE2C-4116966A57CB}"/>
    <cellStyle name="Currency 5 6 4 4" xfId="10124" xr:uid="{340B1E23-1C33-4B3D-AF84-DF0B173D0370}"/>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064E6D66-AC4F-47B7-933B-CAC61E013F52}"/>
    <cellStyle name="Currency 5 6 5 2 3" xfId="12682" xr:uid="{1443ADB9-D9B3-4F04-BFAF-026D609D12C3}"/>
    <cellStyle name="Currency 5 6 5 3" xfId="6316" xr:uid="{00000000-0005-0000-0000-0000790D0000}"/>
    <cellStyle name="Currency 5 6 5 3 2" xfId="14755" xr:uid="{5CDCDD1C-9BF5-471A-9570-43968AFB4312}"/>
    <cellStyle name="Currency 5 6 5 4" xfId="10537" xr:uid="{8BD418EB-FCA1-46B5-A289-8C77A4A97C06}"/>
    <cellStyle name="Currency 5 6 6" xfId="2444" xr:uid="{00000000-0005-0000-0000-00007A0D0000}"/>
    <cellStyle name="Currency 5 6 6 2" xfId="6729" xr:uid="{00000000-0005-0000-0000-00007B0D0000}"/>
    <cellStyle name="Currency 5 6 6 2 2" xfId="15168" xr:uid="{FF62E550-7506-44B6-9E49-6E227D353456}"/>
    <cellStyle name="Currency 5 6 6 3" xfId="10950" xr:uid="{898A2AA7-1D64-43BD-8023-30B099FFDAE9}"/>
    <cellStyle name="Currency 5 6 7" xfId="2741" xr:uid="{00000000-0005-0000-0000-00007C0D0000}"/>
    <cellStyle name="Currency 5 6 8" xfId="2822" xr:uid="{00000000-0005-0000-0000-00007D0D0000}"/>
    <cellStyle name="Currency 5 6 8 2" xfId="7046" xr:uid="{00000000-0005-0000-0000-00007E0D0000}"/>
    <cellStyle name="Currency 5 6 8 2 2" xfId="15485" xr:uid="{796DD3A1-320D-450D-B9A0-0D97A550DCB9}"/>
    <cellStyle name="Currency 5 6 8 3" xfId="11267" xr:uid="{695FC63A-6498-4879-8444-1E95C8389E5F}"/>
    <cellStyle name="Currency 5 6 9" xfId="4663" xr:uid="{00000000-0005-0000-0000-00007F0D0000}"/>
    <cellStyle name="Currency 5 6 9 2" xfId="13102" xr:uid="{9913AA1D-DED4-43B0-81E0-AB80B6FB5C22}"/>
    <cellStyle name="Currency 5 7" xfId="222" xr:uid="{00000000-0005-0000-0000-0000800D0000}"/>
    <cellStyle name="Currency 5 7 10" xfId="8885" xr:uid="{1D11A1E5-F94F-4C22-A8E2-AD87A478FD95}"/>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EA6B0F4B-641F-4CC9-9C41-03896691DD2E}"/>
    <cellStyle name="Currency 5 7 2 2 3" xfId="11444" xr:uid="{E200607E-B171-410E-8BAC-39CACDE71F55}"/>
    <cellStyle name="Currency 5 7 2 3" xfId="5078" xr:uid="{00000000-0005-0000-0000-0000840D0000}"/>
    <cellStyle name="Currency 5 7 2 3 2" xfId="13517" xr:uid="{DDCAC874-3F9C-481C-90F9-32725FCE35CA}"/>
    <cellStyle name="Currency 5 7 2 4" xfId="9299" xr:uid="{62C5D799-DB9A-4CBF-93EE-822F3713F10A}"/>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D2B53E45-EC2E-43E5-A992-459BA3609E5B}"/>
    <cellStyle name="Currency 5 7 3 2 3" xfId="11857" xr:uid="{64D8A987-DE75-4C15-A658-8404345BFE60}"/>
    <cellStyle name="Currency 5 7 3 3" xfId="5491" xr:uid="{00000000-0005-0000-0000-0000880D0000}"/>
    <cellStyle name="Currency 5 7 3 3 2" xfId="13930" xr:uid="{715B3CD1-69B5-4434-8929-FD4462BD9B37}"/>
    <cellStyle name="Currency 5 7 3 4" xfId="9712" xr:uid="{4EB91621-B0C2-4B2A-81CC-695352F8DD0C}"/>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B922FA9A-184C-468A-9E81-7CBBA5C89C56}"/>
    <cellStyle name="Currency 5 7 4 2 3" xfId="12270" xr:uid="{C6635D51-37AC-4F6F-8186-2C346554E5ED}"/>
    <cellStyle name="Currency 5 7 4 3" xfId="5904" xr:uid="{00000000-0005-0000-0000-00008C0D0000}"/>
    <cellStyle name="Currency 5 7 4 3 2" xfId="14343" xr:uid="{5BA64ECE-C6BB-45DC-B628-6E50C185B862}"/>
    <cellStyle name="Currency 5 7 4 4" xfId="10125" xr:uid="{2CFEB32C-579B-467E-8524-16AC4656412A}"/>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FEE1D196-4AE3-433B-9987-85851AC9BFC5}"/>
    <cellStyle name="Currency 5 7 5 2 3" xfId="12683" xr:uid="{5E4A2337-CFDC-4242-BB99-BAF514FBF957}"/>
    <cellStyle name="Currency 5 7 5 3" xfId="6317" xr:uid="{00000000-0005-0000-0000-0000900D0000}"/>
    <cellStyle name="Currency 5 7 5 3 2" xfId="14756" xr:uid="{0F80BB22-F156-4C06-8AE3-A2159E39F759}"/>
    <cellStyle name="Currency 5 7 5 4" xfId="10538" xr:uid="{006BED4A-8472-4A23-A7C3-36E984206A65}"/>
    <cellStyle name="Currency 5 7 6" xfId="2445" xr:uid="{00000000-0005-0000-0000-0000910D0000}"/>
    <cellStyle name="Currency 5 7 6 2" xfId="6730" xr:uid="{00000000-0005-0000-0000-0000920D0000}"/>
    <cellStyle name="Currency 5 7 6 2 2" xfId="15169" xr:uid="{A8FF52A7-117D-422B-9868-C84B8CD051E5}"/>
    <cellStyle name="Currency 5 7 6 3" xfId="10951" xr:uid="{23F6B348-3CD3-42A3-94B8-5D8D68E2234B}"/>
    <cellStyle name="Currency 5 7 7" xfId="2742" xr:uid="{00000000-0005-0000-0000-0000930D0000}"/>
    <cellStyle name="Currency 5 7 8" xfId="2823" xr:uid="{00000000-0005-0000-0000-0000940D0000}"/>
    <cellStyle name="Currency 5 7 8 2" xfId="7047" xr:uid="{00000000-0005-0000-0000-0000950D0000}"/>
    <cellStyle name="Currency 5 7 8 2 2" xfId="15486" xr:uid="{7F2A52B9-80B9-4762-A894-185FCEFD8E52}"/>
    <cellStyle name="Currency 5 7 8 3" xfId="11268" xr:uid="{572452B9-F180-472F-857C-2C73CF174903}"/>
    <cellStyle name="Currency 5 7 9" xfId="4664" xr:uid="{00000000-0005-0000-0000-0000960D0000}"/>
    <cellStyle name="Currency 5 7 9 2" xfId="13103" xr:uid="{D4B3921F-9ECF-481C-A3C2-0A176FD8434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D9B60228-9830-40B9-B713-D514E5A9BDCA}"/>
    <cellStyle name="Normal 12 10 3" xfId="10952" xr:uid="{F2A87A3C-9C75-4787-ADED-B40E020A2E5E}"/>
    <cellStyle name="Normal 12 11" xfId="4665" xr:uid="{00000000-0005-0000-0000-0000CC0D0000}"/>
    <cellStyle name="Normal 12 11 2" xfId="13104" xr:uid="{45076D12-5A9D-4BB7-AC69-542CEF282043}"/>
    <cellStyle name="Normal 12 12" xfId="8886" xr:uid="{6D58667D-9846-427D-BD53-DEF42EFD5D67}"/>
    <cellStyle name="Normal 12 2" xfId="260" xr:uid="{00000000-0005-0000-0000-0000CD0D0000}"/>
    <cellStyle name="Normal 12 2 10" xfId="8887" xr:uid="{4B40F755-9CFC-4D65-8D04-A0F7294AB68F}"/>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E8FE8B98-7F32-4B2D-BA0A-18B24FB2DE8F}"/>
    <cellStyle name="Normal 12 2 2 2 2 2 3" xfId="11448" xr:uid="{27CE7350-955B-48A3-9170-8875D06DA808}"/>
    <cellStyle name="Normal 12 2 2 2 2 3" xfId="5082" xr:uid="{00000000-0005-0000-0000-0000D30D0000}"/>
    <cellStyle name="Normal 12 2 2 2 2 3 2" xfId="13521" xr:uid="{60A84FD9-7788-4588-A686-AAD32330373C}"/>
    <cellStyle name="Normal 12 2 2 2 2 4" xfId="9303" xr:uid="{A9E7001E-A873-4D3B-8C2F-760DDB47D1BC}"/>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F8E13D86-BCDD-4664-9682-B0832D3FB41B}"/>
    <cellStyle name="Normal 12 2 2 2 3 2 3" xfId="11861" xr:uid="{4A640B20-AA57-4971-B755-E8E81197BA69}"/>
    <cellStyle name="Normal 12 2 2 2 3 3" xfId="5495" xr:uid="{00000000-0005-0000-0000-0000D70D0000}"/>
    <cellStyle name="Normal 12 2 2 2 3 3 2" xfId="13934" xr:uid="{FDAA141F-AD20-4914-BDC9-F62736FF94CF}"/>
    <cellStyle name="Normal 12 2 2 2 3 4" xfId="9716" xr:uid="{6925F112-75C4-4B32-892E-406F6460A3F8}"/>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9299723B-EA66-444F-8FE5-33A736F77897}"/>
    <cellStyle name="Normal 12 2 2 2 4 2 3" xfId="12274" xr:uid="{F6628B0F-E84E-407D-8CA7-7E5A9E4899AD}"/>
    <cellStyle name="Normal 12 2 2 2 4 3" xfId="5908" xr:uid="{00000000-0005-0000-0000-0000DB0D0000}"/>
    <cellStyle name="Normal 12 2 2 2 4 3 2" xfId="14347" xr:uid="{3543BF3E-A85A-4B7D-81D4-1044536040E8}"/>
    <cellStyle name="Normal 12 2 2 2 4 4" xfId="10129" xr:uid="{AD7F46B5-EEA6-40F5-A6C6-67659A94A1E4}"/>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91589258-6CED-43CC-B58A-B0EE4CE854B6}"/>
    <cellStyle name="Normal 12 2 2 2 5 2 3" xfId="12687" xr:uid="{E488EBBB-82D8-4B4E-9BDD-F74B30BE9F5D}"/>
    <cellStyle name="Normal 12 2 2 2 5 3" xfId="6321" xr:uid="{00000000-0005-0000-0000-0000DF0D0000}"/>
    <cellStyle name="Normal 12 2 2 2 5 3 2" xfId="14760" xr:uid="{5326EF6B-D973-49CA-8D6C-2647190ECCA8}"/>
    <cellStyle name="Normal 12 2 2 2 5 4" xfId="10542" xr:uid="{BFED89F0-1729-4A9F-8AD4-8DAD753B017D}"/>
    <cellStyle name="Normal 12 2 2 2 6" xfId="2450" xr:uid="{00000000-0005-0000-0000-0000E00D0000}"/>
    <cellStyle name="Normal 12 2 2 2 6 2" xfId="6734" xr:uid="{00000000-0005-0000-0000-0000E10D0000}"/>
    <cellStyle name="Normal 12 2 2 2 6 2 2" xfId="15173" xr:uid="{A1F15E55-019E-426F-804D-5A25E2CDF171}"/>
    <cellStyle name="Normal 12 2 2 2 6 3" xfId="10955" xr:uid="{7C5E87B1-C3BD-4CEC-B5B8-E41C71C12AB1}"/>
    <cellStyle name="Normal 12 2 2 2 7" xfId="4668" xr:uid="{00000000-0005-0000-0000-0000E20D0000}"/>
    <cellStyle name="Normal 12 2 2 2 7 2" xfId="13107" xr:uid="{1F23E913-C48B-4D5D-9544-4DB3167352F0}"/>
    <cellStyle name="Normal 12 2 2 2 8" xfId="8889" xr:uid="{8E345E5B-3AA8-4481-8997-2D56AFBE3ADB}"/>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CF163462-B1A0-490C-8E16-26502A9FCF71}"/>
    <cellStyle name="Normal 12 2 2 3 2 3" xfId="11447" xr:uid="{1B7E6A57-D3CB-477D-915D-F62B15526B98}"/>
    <cellStyle name="Normal 12 2 2 3 3" xfId="5081" xr:uid="{00000000-0005-0000-0000-0000E60D0000}"/>
    <cellStyle name="Normal 12 2 2 3 3 2" xfId="13520" xr:uid="{75FBE8E0-2243-4AA3-B783-0D093AA92D08}"/>
    <cellStyle name="Normal 12 2 2 3 4" xfId="9302" xr:uid="{0647E2AB-9D28-41F6-995E-0E92AEF71679}"/>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AE648CFB-DBBD-4F9D-B1E4-2EAE8937AA87}"/>
    <cellStyle name="Normal 12 2 2 4 2 3" xfId="11860" xr:uid="{981646F2-0A16-45D5-9C0A-00C6AACF8AA0}"/>
    <cellStyle name="Normal 12 2 2 4 3" xfId="5494" xr:uid="{00000000-0005-0000-0000-0000EA0D0000}"/>
    <cellStyle name="Normal 12 2 2 4 3 2" xfId="13933" xr:uid="{2A8B5D7C-01E5-44C1-A2A4-F4CD0DD25483}"/>
    <cellStyle name="Normal 12 2 2 4 4" xfId="9715" xr:uid="{657A1519-0040-40B6-8F54-B27131BFC094}"/>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6A33E830-9AB4-4339-BEE0-1C7893C7865C}"/>
    <cellStyle name="Normal 12 2 2 5 2 3" xfId="12273" xr:uid="{87E26BEE-E4A5-453B-B55E-B9AB4B39899A}"/>
    <cellStyle name="Normal 12 2 2 5 3" xfId="5907" xr:uid="{00000000-0005-0000-0000-0000EE0D0000}"/>
    <cellStyle name="Normal 12 2 2 5 3 2" xfId="14346" xr:uid="{C1207251-BEA9-4FD8-80FC-F0BB27A583DA}"/>
    <cellStyle name="Normal 12 2 2 5 4" xfId="10128" xr:uid="{E9AF0F9B-BB78-4FB1-959D-CC3AF997CB6B}"/>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1C4FBE05-5727-4E96-90C2-A8C67D09C7CC}"/>
    <cellStyle name="Normal 12 2 2 6 2 3" xfId="12686" xr:uid="{C68A6FA1-95EE-4BEA-9D15-A97C015A12B2}"/>
    <cellStyle name="Normal 12 2 2 6 3" xfId="6320" xr:uid="{00000000-0005-0000-0000-0000F20D0000}"/>
    <cellStyle name="Normal 12 2 2 6 3 2" xfId="14759" xr:uid="{3E76AB05-7770-4C16-BBC4-9ED4DB3CDD82}"/>
    <cellStyle name="Normal 12 2 2 6 4" xfId="10541" xr:uid="{BCA0F2B3-2295-404E-9BBF-D955AD637FC7}"/>
    <cellStyle name="Normal 12 2 2 7" xfId="2449" xr:uid="{00000000-0005-0000-0000-0000F30D0000}"/>
    <cellStyle name="Normal 12 2 2 7 2" xfId="6733" xr:uid="{00000000-0005-0000-0000-0000F40D0000}"/>
    <cellStyle name="Normal 12 2 2 7 2 2" xfId="15172" xr:uid="{D7910D8A-1971-4F73-A50B-834CEA091BD7}"/>
    <cellStyle name="Normal 12 2 2 7 3" xfId="10954" xr:uid="{414D495D-4CF3-43A5-BB24-575A9D8ED326}"/>
    <cellStyle name="Normal 12 2 2 8" xfId="4667" xr:uid="{00000000-0005-0000-0000-0000F50D0000}"/>
    <cellStyle name="Normal 12 2 2 8 2" xfId="13106" xr:uid="{E7FD09E5-EA84-4044-B59C-FEDC96C27930}"/>
    <cellStyle name="Normal 12 2 2 9" xfId="8888" xr:uid="{DD63FF52-BB76-4593-9615-F3F0820FE817}"/>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B2C1B4CA-C0F8-4A0D-B4EA-E658B4CB1FF2}"/>
    <cellStyle name="Normal 12 2 3 2 2 3" xfId="11449" xr:uid="{ED8E3DB5-F546-45DA-88D7-93B331D2100B}"/>
    <cellStyle name="Normal 12 2 3 2 3" xfId="5083" xr:uid="{00000000-0005-0000-0000-0000FA0D0000}"/>
    <cellStyle name="Normal 12 2 3 2 3 2" xfId="13522" xr:uid="{2DA2E275-E76E-4515-9C8C-41ACA088C1FB}"/>
    <cellStyle name="Normal 12 2 3 2 4" xfId="9304" xr:uid="{D48DBDF1-ABF0-4449-8A4C-DB223AEA1371}"/>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D2D3C896-90FE-498E-A4B7-E226155E5075}"/>
    <cellStyle name="Normal 12 2 3 3 2 3" xfId="11862" xr:uid="{2BF1C921-604A-433C-8A48-CD0C2BCA02B2}"/>
    <cellStyle name="Normal 12 2 3 3 3" xfId="5496" xr:uid="{00000000-0005-0000-0000-0000FE0D0000}"/>
    <cellStyle name="Normal 12 2 3 3 3 2" xfId="13935" xr:uid="{6B9BA3FA-07D5-485C-AEDD-1ED7B18574C0}"/>
    <cellStyle name="Normal 12 2 3 3 4" xfId="9717" xr:uid="{F26C272B-4FEB-40B3-A05A-61E698FFF597}"/>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C98A35EC-2B69-48E0-BD18-7AE20EAD16CE}"/>
    <cellStyle name="Normal 12 2 3 4 2 3" xfId="12275" xr:uid="{CCDD6DDC-B4D9-47E7-A23B-166123BD46E6}"/>
    <cellStyle name="Normal 12 2 3 4 3" xfId="5909" xr:uid="{00000000-0005-0000-0000-0000020E0000}"/>
    <cellStyle name="Normal 12 2 3 4 3 2" xfId="14348" xr:uid="{2F736CE7-7BFC-4809-BD0E-F75264350D2A}"/>
    <cellStyle name="Normal 12 2 3 4 4" xfId="10130" xr:uid="{97AD866D-4053-40B4-ABA0-B6AC79CCFB5A}"/>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C5CAF56F-589D-49CE-8282-4E5818E67624}"/>
    <cellStyle name="Normal 12 2 3 5 2 3" xfId="12688" xr:uid="{9AAD24CB-E1E8-412E-B1AE-4D7E56E4E1D3}"/>
    <cellStyle name="Normal 12 2 3 5 3" xfId="6322" xr:uid="{00000000-0005-0000-0000-0000060E0000}"/>
    <cellStyle name="Normal 12 2 3 5 3 2" xfId="14761" xr:uid="{B3D559F9-A4B6-4A9D-ADC9-A8DB7FBD65F1}"/>
    <cellStyle name="Normal 12 2 3 5 4" xfId="10543" xr:uid="{6BA2811C-3942-4EB4-9CEE-349672CF032F}"/>
    <cellStyle name="Normal 12 2 3 6" xfId="2451" xr:uid="{00000000-0005-0000-0000-0000070E0000}"/>
    <cellStyle name="Normal 12 2 3 6 2" xfId="6735" xr:uid="{00000000-0005-0000-0000-0000080E0000}"/>
    <cellStyle name="Normal 12 2 3 6 2 2" xfId="15174" xr:uid="{79A9742C-176B-46FC-933C-0B48F19B2A54}"/>
    <cellStyle name="Normal 12 2 3 6 3" xfId="10956" xr:uid="{6D5EEBA9-1D38-4CFA-8FC3-95CB9168A0AD}"/>
    <cellStyle name="Normal 12 2 3 7" xfId="4669" xr:uid="{00000000-0005-0000-0000-0000090E0000}"/>
    <cellStyle name="Normal 12 2 3 7 2" xfId="13108" xr:uid="{CBC43D5E-8C4F-4D45-B39F-C1C6A8083D1D}"/>
    <cellStyle name="Normal 12 2 3 8" xfId="8890" xr:uid="{EEEFC309-E50A-471C-95A4-D1AFA0698D8B}"/>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1354C8E5-DC99-494D-9D58-5CE59DCEAAE7}"/>
    <cellStyle name="Normal 12 2 4 2 3" xfId="11446" xr:uid="{C193C730-0098-4E8E-A8CA-5625E652D151}"/>
    <cellStyle name="Normal 12 2 4 3" xfId="5080" xr:uid="{00000000-0005-0000-0000-00000D0E0000}"/>
    <cellStyle name="Normal 12 2 4 3 2" xfId="13519" xr:uid="{CD762D2B-A046-4B9E-8417-A2C7E7A675C3}"/>
    <cellStyle name="Normal 12 2 4 4" xfId="9301" xr:uid="{8D0D3F67-90A5-4677-A1E0-1EC2438BC2A1}"/>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5E3984FC-A935-4700-B0D9-0C2C7C6070E8}"/>
    <cellStyle name="Normal 12 2 5 2 3" xfId="11859" xr:uid="{F389C4C6-3C49-4DC4-9BAB-6F431BCDEEC1}"/>
    <cellStyle name="Normal 12 2 5 3" xfId="5493" xr:uid="{00000000-0005-0000-0000-0000110E0000}"/>
    <cellStyle name="Normal 12 2 5 3 2" xfId="13932" xr:uid="{9F69DD45-1496-4360-A025-25BCDC500B8E}"/>
    <cellStyle name="Normal 12 2 5 4" xfId="9714" xr:uid="{B525667E-EE3B-44AB-8DF2-1A81E1E8C9E3}"/>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81DB3442-F6FF-4412-8977-70AE3A80CD68}"/>
    <cellStyle name="Normal 12 2 6 2 3" xfId="12272" xr:uid="{3896665B-5889-4742-ABAD-2C859AFDDA02}"/>
    <cellStyle name="Normal 12 2 6 3" xfId="5906" xr:uid="{00000000-0005-0000-0000-0000150E0000}"/>
    <cellStyle name="Normal 12 2 6 3 2" xfId="14345" xr:uid="{E95C3E00-F489-4C68-9F7E-0A6310EC88AA}"/>
    <cellStyle name="Normal 12 2 6 4" xfId="10127" xr:uid="{99BF0A0A-BA1A-411C-B69D-0603594651BA}"/>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EA21B4E0-E4BC-4D38-AC42-DA9E327F1B8B}"/>
    <cellStyle name="Normal 12 2 7 2 3" xfId="12685" xr:uid="{0DA1C912-FB92-461B-BE83-48E0E90A60E6}"/>
    <cellStyle name="Normal 12 2 7 3" xfId="6319" xr:uid="{00000000-0005-0000-0000-0000190E0000}"/>
    <cellStyle name="Normal 12 2 7 3 2" xfId="14758" xr:uid="{CD086A3E-C21A-4062-81C3-D8EE361C7884}"/>
    <cellStyle name="Normal 12 2 7 4" xfId="10540" xr:uid="{C5160453-5359-41C9-905E-DDC19C4F4249}"/>
    <cellStyle name="Normal 12 2 8" xfId="2448" xr:uid="{00000000-0005-0000-0000-00001A0E0000}"/>
    <cellStyle name="Normal 12 2 8 2" xfId="6732" xr:uid="{00000000-0005-0000-0000-00001B0E0000}"/>
    <cellStyle name="Normal 12 2 8 2 2" xfId="15171" xr:uid="{5D57D683-BC3C-4025-A5EE-40A717EF534E}"/>
    <cellStyle name="Normal 12 2 8 3" xfId="10953" xr:uid="{8A043EB5-734B-46E0-9590-123951B728FD}"/>
    <cellStyle name="Normal 12 2 9" xfId="4666" xr:uid="{00000000-0005-0000-0000-00001C0E0000}"/>
    <cellStyle name="Normal 12 2 9 2" xfId="13105" xr:uid="{7E923533-F378-4B86-8D9D-859F4F03BF7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EE3B8D97-606D-481B-B8FD-4C5AEB964E4C}"/>
    <cellStyle name="Normal 12 3 2 2 2 3" xfId="11451" xr:uid="{3BEA4A89-1FA8-455C-BADD-D31F825702D6}"/>
    <cellStyle name="Normal 12 3 2 2 3" xfId="5085" xr:uid="{00000000-0005-0000-0000-0000220E0000}"/>
    <cellStyle name="Normal 12 3 2 2 3 2" xfId="13524" xr:uid="{37894BCF-51B5-45D7-822E-7D6912DCFC01}"/>
    <cellStyle name="Normal 12 3 2 2 4" xfId="9306" xr:uid="{29D41992-2E62-493A-8BD3-7D69A9EE49F2}"/>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08C3EDDC-1D75-410F-A67B-0456A9C974E5}"/>
    <cellStyle name="Normal 12 3 2 3 2 3" xfId="11864" xr:uid="{214796C5-7B39-40FF-8942-7F9CABF47973}"/>
    <cellStyle name="Normal 12 3 2 3 3" xfId="5498" xr:uid="{00000000-0005-0000-0000-0000260E0000}"/>
    <cellStyle name="Normal 12 3 2 3 3 2" xfId="13937" xr:uid="{6BFD5F60-80EE-4197-8056-AE1CBD32601F}"/>
    <cellStyle name="Normal 12 3 2 3 4" xfId="9719" xr:uid="{03936EA9-76E4-43B8-ACBF-535BC4CF9FC1}"/>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78C4C116-D257-44C9-AE6A-478293CF2D56}"/>
    <cellStyle name="Normal 12 3 2 4 2 3" xfId="12277" xr:uid="{D09D9EE5-636C-4704-A869-974EFE228020}"/>
    <cellStyle name="Normal 12 3 2 4 3" xfId="5911" xr:uid="{00000000-0005-0000-0000-00002A0E0000}"/>
    <cellStyle name="Normal 12 3 2 4 3 2" xfId="14350" xr:uid="{EA1E86C5-1208-4ECE-ABAA-8C6AC2E65209}"/>
    <cellStyle name="Normal 12 3 2 4 4" xfId="10132" xr:uid="{317469E8-210E-48EE-ABED-12FE1A8D59D3}"/>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991016D7-30B5-430E-90BF-3A023EBE3DB1}"/>
    <cellStyle name="Normal 12 3 2 5 2 3" xfId="12690" xr:uid="{896179CF-8037-4C82-8F1E-27543E9D7FF1}"/>
    <cellStyle name="Normal 12 3 2 5 3" xfId="6324" xr:uid="{00000000-0005-0000-0000-00002E0E0000}"/>
    <cellStyle name="Normal 12 3 2 5 3 2" xfId="14763" xr:uid="{8BFF497F-5033-4615-8E0F-8BCBB766018D}"/>
    <cellStyle name="Normal 12 3 2 5 4" xfId="10545" xr:uid="{FC78F28C-062C-4A83-9888-95D58CC0F121}"/>
    <cellStyle name="Normal 12 3 2 6" xfId="2453" xr:uid="{00000000-0005-0000-0000-00002F0E0000}"/>
    <cellStyle name="Normal 12 3 2 6 2" xfId="6737" xr:uid="{00000000-0005-0000-0000-0000300E0000}"/>
    <cellStyle name="Normal 12 3 2 6 2 2" xfId="15176" xr:uid="{587C7EBD-7E59-4E1B-BD68-C56C7FFA046A}"/>
    <cellStyle name="Normal 12 3 2 6 3" xfId="10958" xr:uid="{B6B1108D-AB94-49C6-ABFE-F3C7FF71049C}"/>
    <cellStyle name="Normal 12 3 2 7" xfId="4671" xr:uid="{00000000-0005-0000-0000-0000310E0000}"/>
    <cellStyle name="Normal 12 3 2 7 2" xfId="13110" xr:uid="{D7978C3B-730D-4F22-A4CF-F9122684DC2A}"/>
    <cellStyle name="Normal 12 3 2 8" xfId="8892" xr:uid="{0A7A0E8B-B116-498A-8C55-738D485FB83A}"/>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A5632131-E531-401A-BA67-AB54821FBB3A}"/>
    <cellStyle name="Normal 12 3 3 2 3" xfId="11450" xr:uid="{4B9834C3-7E9B-4508-8ACD-9790DDBBCE0C}"/>
    <cellStyle name="Normal 12 3 3 3" xfId="5084" xr:uid="{00000000-0005-0000-0000-0000350E0000}"/>
    <cellStyle name="Normal 12 3 3 3 2" xfId="13523" xr:uid="{180D491A-7BDA-4CEB-B276-0BCD089DFBE9}"/>
    <cellStyle name="Normal 12 3 3 4" xfId="9305" xr:uid="{534CF25B-82C7-4ED7-BB08-1E564C2A4F57}"/>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7C7481FD-56E6-46B6-95F0-AD87C053ECC7}"/>
    <cellStyle name="Normal 12 3 4 2 3" xfId="11863" xr:uid="{43B93B93-1382-44F3-903A-8E0C3B9ACCD1}"/>
    <cellStyle name="Normal 12 3 4 3" xfId="5497" xr:uid="{00000000-0005-0000-0000-0000390E0000}"/>
    <cellStyle name="Normal 12 3 4 3 2" xfId="13936" xr:uid="{1E99CCE4-0CDF-4270-B119-307A89D47AF8}"/>
    <cellStyle name="Normal 12 3 4 4" xfId="9718" xr:uid="{ADF9870E-4ADD-44EA-8AE6-814C55031A3F}"/>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AB797B00-95A8-4D37-BC05-708EA1DB1499}"/>
    <cellStyle name="Normal 12 3 5 2 3" xfId="12276" xr:uid="{DCE00E95-0FA4-4F97-91F8-3C6D6B5B3500}"/>
    <cellStyle name="Normal 12 3 5 3" xfId="5910" xr:uid="{00000000-0005-0000-0000-00003D0E0000}"/>
    <cellStyle name="Normal 12 3 5 3 2" xfId="14349" xr:uid="{8DBE0CA8-8ACD-4DBD-806E-C0DCDCC8A590}"/>
    <cellStyle name="Normal 12 3 5 4" xfId="10131" xr:uid="{FEEDE666-1A8D-4334-A1B8-8F3F71BB18BD}"/>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31B95E3A-E906-4A3B-8A72-76592AC92F8F}"/>
    <cellStyle name="Normal 12 3 6 2 3" xfId="12689" xr:uid="{10654CC5-87D8-4ADA-9FAC-88BD1FCA0FE5}"/>
    <cellStyle name="Normal 12 3 6 3" xfId="6323" xr:uid="{00000000-0005-0000-0000-0000410E0000}"/>
    <cellStyle name="Normal 12 3 6 3 2" xfId="14762" xr:uid="{3B9EF293-B094-4400-8A3D-3D7E001F8F4C}"/>
    <cellStyle name="Normal 12 3 6 4" xfId="10544" xr:uid="{9F8CF226-3172-4F23-B84A-23F4D0C9F60A}"/>
    <cellStyle name="Normal 12 3 7" xfId="2452" xr:uid="{00000000-0005-0000-0000-0000420E0000}"/>
    <cellStyle name="Normal 12 3 7 2" xfId="6736" xr:uid="{00000000-0005-0000-0000-0000430E0000}"/>
    <cellStyle name="Normal 12 3 7 2 2" xfId="15175" xr:uid="{E7466305-DA9B-4633-A6D5-A60EE02AE666}"/>
    <cellStyle name="Normal 12 3 7 3" xfId="10957" xr:uid="{D7ED4E84-53C4-4EF8-9B22-96FC8D2D5C59}"/>
    <cellStyle name="Normal 12 3 8" xfId="4670" xr:uid="{00000000-0005-0000-0000-0000440E0000}"/>
    <cellStyle name="Normal 12 3 8 2" xfId="13109" xr:uid="{A9BDDCCB-E710-4EDA-9556-307770271D58}"/>
    <cellStyle name="Normal 12 3 9" xfId="8891" xr:uid="{FFF455A6-D617-408C-AB32-1DF766F33E6D}"/>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23CB04DA-99E5-4879-8671-A51A7C978003}"/>
    <cellStyle name="Normal 12 4 2 2 3" xfId="11452" xr:uid="{F03BDBAB-586D-408D-90CA-4268CD45712D}"/>
    <cellStyle name="Normal 12 4 2 3" xfId="5086" xr:uid="{00000000-0005-0000-0000-0000490E0000}"/>
    <cellStyle name="Normal 12 4 2 3 2" xfId="13525" xr:uid="{0706AC17-787A-41E0-BE86-9F6FF2EBBE5D}"/>
    <cellStyle name="Normal 12 4 2 4" xfId="9307" xr:uid="{41025D68-B501-47BF-B2B4-C4ADF79FD23F}"/>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B3FD87AD-7A21-4774-A8EA-254E918D7965}"/>
    <cellStyle name="Normal 12 4 3 2 3" xfId="11865" xr:uid="{CE71AE53-DE14-4B8C-969E-270359F14F14}"/>
    <cellStyle name="Normal 12 4 3 3" xfId="5499" xr:uid="{00000000-0005-0000-0000-00004D0E0000}"/>
    <cellStyle name="Normal 12 4 3 3 2" xfId="13938" xr:uid="{D9D5E000-B6A2-4759-A9CA-3DC164844496}"/>
    <cellStyle name="Normal 12 4 3 4" xfId="9720" xr:uid="{7C6F2A92-2480-42DA-BF4B-8179169F69A1}"/>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7BF9827B-EAC9-4A02-9CDD-ACD59A3BEF96}"/>
    <cellStyle name="Normal 12 4 4 2 3" xfId="12278" xr:uid="{2186CB85-8D4C-4730-8ECE-9E4A490ECB85}"/>
    <cellStyle name="Normal 12 4 4 3" xfId="5912" xr:uid="{00000000-0005-0000-0000-0000510E0000}"/>
    <cellStyle name="Normal 12 4 4 3 2" xfId="14351" xr:uid="{0430BD97-474E-45FA-B4B0-2E10432F145A}"/>
    <cellStyle name="Normal 12 4 4 4" xfId="10133" xr:uid="{BFA8FB64-18CC-4FA2-8151-5AF5EA0587F3}"/>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2250ABAA-6613-42A4-9254-E28516A8CA22}"/>
    <cellStyle name="Normal 12 4 5 2 3" xfId="12691" xr:uid="{2072DEE0-5830-453D-8351-506407AF8E99}"/>
    <cellStyle name="Normal 12 4 5 3" xfId="6325" xr:uid="{00000000-0005-0000-0000-0000550E0000}"/>
    <cellStyle name="Normal 12 4 5 3 2" xfId="14764" xr:uid="{FB219AA7-EC42-4350-AB41-2DB90BE0EB7D}"/>
    <cellStyle name="Normal 12 4 5 4" xfId="10546" xr:uid="{E20F3034-1186-42A8-8E85-03161CA36CD4}"/>
    <cellStyle name="Normal 12 4 6" xfId="2454" xr:uid="{00000000-0005-0000-0000-0000560E0000}"/>
    <cellStyle name="Normal 12 4 6 2" xfId="6738" xr:uid="{00000000-0005-0000-0000-0000570E0000}"/>
    <cellStyle name="Normal 12 4 6 2 2" xfId="15177" xr:uid="{0C33981C-C2BA-4E07-BA53-9690D27AAF5B}"/>
    <cellStyle name="Normal 12 4 6 3" xfId="10959" xr:uid="{D169A61C-6AC0-43A9-8819-202FC4E175D1}"/>
    <cellStyle name="Normal 12 4 7" xfId="4672" xr:uid="{00000000-0005-0000-0000-0000580E0000}"/>
    <cellStyle name="Normal 12 4 7 2" xfId="13111" xr:uid="{F869845C-80AB-49F8-ABA4-7EC01E57B32D}"/>
    <cellStyle name="Normal 12 4 8" xfId="8893" xr:uid="{EAD07BC5-0724-45E2-9E69-076CF6DC8624}"/>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6A0B1EAB-FC20-49B6-93B3-6305C8D8FEBB}"/>
    <cellStyle name="Normal 12 6 2 3" xfId="11445" xr:uid="{F8CACE17-C243-43DD-84A7-956237482574}"/>
    <cellStyle name="Normal 12 6 3" xfId="5079" xr:uid="{00000000-0005-0000-0000-00005D0E0000}"/>
    <cellStyle name="Normal 12 6 3 2" xfId="13518" xr:uid="{8B65B845-FF56-4774-B8AA-27FB82A918C6}"/>
    <cellStyle name="Normal 12 6 4" xfId="9300" xr:uid="{736A8119-887A-47CB-B9C5-B830A3050EA7}"/>
    <cellStyle name="Normal 12 7" xfId="1183" xr:uid="{00000000-0005-0000-0000-00005E0E0000}"/>
    <cellStyle name="Normal 12 7 2" xfId="3414" xr:uid="{00000000-0005-0000-0000-00005F0E0000}"/>
    <cellStyle name="Normal 12 7 2 2" xfId="7637" xr:uid="{00000000-0005-0000-0000-0000600E0000}"/>
    <cellStyle name="Normal 12 7 2 2 2" xfId="16076" xr:uid="{64C1A4E8-379C-4478-B634-4A98026A2B79}"/>
    <cellStyle name="Normal 12 7 2 3" xfId="11858" xr:uid="{5D5857B6-15BB-48E5-B866-F7D217BD5598}"/>
    <cellStyle name="Normal 12 7 3" xfId="5492" xr:uid="{00000000-0005-0000-0000-0000610E0000}"/>
    <cellStyle name="Normal 12 7 3 2" xfId="13931" xr:uid="{C99AE2B0-CC53-49D7-BF46-8767284146E2}"/>
    <cellStyle name="Normal 12 7 4" xfId="9713" xr:uid="{DFD5E95E-4B66-45D8-A01D-A5116E2AC73A}"/>
    <cellStyle name="Normal 12 8" xfId="1597" xr:uid="{00000000-0005-0000-0000-0000620E0000}"/>
    <cellStyle name="Normal 12 8 2" xfId="3827" xr:uid="{00000000-0005-0000-0000-0000630E0000}"/>
    <cellStyle name="Normal 12 8 2 2" xfId="8050" xr:uid="{00000000-0005-0000-0000-0000640E0000}"/>
    <cellStyle name="Normal 12 8 2 2 2" xfId="16489" xr:uid="{978E9261-406B-4D6B-8EB1-9607D6413C00}"/>
    <cellStyle name="Normal 12 8 2 3" xfId="12271" xr:uid="{D87885EA-1C8A-4878-97A2-7DB365093426}"/>
    <cellStyle name="Normal 12 8 3" xfId="5905" xr:uid="{00000000-0005-0000-0000-0000650E0000}"/>
    <cellStyle name="Normal 12 8 3 2" xfId="14344" xr:uid="{485A0F6F-EEAC-4AEC-A42C-2F38BA0785AD}"/>
    <cellStyle name="Normal 12 8 4" xfId="10126" xr:uid="{77D4172A-D978-4F05-BBB3-1EAE67B95C3F}"/>
    <cellStyle name="Normal 12 9" xfId="2011" xr:uid="{00000000-0005-0000-0000-0000660E0000}"/>
    <cellStyle name="Normal 12 9 2" xfId="4240" xr:uid="{00000000-0005-0000-0000-0000670E0000}"/>
    <cellStyle name="Normal 12 9 2 2" xfId="8463" xr:uid="{00000000-0005-0000-0000-0000680E0000}"/>
    <cellStyle name="Normal 12 9 2 2 2" xfId="16902" xr:uid="{7FD59695-BB08-42FD-99E4-4306654DACA5}"/>
    <cellStyle name="Normal 12 9 2 3" xfId="12684" xr:uid="{F641F388-F515-449A-AC36-53A7BF897AFE}"/>
    <cellStyle name="Normal 12 9 3" xfId="6318" xr:uid="{00000000-0005-0000-0000-0000690E0000}"/>
    <cellStyle name="Normal 12 9 3 2" xfId="14757" xr:uid="{7C91D998-F599-4CD7-B7EF-BFB0165D5857}"/>
    <cellStyle name="Normal 12 9 4" xfId="10539" xr:uid="{4B96D265-932C-478F-A564-6C6DDF479B6E}"/>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FEFE21B2-F5AC-41E7-96CF-385E9B340F8B}"/>
    <cellStyle name="Normal 14 2 2 3" xfId="11453" xr:uid="{BEE21CA3-40A4-4302-B775-5113567ED8B0}"/>
    <cellStyle name="Normal 14 2 3" xfId="5087" xr:uid="{00000000-0005-0000-0000-0000700E0000}"/>
    <cellStyle name="Normal 14 2 3 2" xfId="13526" xr:uid="{19D78D34-C1A2-451E-9A84-EA2FEDF3F0FD}"/>
    <cellStyle name="Normal 14 2 4" xfId="9308" xr:uid="{B59C3AF6-4DD3-47E6-B30F-9B46F2C6D560}"/>
    <cellStyle name="Normal 14 3" xfId="1191" xr:uid="{00000000-0005-0000-0000-0000710E0000}"/>
    <cellStyle name="Normal 14 3 2" xfId="3422" xr:uid="{00000000-0005-0000-0000-0000720E0000}"/>
    <cellStyle name="Normal 14 3 2 2" xfId="7645" xr:uid="{00000000-0005-0000-0000-0000730E0000}"/>
    <cellStyle name="Normal 14 3 2 2 2" xfId="16084" xr:uid="{82C5804A-FC99-47C1-8901-FA0BBB75683B}"/>
    <cellStyle name="Normal 14 3 2 3" xfId="11866" xr:uid="{DD4D23AE-E175-4294-BDAA-2C30BFC00B8E}"/>
    <cellStyle name="Normal 14 3 3" xfId="5500" xr:uid="{00000000-0005-0000-0000-0000740E0000}"/>
    <cellStyle name="Normal 14 3 3 2" xfId="13939" xr:uid="{F7098E07-FFDB-412D-A7EA-D6AB934AE471}"/>
    <cellStyle name="Normal 14 3 4" xfId="9721" xr:uid="{BB2D94F1-9CDF-4068-AD1E-6A645D29247E}"/>
    <cellStyle name="Normal 14 4" xfId="1605" xr:uid="{00000000-0005-0000-0000-0000750E0000}"/>
    <cellStyle name="Normal 14 4 2" xfId="3835" xr:uid="{00000000-0005-0000-0000-0000760E0000}"/>
    <cellStyle name="Normal 14 4 2 2" xfId="8058" xr:uid="{00000000-0005-0000-0000-0000770E0000}"/>
    <cellStyle name="Normal 14 4 2 2 2" xfId="16497" xr:uid="{F4736B26-F45F-4E72-B2CB-913991DCD852}"/>
    <cellStyle name="Normal 14 4 2 3" xfId="12279" xr:uid="{8EA491F2-9918-40EE-823E-6831D8335503}"/>
    <cellStyle name="Normal 14 4 3" xfId="5913" xr:uid="{00000000-0005-0000-0000-0000780E0000}"/>
    <cellStyle name="Normal 14 4 3 2" xfId="14352" xr:uid="{34A4B54A-5D59-46F7-8A34-E4E43F61C24C}"/>
    <cellStyle name="Normal 14 4 4" xfId="10134" xr:uid="{ED7B67C6-F6D2-4F30-9B70-F8BEA8C719A3}"/>
    <cellStyle name="Normal 14 5" xfId="2019" xr:uid="{00000000-0005-0000-0000-0000790E0000}"/>
    <cellStyle name="Normal 14 5 2" xfId="4248" xr:uid="{00000000-0005-0000-0000-00007A0E0000}"/>
    <cellStyle name="Normal 14 5 2 2" xfId="8471" xr:uid="{00000000-0005-0000-0000-00007B0E0000}"/>
    <cellStyle name="Normal 14 5 2 2 2" xfId="16910" xr:uid="{6EDF4F2B-BD4D-4B35-842D-EB43408F2837}"/>
    <cellStyle name="Normal 14 5 2 3" xfId="12692" xr:uid="{A28C171C-1EB5-4123-B7CB-ED7CE13A72CA}"/>
    <cellStyle name="Normal 14 5 3" xfId="6326" xr:uid="{00000000-0005-0000-0000-00007C0E0000}"/>
    <cellStyle name="Normal 14 5 3 2" xfId="14765" xr:uid="{0BA308A4-3675-432F-BB47-1E2060A158B7}"/>
    <cellStyle name="Normal 14 5 4" xfId="10547" xr:uid="{14691F5E-F2D7-4374-BA98-5B0081CBA04D}"/>
    <cellStyle name="Normal 14 6" xfId="2455" xr:uid="{00000000-0005-0000-0000-00007D0E0000}"/>
    <cellStyle name="Normal 14 6 2" xfId="6739" xr:uid="{00000000-0005-0000-0000-00007E0E0000}"/>
    <cellStyle name="Normal 14 6 2 2" xfId="15178" xr:uid="{0208ADBF-EDBF-4B36-BA78-5C2667E2CE14}"/>
    <cellStyle name="Normal 14 6 3" xfId="10960" xr:uid="{773F82DC-0F44-490D-891A-5435557F03A5}"/>
    <cellStyle name="Normal 14 7" xfId="4673" xr:uid="{00000000-0005-0000-0000-00007F0E0000}"/>
    <cellStyle name="Normal 14 7 2" xfId="13112" xr:uid="{40952C9C-8C4B-4D12-A555-86CAAF27D95B}"/>
    <cellStyle name="Normal 14 8" xfId="8894" xr:uid="{52E5B239-B238-43A5-BDCF-F7DB3D80DE1D}"/>
    <cellStyle name="Normal 15" xfId="4496" xr:uid="{00000000-0005-0000-0000-0000800E0000}"/>
    <cellStyle name="Normal 15 2" xfId="12938" xr:uid="{A93225DA-A078-4835-BC04-7E18C501AB40}"/>
    <cellStyle name="Normal 16" xfId="4500" xr:uid="{00000000-0005-0000-0000-0000810E0000}"/>
    <cellStyle name="Normal 16 2" xfId="8716" xr:uid="{00000000-0005-0000-0000-0000820E0000}"/>
    <cellStyle name="Normal 16 2 2" xfId="17155" xr:uid="{C020456D-5A0B-4CFE-97DD-4C072BB6455D}"/>
    <cellStyle name="Normal 16 3" xfId="8719" xr:uid="{3DE1BEEB-61FA-4094-B10F-9E0444F68763}"/>
    <cellStyle name="Normal 16 3 2" xfId="8723" xr:uid="{FE0BC069-4698-40B2-814D-8E09719245E9}"/>
    <cellStyle name="Normal 16 3 2 2" xfId="17161" xr:uid="{C22937D5-86A0-4634-9F7B-F3751CAF3084}"/>
    <cellStyle name="Normal 16 3 3" xfId="17158" xr:uid="{FBE78242-77E9-4023-85D4-E3C5BC770E05}"/>
    <cellStyle name="Normal 16 4" xfId="12941" xr:uid="{55D6E336-207B-440B-8E93-A13F58041E98}"/>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0F9E62B9-162C-4346-AE84-AB1D0833A263}"/>
    <cellStyle name="Normal 2 4 2 10 2 3" xfId="12693" xr:uid="{E74CFBAC-7E5A-47C2-A77A-DC18F5E176D6}"/>
    <cellStyle name="Normal 2 4 2 10 3" xfId="6327" xr:uid="{00000000-0005-0000-0000-0000910E0000}"/>
    <cellStyle name="Normal 2 4 2 10 3 2" xfId="14766" xr:uid="{0CCCA5FC-D9E0-4DDB-BB85-79FFEA1A2DAA}"/>
    <cellStyle name="Normal 2 4 2 10 4" xfId="10548" xr:uid="{40550187-37F7-435D-BECB-41C4219F9CEE}"/>
    <cellStyle name="Normal 2 4 2 11" xfId="2456" xr:uid="{00000000-0005-0000-0000-0000920E0000}"/>
    <cellStyle name="Normal 2 4 2 11 2" xfId="6740" xr:uid="{00000000-0005-0000-0000-0000930E0000}"/>
    <cellStyle name="Normal 2 4 2 11 2 2" xfId="15179" xr:uid="{8FB0F6D4-BD8E-457C-8B03-54F70CB9E0FA}"/>
    <cellStyle name="Normal 2 4 2 11 3" xfId="10961" xr:uid="{18251E07-3390-4BB1-B32D-687EEC8277DB}"/>
    <cellStyle name="Normal 2 4 2 12" xfId="4674" xr:uid="{00000000-0005-0000-0000-0000940E0000}"/>
    <cellStyle name="Normal 2 4 2 12 2" xfId="13113" xr:uid="{C21175C1-EE34-4122-83ED-AEBB06C871F6}"/>
    <cellStyle name="Normal 2 4 2 13" xfId="8895" xr:uid="{09A60C6E-72B7-461E-B01B-D0A0C2B29B35}"/>
    <cellStyle name="Normal 2 4 2 2" xfId="280" xr:uid="{00000000-0005-0000-0000-0000950E0000}"/>
    <cellStyle name="Normal 2 4 2 3" xfId="281" xr:uid="{00000000-0005-0000-0000-0000960E0000}"/>
    <cellStyle name="Normal 2 4 2 3 10" xfId="4675" xr:uid="{00000000-0005-0000-0000-0000970E0000}"/>
    <cellStyle name="Normal 2 4 2 3 10 2" xfId="13114" xr:uid="{285BA2AD-279B-4B64-8B33-37084AFA733B}"/>
    <cellStyle name="Normal 2 4 2 3 11" xfId="8896" xr:uid="{D20323DD-A11D-44F5-8033-1CA487FD1CDA}"/>
    <cellStyle name="Normal 2 4 2 3 2" xfId="282" xr:uid="{00000000-0005-0000-0000-0000980E0000}"/>
    <cellStyle name="Normal 2 4 2 3 2 10" xfId="8897" xr:uid="{95764500-CFBF-4E84-BF6C-C5FE21E2D6D5}"/>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47FE48D8-BAB7-49FB-9F42-FA8D87544347}"/>
    <cellStyle name="Normal 2 4 2 3 2 2 2 2 2 3" xfId="11458" xr:uid="{8CAE10A6-5CD3-4E9B-A275-1E53B5027764}"/>
    <cellStyle name="Normal 2 4 2 3 2 2 2 2 3" xfId="5092" xr:uid="{00000000-0005-0000-0000-00009E0E0000}"/>
    <cellStyle name="Normal 2 4 2 3 2 2 2 2 3 2" xfId="13531" xr:uid="{B651F689-E932-41A6-A04F-98E1C6D31425}"/>
    <cellStyle name="Normal 2 4 2 3 2 2 2 2 4" xfId="9313" xr:uid="{C5A95568-0E8D-4F86-ACE4-2B7C4DAFE5DE}"/>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CA45BCF6-BD46-4B0D-87AC-EE660C85A3F5}"/>
    <cellStyle name="Normal 2 4 2 3 2 2 2 3 2 3" xfId="11871" xr:uid="{9FF0310D-E30F-4FDB-B5CB-5FD4AFA44059}"/>
    <cellStyle name="Normal 2 4 2 3 2 2 2 3 3" xfId="5505" xr:uid="{00000000-0005-0000-0000-0000A20E0000}"/>
    <cellStyle name="Normal 2 4 2 3 2 2 2 3 3 2" xfId="13944" xr:uid="{B80A0E7B-ED65-48DF-A19B-A241C780207E}"/>
    <cellStyle name="Normal 2 4 2 3 2 2 2 3 4" xfId="9726" xr:uid="{CF5256D6-ED13-40A2-937F-EEF6BE4B7126}"/>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79637B42-A202-4A33-A850-366F454C35F1}"/>
    <cellStyle name="Normal 2 4 2 3 2 2 2 4 2 3" xfId="12284" xr:uid="{625F22AE-E62F-45D6-8054-B5909FEF5411}"/>
    <cellStyle name="Normal 2 4 2 3 2 2 2 4 3" xfId="5918" xr:uid="{00000000-0005-0000-0000-0000A60E0000}"/>
    <cellStyle name="Normal 2 4 2 3 2 2 2 4 3 2" xfId="14357" xr:uid="{A69F31C1-D8ED-45E4-BB89-DC0B4DD46A46}"/>
    <cellStyle name="Normal 2 4 2 3 2 2 2 4 4" xfId="10139" xr:uid="{EB37F5E9-BCC6-45CA-9470-11B60856BE38}"/>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109C2E93-39F9-4627-8434-CE4DF3FA50AD}"/>
    <cellStyle name="Normal 2 4 2 3 2 2 2 5 2 3" xfId="12697" xr:uid="{5978A16A-491E-4F17-A20E-3DC809D0F538}"/>
    <cellStyle name="Normal 2 4 2 3 2 2 2 5 3" xfId="6331" xr:uid="{00000000-0005-0000-0000-0000AA0E0000}"/>
    <cellStyle name="Normal 2 4 2 3 2 2 2 5 3 2" xfId="14770" xr:uid="{DA50B593-3C30-4726-8DF4-2876C0B9B27F}"/>
    <cellStyle name="Normal 2 4 2 3 2 2 2 5 4" xfId="10552" xr:uid="{3FFD8E8E-2EC4-4B36-B268-6A104826DD96}"/>
    <cellStyle name="Normal 2 4 2 3 2 2 2 6" xfId="2460" xr:uid="{00000000-0005-0000-0000-0000AB0E0000}"/>
    <cellStyle name="Normal 2 4 2 3 2 2 2 6 2" xfId="6744" xr:uid="{00000000-0005-0000-0000-0000AC0E0000}"/>
    <cellStyle name="Normal 2 4 2 3 2 2 2 6 2 2" xfId="15183" xr:uid="{16F9B749-36E7-44BD-ACF5-7F05A586A23A}"/>
    <cellStyle name="Normal 2 4 2 3 2 2 2 6 3" xfId="10965" xr:uid="{0F82A552-E426-471D-8870-672D00887328}"/>
    <cellStyle name="Normal 2 4 2 3 2 2 2 7" xfId="4678" xr:uid="{00000000-0005-0000-0000-0000AD0E0000}"/>
    <cellStyle name="Normal 2 4 2 3 2 2 2 7 2" xfId="13117" xr:uid="{A28234DD-2256-4431-96A3-95532C7B9E67}"/>
    <cellStyle name="Normal 2 4 2 3 2 2 2 8" xfId="8899" xr:uid="{FC7B9E8F-371C-46F6-8FDE-DDCA630BFF51}"/>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C997E328-9D75-4CCA-8012-32BB95B1ACB2}"/>
    <cellStyle name="Normal 2 4 2 3 2 2 3 2 3" xfId="11457" xr:uid="{A08511CC-97AF-47FA-A0B4-F17B03B8653B}"/>
    <cellStyle name="Normal 2 4 2 3 2 2 3 3" xfId="5091" xr:uid="{00000000-0005-0000-0000-0000B10E0000}"/>
    <cellStyle name="Normal 2 4 2 3 2 2 3 3 2" xfId="13530" xr:uid="{E21FD78F-7782-475E-A627-A8C0DD458732}"/>
    <cellStyle name="Normal 2 4 2 3 2 2 3 4" xfId="9312" xr:uid="{F03D60BC-9F33-4073-A597-1F5EBD72F89A}"/>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AFF02017-6892-4223-8349-5746C4A9BD6E}"/>
    <cellStyle name="Normal 2 4 2 3 2 2 4 2 3" xfId="11870" xr:uid="{6FBEF3E4-EB28-416B-877D-E074E9891FBD}"/>
    <cellStyle name="Normal 2 4 2 3 2 2 4 3" xfId="5504" xr:uid="{00000000-0005-0000-0000-0000B50E0000}"/>
    <cellStyle name="Normal 2 4 2 3 2 2 4 3 2" xfId="13943" xr:uid="{E14F35B5-6D1D-4345-82CF-387FC016B9C8}"/>
    <cellStyle name="Normal 2 4 2 3 2 2 4 4" xfId="9725" xr:uid="{DDC80ADE-2F55-4460-BC5C-7AADB54402FF}"/>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916CE0DE-CF82-49BE-A3B6-ABD81C7A5F84}"/>
    <cellStyle name="Normal 2 4 2 3 2 2 5 2 3" xfId="12283" xr:uid="{CE21F327-D281-459E-885F-753EA814CCA0}"/>
    <cellStyle name="Normal 2 4 2 3 2 2 5 3" xfId="5917" xr:uid="{00000000-0005-0000-0000-0000B90E0000}"/>
    <cellStyle name="Normal 2 4 2 3 2 2 5 3 2" xfId="14356" xr:uid="{E3919DEF-2DD8-4E1A-B52E-A6ED8504F145}"/>
    <cellStyle name="Normal 2 4 2 3 2 2 5 4" xfId="10138" xr:uid="{C1C02F35-93E5-40A4-A778-339658BD68EC}"/>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63BE124B-5F0E-4EC8-A394-58C875C1B999}"/>
    <cellStyle name="Normal 2 4 2 3 2 2 6 2 3" xfId="12696" xr:uid="{F91000CF-9FC6-42B8-B6A0-0FBCAEFD16CD}"/>
    <cellStyle name="Normal 2 4 2 3 2 2 6 3" xfId="6330" xr:uid="{00000000-0005-0000-0000-0000BD0E0000}"/>
    <cellStyle name="Normal 2 4 2 3 2 2 6 3 2" xfId="14769" xr:uid="{2F7700BF-86FD-4AD2-B86F-15E982FDEFC7}"/>
    <cellStyle name="Normal 2 4 2 3 2 2 6 4" xfId="10551" xr:uid="{7FAFAD27-A855-453D-AB1A-3D239F611A8D}"/>
    <cellStyle name="Normal 2 4 2 3 2 2 7" xfId="2459" xr:uid="{00000000-0005-0000-0000-0000BE0E0000}"/>
    <cellStyle name="Normal 2 4 2 3 2 2 7 2" xfId="6743" xr:uid="{00000000-0005-0000-0000-0000BF0E0000}"/>
    <cellStyle name="Normal 2 4 2 3 2 2 7 2 2" xfId="15182" xr:uid="{5E1DCD54-102C-44F5-A9BB-412903966124}"/>
    <cellStyle name="Normal 2 4 2 3 2 2 7 3" xfId="10964" xr:uid="{8B26074A-C1E6-4E30-BCB3-70435C0F5C04}"/>
    <cellStyle name="Normal 2 4 2 3 2 2 8" xfId="4677" xr:uid="{00000000-0005-0000-0000-0000C00E0000}"/>
    <cellStyle name="Normal 2 4 2 3 2 2 8 2" xfId="13116" xr:uid="{E3D1A8FC-0486-42B7-89E6-F9B7EC9C038F}"/>
    <cellStyle name="Normal 2 4 2 3 2 2 9" xfId="8898" xr:uid="{D1DCB8C0-F2DE-4D82-867B-32F884613A97}"/>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996E721D-CAB2-4D89-9F7F-282D96044DA2}"/>
    <cellStyle name="Normal 2 4 2 3 2 3 2 2 3" xfId="11459" xr:uid="{EB6C9DC9-8CE6-41B8-9C78-1C1797339CA0}"/>
    <cellStyle name="Normal 2 4 2 3 2 3 2 3" xfId="5093" xr:uid="{00000000-0005-0000-0000-0000C50E0000}"/>
    <cellStyle name="Normal 2 4 2 3 2 3 2 3 2" xfId="13532" xr:uid="{6A20985F-D6AE-4E16-9AAF-E1CDC691F76F}"/>
    <cellStyle name="Normal 2 4 2 3 2 3 2 4" xfId="9314" xr:uid="{5661D9E8-2F48-403A-A2D7-8295010C0922}"/>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0F4BCB53-EB6C-4E7F-94FE-701682F7D7B2}"/>
    <cellStyle name="Normal 2 4 2 3 2 3 3 2 3" xfId="11872" xr:uid="{600686FB-BEF4-4D12-A692-2C3BB5DC9F5B}"/>
    <cellStyle name="Normal 2 4 2 3 2 3 3 3" xfId="5506" xr:uid="{00000000-0005-0000-0000-0000C90E0000}"/>
    <cellStyle name="Normal 2 4 2 3 2 3 3 3 2" xfId="13945" xr:uid="{64C540FA-01B3-4516-BAF3-BEB7649AC0FE}"/>
    <cellStyle name="Normal 2 4 2 3 2 3 3 4" xfId="9727" xr:uid="{625457FB-B4B7-45FC-830E-AC4D79F72987}"/>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1AF9D6EF-D4CE-470F-A86C-337237E97D00}"/>
    <cellStyle name="Normal 2 4 2 3 2 3 4 2 3" xfId="12285" xr:uid="{D6D73A41-A02D-4B7A-A350-0A8433433816}"/>
    <cellStyle name="Normal 2 4 2 3 2 3 4 3" xfId="5919" xr:uid="{00000000-0005-0000-0000-0000CD0E0000}"/>
    <cellStyle name="Normal 2 4 2 3 2 3 4 3 2" xfId="14358" xr:uid="{E7FC0A5B-7193-44F7-8650-8F19F482FCEF}"/>
    <cellStyle name="Normal 2 4 2 3 2 3 4 4" xfId="10140" xr:uid="{38520676-C3EA-4B1D-A3DD-768FF2D1C363}"/>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662E99B6-E765-4BA7-84EF-DF55AB88D5CE}"/>
    <cellStyle name="Normal 2 4 2 3 2 3 5 2 3" xfId="12698" xr:uid="{723EC670-83C2-48EF-B5B8-FC051E5A8673}"/>
    <cellStyle name="Normal 2 4 2 3 2 3 5 3" xfId="6332" xr:uid="{00000000-0005-0000-0000-0000D10E0000}"/>
    <cellStyle name="Normal 2 4 2 3 2 3 5 3 2" xfId="14771" xr:uid="{4D6ECC37-19D3-441D-A2BF-9118190AEA6A}"/>
    <cellStyle name="Normal 2 4 2 3 2 3 5 4" xfId="10553" xr:uid="{4A928E3B-1D40-4459-97CA-53BCE8BC7FC5}"/>
    <cellStyle name="Normal 2 4 2 3 2 3 6" xfId="2461" xr:uid="{00000000-0005-0000-0000-0000D20E0000}"/>
    <cellStyle name="Normal 2 4 2 3 2 3 6 2" xfId="6745" xr:uid="{00000000-0005-0000-0000-0000D30E0000}"/>
    <cellStyle name="Normal 2 4 2 3 2 3 6 2 2" xfId="15184" xr:uid="{EBE2C154-F40B-47DC-B9A8-C0C5B8ECE9B7}"/>
    <cellStyle name="Normal 2 4 2 3 2 3 6 3" xfId="10966" xr:uid="{7E817ED9-74D7-433D-9AC6-B03FBF0EFD1D}"/>
    <cellStyle name="Normal 2 4 2 3 2 3 7" xfId="4679" xr:uid="{00000000-0005-0000-0000-0000D40E0000}"/>
    <cellStyle name="Normal 2 4 2 3 2 3 7 2" xfId="13118" xr:uid="{51C43FA2-54A6-4084-910F-4045DCF7A6D8}"/>
    <cellStyle name="Normal 2 4 2 3 2 3 8" xfId="8900" xr:uid="{DE6A91D9-247E-4BFB-A06E-2EF0951B4CD8}"/>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AEC6AF9A-050B-45D2-B261-7471361C6DAB}"/>
    <cellStyle name="Normal 2 4 2 3 2 4 2 3" xfId="11456" xr:uid="{57A77675-51D1-47FE-8E34-26894958DEA5}"/>
    <cellStyle name="Normal 2 4 2 3 2 4 3" xfId="5090" xr:uid="{00000000-0005-0000-0000-0000D80E0000}"/>
    <cellStyle name="Normal 2 4 2 3 2 4 3 2" xfId="13529" xr:uid="{58D9BF7F-5FC9-4453-9C33-0853FF8AD717}"/>
    <cellStyle name="Normal 2 4 2 3 2 4 4" xfId="9311" xr:uid="{A3314DDF-3084-4762-AEEA-575182015CCF}"/>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9FA1DB6B-3A20-4058-B855-5491C8D5C634}"/>
    <cellStyle name="Normal 2 4 2 3 2 5 2 3" xfId="11869" xr:uid="{BD7289EE-D9E0-469C-A425-D46CF53AFA15}"/>
    <cellStyle name="Normal 2 4 2 3 2 5 3" xfId="5503" xr:uid="{00000000-0005-0000-0000-0000DC0E0000}"/>
    <cellStyle name="Normal 2 4 2 3 2 5 3 2" xfId="13942" xr:uid="{9F49E89E-5FE5-449C-9D55-CDD3A837FD0E}"/>
    <cellStyle name="Normal 2 4 2 3 2 5 4" xfId="9724" xr:uid="{386FD04D-04FD-47DB-91D5-39D5EF381CEA}"/>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A285AEAB-F551-4A3F-A435-D4C1F1307B05}"/>
    <cellStyle name="Normal 2 4 2 3 2 6 2 3" xfId="12282" xr:uid="{B6D3A8C2-E384-47B4-867E-D2F74F22BFC3}"/>
    <cellStyle name="Normal 2 4 2 3 2 6 3" xfId="5916" xr:uid="{00000000-0005-0000-0000-0000E00E0000}"/>
    <cellStyle name="Normal 2 4 2 3 2 6 3 2" xfId="14355" xr:uid="{F3557C82-403E-415F-AB6D-63A73A2A1D20}"/>
    <cellStyle name="Normal 2 4 2 3 2 6 4" xfId="10137" xr:uid="{A74C7D83-3AC6-48A6-B6BB-DD56755D3B41}"/>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636FE88B-9AC6-4286-B6BF-775CAE46E873}"/>
    <cellStyle name="Normal 2 4 2 3 2 7 2 3" xfId="12695" xr:uid="{C78EBED2-D01C-408E-9A1A-51CE5B4A31CB}"/>
    <cellStyle name="Normal 2 4 2 3 2 7 3" xfId="6329" xr:uid="{00000000-0005-0000-0000-0000E40E0000}"/>
    <cellStyle name="Normal 2 4 2 3 2 7 3 2" xfId="14768" xr:uid="{0876CF21-7DF3-4940-99EE-E387D1E72083}"/>
    <cellStyle name="Normal 2 4 2 3 2 7 4" xfId="10550" xr:uid="{8CE33AB5-7751-4A6D-9F45-8416CDA27302}"/>
    <cellStyle name="Normal 2 4 2 3 2 8" xfId="2458" xr:uid="{00000000-0005-0000-0000-0000E50E0000}"/>
    <cellStyle name="Normal 2 4 2 3 2 8 2" xfId="6742" xr:uid="{00000000-0005-0000-0000-0000E60E0000}"/>
    <cellStyle name="Normal 2 4 2 3 2 8 2 2" xfId="15181" xr:uid="{3AF2486C-D6A6-4AB1-83D6-6773A99C0A71}"/>
    <cellStyle name="Normal 2 4 2 3 2 8 3" xfId="10963" xr:uid="{4EDA1CE1-3D9C-493D-9C02-AD9EF7E4520B}"/>
    <cellStyle name="Normal 2 4 2 3 2 9" xfId="4676" xr:uid="{00000000-0005-0000-0000-0000E70E0000}"/>
    <cellStyle name="Normal 2 4 2 3 2 9 2" xfId="13115" xr:uid="{A5FAF091-FCFB-4A2F-95B6-A69A3FAC9EF6}"/>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5E548A87-00F3-4E05-A3EB-F6D6036F589A}"/>
    <cellStyle name="Normal 2 4 2 3 3 2 2 2 3" xfId="11461" xr:uid="{371F33E8-2743-4056-8B5D-83A7709D06E5}"/>
    <cellStyle name="Normal 2 4 2 3 3 2 2 3" xfId="5095" xr:uid="{00000000-0005-0000-0000-0000ED0E0000}"/>
    <cellStyle name="Normal 2 4 2 3 3 2 2 3 2" xfId="13534" xr:uid="{A89FCAF4-45ED-47D4-BC6E-D521DB5BE0D8}"/>
    <cellStyle name="Normal 2 4 2 3 3 2 2 4" xfId="9316" xr:uid="{16ED5269-6E74-408E-BFA4-5214FF832D5F}"/>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5104CB69-2F04-40EC-B627-90731FC6F767}"/>
    <cellStyle name="Normal 2 4 2 3 3 2 3 2 3" xfId="11874" xr:uid="{DD299ED8-1EEC-4F96-97B8-6534DE427C08}"/>
    <cellStyle name="Normal 2 4 2 3 3 2 3 3" xfId="5508" xr:uid="{00000000-0005-0000-0000-0000F10E0000}"/>
    <cellStyle name="Normal 2 4 2 3 3 2 3 3 2" xfId="13947" xr:uid="{E7BF0D88-6878-41DA-8E4C-EBA8D6C6800D}"/>
    <cellStyle name="Normal 2 4 2 3 3 2 3 4" xfId="9729" xr:uid="{B8DB10A0-A3B8-41AD-AC04-C2F0C1F7CE55}"/>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5A7687E4-E318-4A5D-BFF5-D9F0A8A66C00}"/>
    <cellStyle name="Normal 2 4 2 3 3 2 4 2 3" xfId="12287" xr:uid="{CA81FDCE-579C-47F8-8421-9C4A2ABFDB20}"/>
    <cellStyle name="Normal 2 4 2 3 3 2 4 3" xfId="5921" xr:uid="{00000000-0005-0000-0000-0000F50E0000}"/>
    <cellStyle name="Normal 2 4 2 3 3 2 4 3 2" xfId="14360" xr:uid="{4FBC5D74-5402-43A5-A4B7-A03A7AE4A7BF}"/>
    <cellStyle name="Normal 2 4 2 3 3 2 4 4" xfId="10142" xr:uid="{7EEC6115-E8CD-4EFF-98BA-EA315344956D}"/>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0909497A-AFF8-4E95-B264-335EEE5E55CD}"/>
    <cellStyle name="Normal 2 4 2 3 3 2 5 2 3" xfId="12700" xr:uid="{B3D3F797-2FBF-44E8-B5F5-82BB591597BF}"/>
    <cellStyle name="Normal 2 4 2 3 3 2 5 3" xfId="6334" xr:uid="{00000000-0005-0000-0000-0000F90E0000}"/>
    <cellStyle name="Normal 2 4 2 3 3 2 5 3 2" xfId="14773" xr:uid="{EF637CBF-9AC0-4E6E-878F-A50ACDC4F833}"/>
    <cellStyle name="Normal 2 4 2 3 3 2 5 4" xfId="10555" xr:uid="{E5516076-15A2-45F8-8594-8D9F021B6740}"/>
    <cellStyle name="Normal 2 4 2 3 3 2 6" xfId="2463" xr:uid="{00000000-0005-0000-0000-0000FA0E0000}"/>
    <cellStyle name="Normal 2 4 2 3 3 2 6 2" xfId="6747" xr:uid="{00000000-0005-0000-0000-0000FB0E0000}"/>
    <cellStyle name="Normal 2 4 2 3 3 2 6 2 2" xfId="15186" xr:uid="{E3D6EB0C-7A32-43BC-BB0F-46D2EB2E9A79}"/>
    <cellStyle name="Normal 2 4 2 3 3 2 6 3" xfId="10968" xr:uid="{CC2E1204-AF63-434B-96C7-AF53FF496E22}"/>
    <cellStyle name="Normal 2 4 2 3 3 2 7" xfId="4681" xr:uid="{00000000-0005-0000-0000-0000FC0E0000}"/>
    <cellStyle name="Normal 2 4 2 3 3 2 7 2" xfId="13120" xr:uid="{38191EAB-38FC-4D83-9A55-367E264249A2}"/>
    <cellStyle name="Normal 2 4 2 3 3 2 8" xfId="8902" xr:uid="{CE872B9F-FE29-4A41-9FB6-4756A4191C1A}"/>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232E6CB0-BD33-49D0-B457-B49764043B0B}"/>
    <cellStyle name="Normal 2 4 2 3 3 3 2 3" xfId="11460" xr:uid="{1F3986CB-2EA2-4AF7-9D32-B49B92BB18DF}"/>
    <cellStyle name="Normal 2 4 2 3 3 3 3" xfId="5094" xr:uid="{00000000-0005-0000-0000-0000000F0000}"/>
    <cellStyle name="Normal 2 4 2 3 3 3 3 2" xfId="13533" xr:uid="{410E2152-538A-460C-8B42-FEAEE5A30150}"/>
    <cellStyle name="Normal 2 4 2 3 3 3 4" xfId="9315" xr:uid="{4EAD2C0E-3630-4185-B00F-73EB15439318}"/>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843A483F-68AF-42F5-AC54-C98565B095C5}"/>
    <cellStyle name="Normal 2 4 2 3 3 4 2 3" xfId="11873" xr:uid="{8B43443A-BD2F-46F0-8D3A-04E7F50367A7}"/>
    <cellStyle name="Normal 2 4 2 3 3 4 3" xfId="5507" xr:uid="{00000000-0005-0000-0000-0000040F0000}"/>
    <cellStyle name="Normal 2 4 2 3 3 4 3 2" xfId="13946" xr:uid="{D5FBED3C-3B73-42B8-B93B-5DDF4495891F}"/>
    <cellStyle name="Normal 2 4 2 3 3 4 4" xfId="9728" xr:uid="{58D982AA-F2B5-45C8-9CF5-F3948D1491A6}"/>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68950AE7-20FF-4C6A-98F6-AC929D4294CF}"/>
    <cellStyle name="Normal 2 4 2 3 3 5 2 3" xfId="12286" xr:uid="{DB5FD2D5-F4C8-4199-9CE9-0D271D0C4F76}"/>
    <cellStyle name="Normal 2 4 2 3 3 5 3" xfId="5920" xr:uid="{00000000-0005-0000-0000-0000080F0000}"/>
    <cellStyle name="Normal 2 4 2 3 3 5 3 2" xfId="14359" xr:uid="{2D94E2FE-41E0-4E70-9277-2512E98F016E}"/>
    <cellStyle name="Normal 2 4 2 3 3 5 4" xfId="10141" xr:uid="{733534BD-32C0-413B-A2E6-0783F89DFC21}"/>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673EA7B1-84F4-4A9E-A947-053FC18F7755}"/>
    <cellStyle name="Normal 2 4 2 3 3 6 2 3" xfId="12699" xr:uid="{7614B757-3187-42E9-831F-22DC95786F95}"/>
    <cellStyle name="Normal 2 4 2 3 3 6 3" xfId="6333" xr:uid="{00000000-0005-0000-0000-00000C0F0000}"/>
    <cellStyle name="Normal 2 4 2 3 3 6 3 2" xfId="14772" xr:uid="{D3289255-F844-4B8C-85F1-1B4B1FFF0F91}"/>
    <cellStyle name="Normal 2 4 2 3 3 6 4" xfId="10554" xr:uid="{2E28A544-D928-42A4-B3DF-96CEE70304A2}"/>
    <cellStyle name="Normal 2 4 2 3 3 7" xfId="2462" xr:uid="{00000000-0005-0000-0000-00000D0F0000}"/>
    <cellStyle name="Normal 2 4 2 3 3 7 2" xfId="6746" xr:uid="{00000000-0005-0000-0000-00000E0F0000}"/>
    <cellStyle name="Normal 2 4 2 3 3 7 2 2" xfId="15185" xr:uid="{68E31AA3-85BC-44A3-A1C3-79B643ED9CB5}"/>
    <cellStyle name="Normal 2 4 2 3 3 7 3" xfId="10967" xr:uid="{EE3941E2-3A96-4547-BC53-8E95DC7F04AF}"/>
    <cellStyle name="Normal 2 4 2 3 3 8" xfId="4680" xr:uid="{00000000-0005-0000-0000-00000F0F0000}"/>
    <cellStyle name="Normal 2 4 2 3 3 8 2" xfId="13119" xr:uid="{09527406-C85E-4296-A239-C5F63C072325}"/>
    <cellStyle name="Normal 2 4 2 3 3 9" xfId="8901" xr:uid="{A8515115-06E4-41AF-B1E5-7F42F7939825}"/>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3FC2103E-E978-49F4-AB30-D77308B502EA}"/>
    <cellStyle name="Normal 2 4 2 3 4 2 2 3" xfId="11462" xr:uid="{3CFCEC49-FB39-4792-A34F-8CB70D0B3362}"/>
    <cellStyle name="Normal 2 4 2 3 4 2 3" xfId="5096" xr:uid="{00000000-0005-0000-0000-0000140F0000}"/>
    <cellStyle name="Normal 2 4 2 3 4 2 3 2" xfId="13535" xr:uid="{843307FB-15C7-4703-89D4-898C843E90FE}"/>
    <cellStyle name="Normal 2 4 2 3 4 2 4" xfId="9317" xr:uid="{00825A92-F5AC-4B71-A96E-FB692010E8B2}"/>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A66B6794-0A64-4152-9DA9-33F3DB4E5005}"/>
    <cellStyle name="Normal 2 4 2 3 4 3 2 3" xfId="11875" xr:uid="{3E26EEF2-1102-4FD2-B8DF-28289E7464E9}"/>
    <cellStyle name="Normal 2 4 2 3 4 3 3" xfId="5509" xr:uid="{00000000-0005-0000-0000-0000180F0000}"/>
    <cellStyle name="Normal 2 4 2 3 4 3 3 2" xfId="13948" xr:uid="{67C763A0-960F-413B-B5E3-1BC0F364BA66}"/>
    <cellStyle name="Normal 2 4 2 3 4 3 4" xfId="9730" xr:uid="{09364DA6-5872-44FC-A4A7-B21B0B136E4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9629B917-0B26-4BBD-A52E-91602867A32D}"/>
    <cellStyle name="Normal 2 4 2 3 4 4 2 3" xfId="12288" xr:uid="{C94C1CFF-060B-450C-93DB-7FDD97D9CC3B}"/>
    <cellStyle name="Normal 2 4 2 3 4 4 3" xfId="5922" xr:uid="{00000000-0005-0000-0000-00001C0F0000}"/>
    <cellStyle name="Normal 2 4 2 3 4 4 3 2" xfId="14361" xr:uid="{03359710-F087-469F-A278-ABDAA18665CB}"/>
    <cellStyle name="Normal 2 4 2 3 4 4 4" xfId="10143" xr:uid="{50D96724-7725-4D5F-BA43-FF19DFFAD5D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ABD68F90-F544-4151-BE29-D0F145DEB6DA}"/>
    <cellStyle name="Normal 2 4 2 3 4 5 2 3" xfId="12701" xr:uid="{47FE58A5-D442-4F4D-95B5-C0B3392D69C7}"/>
    <cellStyle name="Normal 2 4 2 3 4 5 3" xfId="6335" xr:uid="{00000000-0005-0000-0000-0000200F0000}"/>
    <cellStyle name="Normal 2 4 2 3 4 5 3 2" xfId="14774" xr:uid="{6477B9C1-6064-49ED-BEEF-BBAFA3E5A845}"/>
    <cellStyle name="Normal 2 4 2 3 4 5 4" xfId="10556" xr:uid="{9A8CA98B-4F06-4E0E-A6ED-89CA759FF717}"/>
    <cellStyle name="Normal 2 4 2 3 4 6" xfId="2464" xr:uid="{00000000-0005-0000-0000-0000210F0000}"/>
    <cellStyle name="Normal 2 4 2 3 4 6 2" xfId="6748" xr:uid="{00000000-0005-0000-0000-0000220F0000}"/>
    <cellStyle name="Normal 2 4 2 3 4 6 2 2" xfId="15187" xr:uid="{61C2DD67-D31D-4883-8A92-370BF3C024BE}"/>
    <cellStyle name="Normal 2 4 2 3 4 6 3" xfId="10969" xr:uid="{DB551AEF-BE45-4A43-887D-E941C840F93D}"/>
    <cellStyle name="Normal 2 4 2 3 4 7" xfId="4682" xr:uid="{00000000-0005-0000-0000-0000230F0000}"/>
    <cellStyle name="Normal 2 4 2 3 4 7 2" xfId="13121" xr:uid="{3D99D78D-6172-467B-B94A-214887B9B2ED}"/>
    <cellStyle name="Normal 2 4 2 3 4 8" xfId="8903" xr:uid="{B2B24CEC-EA66-4FAB-904E-70AE517399C8}"/>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B9FE2204-B4B8-4D8A-8C63-117D9FFC7B0F}"/>
    <cellStyle name="Normal 2 4 2 3 5 2 3" xfId="11455" xr:uid="{2FECBF9D-FA8B-4C37-B683-C5B0EF0742B0}"/>
    <cellStyle name="Normal 2 4 2 3 5 3" xfId="5089" xr:uid="{00000000-0005-0000-0000-0000270F0000}"/>
    <cellStyle name="Normal 2 4 2 3 5 3 2" xfId="13528" xr:uid="{9E1AD8ED-ECBE-49A4-962D-D1B1C8F6A260}"/>
    <cellStyle name="Normal 2 4 2 3 5 4" xfId="9310" xr:uid="{BDC06859-D6A1-479D-B1C4-B41F1C7DBC24}"/>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7397D853-EB2A-4C2E-BDD8-F2D5F88FBCF9}"/>
    <cellStyle name="Normal 2 4 2 3 6 2 3" xfId="11868" xr:uid="{A707636D-F6D1-424B-9B39-73EB48375450}"/>
    <cellStyle name="Normal 2 4 2 3 6 3" xfId="5502" xr:uid="{00000000-0005-0000-0000-00002B0F0000}"/>
    <cellStyle name="Normal 2 4 2 3 6 3 2" xfId="13941" xr:uid="{C7CD612B-20C3-4329-98DF-9C2A7A2B19CD}"/>
    <cellStyle name="Normal 2 4 2 3 6 4" xfId="9723" xr:uid="{F0CEDC83-E53E-4D9B-A0D7-F37B4DF29B75}"/>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C5217485-9FC9-4F16-828D-5840261C45FC}"/>
    <cellStyle name="Normal 2 4 2 3 7 2 3" xfId="12281" xr:uid="{904551E3-9461-4B30-80E5-99834A193A2B}"/>
    <cellStyle name="Normal 2 4 2 3 7 3" xfId="5915" xr:uid="{00000000-0005-0000-0000-00002F0F0000}"/>
    <cellStyle name="Normal 2 4 2 3 7 3 2" xfId="14354" xr:uid="{59025FDB-4674-4473-99ED-7211FA5E487E}"/>
    <cellStyle name="Normal 2 4 2 3 7 4" xfId="10136" xr:uid="{4ECE5E01-7C85-4791-AB98-C52E700E1257}"/>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C0D8FDE1-EE63-4182-9AE8-C796BED614A8}"/>
    <cellStyle name="Normal 2 4 2 3 8 2 3" xfId="12694" xr:uid="{1A67B7E1-4DDE-49E5-B5E9-68B636242EB4}"/>
    <cellStyle name="Normal 2 4 2 3 8 3" xfId="6328" xr:uid="{00000000-0005-0000-0000-0000330F0000}"/>
    <cellStyle name="Normal 2 4 2 3 8 3 2" xfId="14767" xr:uid="{AC147C58-9EF9-48F4-881E-7BC2C239D817}"/>
    <cellStyle name="Normal 2 4 2 3 8 4" xfId="10549" xr:uid="{470DE84A-A6C8-4577-9F60-A76F1028511A}"/>
    <cellStyle name="Normal 2 4 2 3 9" xfId="2457" xr:uid="{00000000-0005-0000-0000-0000340F0000}"/>
    <cellStyle name="Normal 2 4 2 3 9 2" xfId="6741" xr:uid="{00000000-0005-0000-0000-0000350F0000}"/>
    <cellStyle name="Normal 2 4 2 3 9 2 2" xfId="15180" xr:uid="{38E4F81A-CB18-4434-8510-A33C8FAA3028}"/>
    <cellStyle name="Normal 2 4 2 3 9 3" xfId="10962" xr:uid="{9F7DEC06-B0C0-43A5-AD70-B776AE323F60}"/>
    <cellStyle name="Normal 2 4 2 4" xfId="289" xr:uid="{00000000-0005-0000-0000-0000360F0000}"/>
    <cellStyle name="Normal 2 4 2 4 10" xfId="8904" xr:uid="{2296B5A8-F373-465C-889A-395E19A3AA16}"/>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CE8BE1D8-4A7B-44FB-8427-A051D429B992}"/>
    <cellStyle name="Normal 2 4 2 4 2 2 2 2 3" xfId="11465" xr:uid="{5EA622D2-BE7E-4E5C-9B60-16941817F69A}"/>
    <cellStyle name="Normal 2 4 2 4 2 2 2 3" xfId="5099" xr:uid="{00000000-0005-0000-0000-00003C0F0000}"/>
    <cellStyle name="Normal 2 4 2 4 2 2 2 3 2" xfId="13538" xr:uid="{8F438CC5-9633-4EF3-9652-3011CC68FF1A}"/>
    <cellStyle name="Normal 2 4 2 4 2 2 2 4" xfId="9320" xr:uid="{87C4A7CA-5943-44E0-97F0-BF74E3187558}"/>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17CD08A5-CCDD-4D07-AAFE-607E20A93D88}"/>
    <cellStyle name="Normal 2 4 2 4 2 2 3 2 3" xfId="11878" xr:uid="{E0D3D914-9680-4095-AFCE-FF4055941B26}"/>
    <cellStyle name="Normal 2 4 2 4 2 2 3 3" xfId="5512" xr:uid="{00000000-0005-0000-0000-0000400F0000}"/>
    <cellStyle name="Normal 2 4 2 4 2 2 3 3 2" xfId="13951" xr:uid="{7604B11F-D2AC-4D01-90BB-5BE3F0AE7F09}"/>
    <cellStyle name="Normal 2 4 2 4 2 2 3 4" xfId="9733" xr:uid="{81653D56-F870-4D2D-9445-2C924D414E22}"/>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10D682F3-1154-42A7-A6E8-3ADE301CDBB4}"/>
    <cellStyle name="Normal 2 4 2 4 2 2 4 2 3" xfId="12291" xr:uid="{CE442C2E-3ABC-479D-9174-C460A8823C06}"/>
    <cellStyle name="Normal 2 4 2 4 2 2 4 3" xfId="5925" xr:uid="{00000000-0005-0000-0000-0000440F0000}"/>
    <cellStyle name="Normal 2 4 2 4 2 2 4 3 2" xfId="14364" xr:uid="{6A538516-CF7A-43E2-BB0E-E0DE7EDFE75F}"/>
    <cellStyle name="Normal 2 4 2 4 2 2 4 4" xfId="10146" xr:uid="{66DA1F0F-3495-4A10-AE26-A81D7F061183}"/>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79C7CDBE-CAB2-441A-B532-7F6099E39ECF}"/>
    <cellStyle name="Normal 2 4 2 4 2 2 5 2 3" xfId="12704" xr:uid="{200F7BA5-8D3C-4173-B620-831152383411}"/>
    <cellStyle name="Normal 2 4 2 4 2 2 5 3" xfId="6338" xr:uid="{00000000-0005-0000-0000-0000480F0000}"/>
    <cellStyle name="Normal 2 4 2 4 2 2 5 3 2" xfId="14777" xr:uid="{9DB6D69A-5E99-478F-8452-BC16BDABD5DD}"/>
    <cellStyle name="Normal 2 4 2 4 2 2 5 4" xfId="10559" xr:uid="{EEE0DF23-BA92-4681-901B-F80EC789C2E3}"/>
    <cellStyle name="Normal 2 4 2 4 2 2 6" xfId="2467" xr:uid="{00000000-0005-0000-0000-0000490F0000}"/>
    <cellStyle name="Normal 2 4 2 4 2 2 6 2" xfId="6751" xr:uid="{00000000-0005-0000-0000-00004A0F0000}"/>
    <cellStyle name="Normal 2 4 2 4 2 2 6 2 2" xfId="15190" xr:uid="{2A42D84B-3A85-46B0-97AC-D2A8354D3908}"/>
    <cellStyle name="Normal 2 4 2 4 2 2 6 3" xfId="10972" xr:uid="{5DD4F7CC-2145-4712-8847-5480FCCCA79D}"/>
    <cellStyle name="Normal 2 4 2 4 2 2 7" xfId="4685" xr:uid="{00000000-0005-0000-0000-00004B0F0000}"/>
    <cellStyle name="Normal 2 4 2 4 2 2 7 2" xfId="13124" xr:uid="{85F9C643-38FA-4E79-8D0F-B72A3B3768A9}"/>
    <cellStyle name="Normal 2 4 2 4 2 2 8" xfId="8906" xr:uid="{4639AAD4-DDA1-4D2F-9CF3-6E4C6A46D9BA}"/>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A2EFC40A-EF1A-4BAB-A35F-8DE3D9F9E00F}"/>
    <cellStyle name="Normal 2 4 2 4 2 3 2 3" xfId="11464" xr:uid="{46726D89-C43E-437B-BD27-4FD82488213C}"/>
    <cellStyle name="Normal 2 4 2 4 2 3 3" xfId="5098" xr:uid="{00000000-0005-0000-0000-00004F0F0000}"/>
    <cellStyle name="Normal 2 4 2 4 2 3 3 2" xfId="13537" xr:uid="{D748AE51-C56D-46D6-9D96-C3F7D86ABEC6}"/>
    <cellStyle name="Normal 2 4 2 4 2 3 4" xfId="9319" xr:uid="{EAE89E21-97B4-48AF-88FD-A8FFC75DF96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059C5F96-4A2A-452E-89CC-471BC155CA9D}"/>
    <cellStyle name="Normal 2 4 2 4 2 4 2 3" xfId="11877" xr:uid="{ADDE41F7-7A3F-43B9-9B3A-6DD0E75410C9}"/>
    <cellStyle name="Normal 2 4 2 4 2 4 3" xfId="5511" xr:uid="{00000000-0005-0000-0000-0000530F0000}"/>
    <cellStyle name="Normal 2 4 2 4 2 4 3 2" xfId="13950" xr:uid="{AE68743D-0CC5-4FC4-A3C0-345E4977E93B}"/>
    <cellStyle name="Normal 2 4 2 4 2 4 4" xfId="9732" xr:uid="{3D385294-0F49-41BD-8E13-1CC461371BC6}"/>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A37C6F37-EDCD-4EB8-958C-C25EA8DDB69A}"/>
    <cellStyle name="Normal 2 4 2 4 2 5 2 3" xfId="12290" xr:uid="{FAB5073F-D96C-4FBA-A93E-66E901240D71}"/>
    <cellStyle name="Normal 2 4 2 4 2 5 3" xfId="5924" xr:uid="{00000000-0005-0000-0000-0000570F0000}"/>
    <cellStyle name="Normal 2 4 2 4 2 5 3 2" xfId="14363" xr:uid="{A72E213B-9781-439C-8E77-A9FEC4948B0B}"/>
    <cellStyle name="Normal 2 4 2 4 2 5 4" xfId="10145" xr:uid="{79F4D467-9B71-4EAF-9DC3-B111E5C48C1F}"/>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63F6463C-7FC6-4E6C-8846-BD87BD067577}"/>
    <cellStyle name="Normal 2 4 2 4 2 6 2 3" xfId="12703" xr:uid="{2AA0B88F-3C70-4E65-9502-7FD8FEF7F312}"/>
    <cellStyle name="Normal 2 4 2 4 2 6 3" xfId="6337" xr:uid="{00000000-0005-0000-0000-00005B0F0000}"/>
    <cellStyle name="Normal 2 4 2 4 2 6 3 2" xfId="14776" xr:uid="{F7B5459F-5D72-46A3-93FC-F80104B3EFE5}"/>
    <cellStyle name="Normal 2 4 2 4 2 6 4" xfId="10558" xr:uid="{56454A37-7553-488D-8871-39AB6E09FB5B}"/>
    <cellStyle name="Normal 2 4 2 4 2 7" xfId="2466" xr:uid="{00000000-0005-0000-0000-00005C0F0000}"/>
    <cellStyle name="Normal 2 4 2 4 2 7 2" xfId="6750" xr:uid="{00000000-0005-0000-0000-00005D0F0000}"/>
    <cellStyle name="Normal 2 4 2 4 2 7 2 2" xfId="15189" xr:uid="{48E0BF74-2F03-4B9C-AA98-D06A34F11169}"/>
    <cellStyle name="Normal 2 4 2 4 2 7 3" xfId="10971" xr:uid="{91DC97C2-0BDC-4F81-93B3-1004CDB0594D}"/>
    <cellStyle name="Normal 2 4 2 4 2 8" xfId="4684" xr:uid="{00000000-0005-0000-0000-00005E0F0000}"/>
    <cellStyle name="Normal 2 4 2 4 2 8 2" xfId="13123" xr:uid="{AF8A96CD-1F06-4518-ADD5-61FF12969F93}"/>
    <cellStyle name="Normal 2 4 2 4 2 9" xfId="8905" xr:uid="{3A87A73E-E170-4AD1-99C7-5958F29A0A9A}"/>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C2DB51E3-FD3D-41EC-98B6-F78FE5824A85}"/>
    <cellStyle name="Normal 2 4 2 4 3 2 2 3" xfId="11466" xr:uid="{28E0D269-B5A5-4E0E-A921-B5B083B5911C}"/>
    <cellStyle name="Normal 2 4 2 4 3 2 3" xfId="5100" xr:uid="{00000000-0005-0000-0000-0000630F0000}"/>
    <cellStyle name="Normal 2 4 2 4 3 2 3 2" xfId="13539" xr:uid="{2DCB34A3-6BA6-472D-A72A-9DE417D3EA43}"/>
    <cellStyle name="Normal 2 4 2 4 3 2 4" xfId="9321" xr:uid="{7147A2BC-3A16-436F-99C2-223884F160D7}"/>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78D4CA31-B8F5-4B54-AFB1-35BADE22A417}"/>
    <cellStyle name="Normal 2 4 2 4 3 3 2 3" xfId="11879" xr:uid="{2154F17F-252A-468D-BDAC-009A42848CAF}"/>
    <cellStyle name="Normal 2 4 2 4 3 3 3" xfId="5513" xr:uid="{00000000-0005-0000-0000-0000670F0000}"/>
    <cellStyle name="Normal 2 4 2 4 3 3 3 2" xfId="13952" xr:uid="{DA227B0D-4FFE-4B38-AA5E-1C03A7DE8F57}"/>
    <cellStyle name="Normal 2 4 2 4 3 3 4" xfId="9734" xr:uid="{1C9B1F10-B568-4D60-BE20-DC9FE74B7458}"/>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6CEC4202-B1E1-4277-853E-379687048DB7}"/>
    <cellStyle name="Normal 2 4 2 4 3 4 2 3" xfId="12292" xr:uid="{89256B53-6A1B-4FD2-9CD5-99128ED458A9}"/>
    <cellStyle name="Normal 2 4 2 4 3 4 3" xfId="5926" xr:uid="{00000000-0005-0000-0000-00006B0F0000}"/>
    <cellStyle name="Normal 2 4 2 4 3 4 3 2" xfId="14365" xr:uid="{7E201500-EF66-4172-8A06-86445F291364}"/>
    <cellStyle name="Normal 2 4 2 4 3 4 4" xfId="10147" xr:uid="{C0AF5E2E-EB40-456D-A84C-16A284027F82}"/>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CC17330F-3836-4122-8F88-3E8D903BBB4F}"/>
    <cellStyle name="Normal 2 4 2 4 3 5 2 3" xfId="12705" xr:uid="{5E916A25-3243-4C8A-9ED2-1025A20ABE2C}"/>
    <cellStyle name="Normal 2 4 2 4 3 5 3" xfId="6339" xr:uid="{00000000-0005-0000-0000-00006F0F0000}"/>
    <cellStyle name="Normal 2 4 2 4 3 5 3 2" xfId="14778" xr:uid="{554C334B-2B11-4751-8662-7F0D1FD85C65}"/>
    <cellStyle name="Normal 2 4 2 4 3 5 4" xfId="10560" xr:uid="{12FFFD81-80D3-471F-941D-58BFBC490574}"/>
    <cellStyle name="Normal 2 4 2 4 3 6" xfId="2468" xr:uid="{00000000-0005-0000-0000-0000700F0000}"/>
    <cellStyle name="Normal 2 4 2 4 3 6 2" xfId="6752" xr:uid="{00000000-0005-0000-0000-0000710F0000}"/>
    <cellStyle name="Normal 2 4 2 4 3 6 2 2" xfId="15191" xr:uid="{BFF4F933-3F32-424B-8120-C6E3FB5853C5}"/>
    <cellStyle name="Normal 2 4 2 4 3 6 3" xfId="10973" xr:uid="{47768F9B-780F-40C4-BCDE-F9812DDC3082}"/>
    <cellStyle name="Normal 2 4 2 4 3 7" xfId="4686" xr:uid="{00000000-0005-0000-0000-0000720F0000}"/>
    <cellStyle name="Normal 2 4 2 4 3 7 2" xfId="13125" xr:uid="{8B5689F0-668B-4434-B348-23320150DFA6}"/>
    <cellStyle name="Normal 2 4 2 4 3 8" xfId="8907" xr:uid="{3FC8B872-762A-4A96-8417-F16875A2EFA2}"/>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4023DFB5-AEE4-46AB-A309-D6FF61B7F1C1}"/>
    <cellStyle name="Normal 2 4 2 4 4 2 3" xfId="11463" xr:uid="{5D90B010-815F-4DCA-A67E-DFFC4891E4D1}"/>
    <cellStyle name="Normal 2 4 2 4 4 3" xfId="5097" xr:uid="{00000000-0005-0000-0000-0000760F0000}"/>
    <cellStyle name="Normal 2 4 2 4 4 3 2" xfId="13536" xr:uid="{5097AEFE-CC99-4AD4-8F0F-1B9A8A6BB535}"/>
    <cellStyle name="Normal 2 4 2 4 4 4" xfId="9318" xr:uid="{FDF6C51D-312B-412B-8344-363574D20D3B}"/>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FE5460DA-E011-45F8-A437-D8A7787E613E}"/>
    <cellStyle name="Normal 2 4 2 4 5 2 3" xfId="11876" xr:uid="{4B54BF55-3DCC-414F-90D1-6098C37476FB}"/>
    <cellStyle name="Normal 2 4 2 4 5 3" xfId="5510" xr:uid="{00000000-0005-0000-0000-00007A0F0000}"/>
    <cellStyle name="Normal 2 4 2 4 5 3 2" xfId="13949" xr:uid="{45BA1ED0-04D6-4FA5-B241-26950AA78FCB}"/>
    <cellStyle name="Normal 2 4 2 4 5 4" xfId="9731" xr:uid="{3E1965C3-83C2-4E75-B282-6627AB2EDF41}"/>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E459DB72-335A-444D-8DEE-78157724D33F}"/>
    <cellStyle name="Normal 2 4 2 4 6 2 3" xfId="12289" xr:uid="{9C38B022-5538-4A10-A312-4FDBBBC7DCD2}"/>
    <cellStyle name="Normal 2 4 2 4 6 3" xfId="5923" xr:uid="{00000000-0005-0000-0000-00007E0F0000}"/>
    <cellStyle name="Normal 2 4 2 4 6 3 2" xfId="14362" xr:uid="{32E581A4-3C97-4A58-93E4-821118535CF8}"/>
    <cellStyle name="Normal 2 4 2 4 6 4" xfId="10144" xr:uid="{CDEA2F5B-4825-4F40-B76C-8CE6755E32A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449DB428-927F-4370-AED5-28A0C2891BD4}"/>
    <cellStyle name="Normal 2 4 2 4 7 2 3" xfId="12702" xr:uid="{47D8D17D-18E0-47FA-9026-6584DD8871F7}"/>
    <cellStyle name="Normal 2 4 2 4 7 3" xfId="6336" xr:uid="{00000000-0005-0000-0000-0000820F0000}"/>
    <cellStyle name="Normal 2 4 2 4 7 3 2" xfId="14775" xr:uid="{FF6EA299-6D66-420A-BFEB-4ECF3A2EBCF4}"/>
    <cellStyle name="Normal 2 4 2 4 7 4" xfId="10557" xr:uid="{594F5D9A-7A6B-42D0-9C02-FF329FFA96E6}"/>
    <cellStyle name="Normal 2 4 2 4 8" xfId="2465" xr:uid="{00000000-0005-0000-0000-0000830F0000}"/>
    <cellStyle name="Normal 2 4 2 4 8 2" xfId="6749" xr:uid="{00000000-0005-0000-0000-0000840F0000}"/>
    <cellStyle name="Normal 2 4 2 4 8 2 2" xfId="15188" xr:uid="{CF82E63F-6233-46F8-B5BA-9AF2198339BC}"/>
    <cellStyle name="Normal 2 4 2 4 8 3" xfId="10970" xr:uid="{1B200BCF-17B9-4A62-880E-D00E304987E3}"/>
    <cellStyle name="Normal 2 4 2 4 9" xfId="4683" xr:uid="{00000000-0005-0000-0000-0000850F0000}"/>
    <cellStyle name="Normal 2 4 2 4 9 2" xfId="13122" xr:uid="{5C30AFA1-5FD3-41D4-B064-FF85FA56F6E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9AF30EEF-80DC-4CCD-AF81-E93531F12C1D}"/>
    <cellStyle name="Normal 2 4 2 5 2 2 2 3" xfId="11468" xr:uid="{39C808D8-5945-4122-8EB8-E821514F71E4}"/>
    <cellStyle name="Normal 2 4 2 5 2 2 3" xfId="5102" xr:uid="{00000000-0005-0000-0000-00008B0F0000}"/>
    <cellStyle name="Normal 2 4 2 5 2 2 3 2" xfId="13541" xr:uid="{D9F93AFE-AE28-4AA6-BFD8-CF294E948E49}"/>
    <cellStyle name="Normal 2 4 2 5 2 2 4" xfId="9323" xr:uid="{54F156CD-8A7C-42AB-A967-84E2496E2FEF}"/>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9829C871-3528-4291-924B-7AA8BFA8C0B2}"/>
    <cellStyle name="Normal 2 4 2 5 2 3 2 3" xfId="11881" xr:uid="{6C980E8C-42CD-463A-A6C2-223D9F0B3F80}"/>
    <cellStyle name="Normal 2 4 2 5 2 3 3" xfId="5515" xr:uid="{00000000-0005-0000-0000-00008F0F0000}"/>
    <cellStyle name="Normal 2 4 2 5 2 3 3 2" xfId="13954" xr:uid="{DC90FC14-3967-4A90-B5BA-EC77179EE66D}"/>
    <cellStyle name="Normal 2 4 2 5 2 3 4" xfId="9736" xr:uid="{EEE3902A-A23B-4138-A71B-938DFA058EEA}"/>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FEBE022F-AC17-4DEB-908E-DA2F9FDFFBA8}"/>
    <cellStyle name="Normal 2 4 2 5 2 4 2 3" xfId="12294" xr:uid="{FB815F49-8B0E-4387-BC25-D8EB24CB988B}"/>
    <cellStyle name="Normal 2 4 2 5 2 4 3" xfId="5928" xr:uid="{00000000-0005-0000-0000-0000930F0000}"/>
    <cellStyle name="Normal 2 4 2 5 2 4 3 2" xfId="14367" xr:uid="{5805EBD3-DEDD-4A7F-AD30-BB1FF7301996}"/>
    <cellStyle name="Normal 2 4 2 5 2 4 4" xfId="10149" xr:uid="{C34F47C0-434C-4B1A-A7EE-3A9C81F22E3F}"/>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065B1A3E-719C-4FFC-A7F6-18CF7DB9593F}"/>
    <cellStyle name="Normal 2 4 2 5 2 5 2 3" xfId="12707" xr:uid="{63291769-D41E-4BC1-BE80-971F919D8FB4}"/>
    <cellStyle name="Normal 2 4 2 5 2 5 3" xfId="6341" xr:uid="{00000000-0005-0000-0000-0000970F0000}"/>
    <cellStyle name="Normal 2 4 2 5 2 5 3 2" xfId="14780" xr:uid="{A1CB9871-0190-4933-89F2-D4310C633403}"/>
    <cellStyle name="Normal 2 4 2 5 2 5 4" xfId="10562" xr:uid="{A17B76A0-EFE2-492F-9F5F-EA9D2721716B}"/>
    <cellStyle name="Normal 2 4 2 5 2 6" xfId="2470" xr:uid="{00000000-0005-0000-0000-0000980F0000}"/>
    <cellStyle name="Normal 2 4 2 5 2 6 2" xfId="6754" xr:uid="{00000000-0005-0000-0000-0000990F0000}"/>
    <cellStyle name="Normal 2 4 2 5 2 6 2 2" xfId="15193" xr:uid="{D61A90CA-BFDD-4ED8-B181-27A140BBE5AB}"/>
    <cellStyle name="Normal 2 4 2 5 2 6 3" xfId="10975" xr:uid="{E36C8526-BAD9-4B35-8189-5046C5270EC0}"/>
    <cellStyle name="Normal 2 4 2 5 2 7" xfId="4688" xr:uid="{00000000-0005-0000-0000-00009A0F0000}"/>
    <cellStyle name="Normal 2 4 2 5 2 7 2" xfId="13127" xr:uid="{71573021-E902-4D71-B1F4-927FE01926F4}"/>
    <cellStyle name="Normal 2 4 2 5 2 8" xfId="8909" xr:uid="{3F7111D2-6A78-4609-B42D-438AD2E866F8}"/>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1407995D-D6C4-448C-B407-3E654E865A37}"/>
    <cellStyle name="Normal 2 4 2 5 3 2 3" xfId="11467" xr:uid="{72DEE157-8E0F-488C-9BBA-5FBFC82F5A12}"/>
    <cellStyle name="Normal 2 4 2 5 3 3" xfId="5101" xr:uid="{00000000-0005-0000-0000-00009E0F0000}"/>
    <cellStyle name="Normal 2 4 2 5 3 3 2" xfId="13540" xr:uid="{796DA9E1-7969-4968-BC48-6BB937E1F751}"/>
    <cellStyle name="Normal 2 4 2 5 3 4" xfId="9322" xr:uid="{78AD6417-E6F0-48C6-84AE-1C599D4BE454}"/>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FCEE54DA-75BB-4951-87E0-5CF269A5A672}"/>
    <cellStyle name="Normal 2 4 2 5 4 2 3" xfId="11880" xr:uid="{2C5A105F-13F7-438B-9BD9-2AB8FC592209}"/>
    <cellStyle name="Normal 2 4 2 5 4 3" xfId="5514" xr:uid="{00000000-0005-0000-0000-0000A20F0000}"/>
    <cellStyle name="Normal 2 4 2 5 4 3 2" xfId="13953" xr:uid="{EF7E1D27-AAD1-4001-8301-5DE1A6638C8B}"/>
    <cellStyle name="Normal 2 4 2 5 4 4" xfId="9735" xr:uid="{346C18BD-3F42-42F5-A9E6-B187B0C95BC2}"/>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36D770CF-9B56-4437-8504-2DB2E43E5A55}"/>
    <cellStyle name="Normal 2 4 2 5 5 2 3" xfId="12293" xr:uid="{178F090B-3D4C-45D1-BB87-BED4CD9170D7}"/>
    <cellStyle name="Normal 2 4 2 5 5 3" xfId="5927" xr:uid="{00000000-0005-0000-0000-0000A60F0000}"/>
    <cellStyle name="Normal 2 4 2 5 5 3 2" xfId="14366" xr:uid="{30AEED25-A1F3-40BA-9716-3C0054100A54}"/>
    <cellStyle name="Normal 2 4 2 5 5 4" xfId="10148" xr:uid="{443AF420-683E-4269-9AC2-0A8611DC63AE}"/>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769C8597-B3BD-4B5E-BB7F-6E64F7164DCF}"/>
    <cellStyle name="Normal 2 4 2 5 6 2 3" xfId="12706" xr:uid="{CEF09C21-8703-45CC-9FC2-94A202AA5E1F}"/>
    <cellStyle name="Normal 2 4 2 5 6 3" xfId="6340" xr:uid="{00000000-0005-0000-0000-0000AA0F0000}"/>
    <cellStyle name="Normal 2 4 2 5 6 3 2" xfId="14779" xr:uid="{DA1ED8BB-5954-438B-B613-42E4FDC02A45}"/>
    <cellStyle name="Normal 2 4 2 5 6 4" xfId="10561" xr:uid="{7132F74D-DA70-4479-805B-27827D6714BF}"/>
    <cellStyle name="Normal 2 4 2 5 7" xfId="2469" xr:uid="{00000000-0005-0000-0000-0000AB0F0000}"/>
    <cellStyle name="Normal 2 4 2 5 7 2" xfId="6753" xr:uid="{00000000-0005-0000-0000-0000AC0F0000}"/>
    <cellStyle name="Normal 2 4 2 5 7 2 2" xfId="15192" xr:uid="{B184B4F1-9207-40CA-B080-207D0764AEAC}"/>
    <cellStyle name="Normal 2 4 2 5 7 3" xfId="10974" xr:uid="{E78F5AC5-55C7-4414-B403-7B7FA693C8C5}"/>
    <cellStyle name="Normal 2 4 2 5 8" xfId="4687" xr:uid="{00000000-0005-0000-0000-0000AD0F0000}"/>
    <cellStyle name="Normal 2 4 2 5 8 2" xfId="13126" xr:uid="{22781D89-612D-4DBA-A62A-469B05FAF87B}"/>
    <cellStyle name="Normal 2 4 2 5 9" xfId="8908" xr:uid="{CFEAE36C-37D8-413B-AD85-552460BB98F5}"/>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D8818B1A-E2C7-4939-9A35-4A9449168DA7}"/>
    <cellStyle name="Normal 2 4 2 6 2 2 3" xfId="11469" xr:uid="{3971E1FE-06C5-42BA-884D-E6DF05EB6F83}"/>
    <cellStyle name="Normal 2 4 2 6 2 3" xfId="5103" xr:uid="{00000000-0005-0000-0000-0000B20F0000}"/>
    <cellStyle name="Normal 2 4 2 6 2 3 2" xfId="13542" xr:uid="{50B2C9CB-C2C0-400F-9269-06ED6F65BD10}"/>
    <cellStyle name="Normal 2 4 2 6 2 4" xfId="9324" xr:uid="{C4B853CE-9A13-419A-B03B-C9D7C880E9FE}"/>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02826BFC-BBED-49D5-8A4E-A72FF6A4993C}"/>
    <cellStyle name="Normal 2 4 2 6 3 2 3" xfId="11882" xr:uid="{333AEEBB-7B7F-4B92-940D-D580395A2D2F}"/>
    <cellStyle name="Normal 2 4 2 6 3 3" xfId="5516" xr:uid="{00000000-0005-0000-0000-0000B60F0000}"/>
    <cellStyle name="Normal 2 4 2 6 3 3 2" xfId="13955" xr:uid="{2F3EDC17-6116-40F6-9184-DE0F5442EC92}"/>
    <cellStyle name="Normal 2 4 2 6 3 4" xfId="9737" xr:uid="{48F59614-8534-4D92-ABEA-CAAB52C4E3A3}"/>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87390B8A-AA7F-492F-9133-9DCC7CA1EF78}"/>
    <cellStyle name="Normal 2 4 2 6 4 2 3" xfId="12295" xr:uid="{CF1661AB-4C93-4686-82DA-E22E5B5B5784}"/>
    <cellStyle name="Normal 2 4 2 6 4 3" xfId="5929" xr:uid="{00000000-0005-0000-0000-0000BA0F0000}"/>
    <cellStyle name="Normal 2 4 2 6 4 3 2" xfId="14368" xr:uid="{ED2740E8-DDA3-4F59-B18E-9D694BD8CCD9}"/>
    <cellStyle name="Normal 2 4 2 6 4 4" xfId="10150" xr:uid="{7574B543-0823-4685-92AA-346A757E60AA}"/>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C986B55C-C968-43D6-AD83-9A1D4065F05D}"/>
    <cellStyle name="Normal 2 4 2 6 5 2 3" xfId="12708" xr:uid="{68B8BF64-6CB0-4D01-AEFB-50D61CA10655}"/>
    <cellStyle name="Normal 2 4 2 6 5 3" xfId="6342" xr:uid="{00000000-0005-0000-0000-0000BE0F0000}"/>
    <cellStyle name="Normal 2 4 2 6 5 3 2" xfId="14781" xr:uid="{2D6B7B71-3D7E-4851-9790-A78F28B6BC89}"/>
    <cellStyle name="Normal 2 4 2 6 5 4" xfId="10563" xr:uid="{0A25B6FD-0FA5-487D-A8D6-8FD0F63B7D0A}"/>
    <cellStyle name="Normal 2 4 2 6 6" xfId="2471" xr:uid="{00000000-0005-0000-0000-0000BF0F0000}"/>
    <cellStyle name="Normal 2 4 2 6 6 2" xfId="6755" xr:uid="{00000000-0005-0000-0000-0000C00F0000}"/>
    <cellStyle name="Normal 2 4 2 6 6 2 2" xfId="15194" xr:uid="{3A35007F-6DA9-4B4F-9D6B-024B5AB4692A}"/>
    <cellStyle name="Normal 2 4 2 6 6 3" xfId="10976" xr:uid="{728E731C-4016-4118-8F7C-69E1C469BC72}"/>
    <cellStyle name="Normal 2 4 2 6 7" xfId="4689" xr:uid="{00000000-0005-0000-0000-0000C10F0000}"/>
    <cellStyle name="Normal 2 4 2 6 7 2" xfId="13128" xr:uid="{4E647C8C-93C6-4094-B61C-2098E7DB629B}"/>
    <cellStyle name="Normal 2 4 2 6 8" xfId="8910" xr:uid="{6115A4A9-C319-44F2-9ED8-9850C512E374}"/>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01AA407A-ABEB-4CA4-9717-5310088E2B40}"/>
    <cellStyle name="Normal 2 4 2 7 2 3" xfId="11454" xr:uid="{FC30C489-D13D-40FC-B058-3AA8CF0CE2B9}"/>
    <cellStyle name="Normal 2 4 2 7 3" xfId="5088" xr:uid="{00000000-0005-0000-0000-0000C50F0000}"/>
    <cellStyle name="Normal 2 4 2 7 3 2" xfId="13527" xr:uid="{A7D12079-0FBE-40D9-B333-197DE4E34194}"/>
    <cellStyle name="Normal 2 4 2 7 4" xfId="9309" xr:uid="{46CD6A6D-F5E5-4D56-9299-EB5071CB7D9C}"/>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CD225041-F370-4E68-8FDC-C6F055A83DBE}"/>
    <cellStyle name="Normal 2 4 2 8 2 3" xfId="11867" xr:uid="{94587C8F-5B8D-417D-AB05-FD923510755B}"/>
    <cellStyle name="Normal 2 4 2 8 3" xfId="5501" xr:uid="{00000000-0005-0000-0000-0000C90F0000}"/>
    <cellStyle name="Normal 2 4 2 8 3 2" xfId="13940" xr:uid="{33D1A694-550A-4AE4-A955-9A435061B056}"/>
    <cellStyle name="Normal 2 4 2 8 4" xfId="9722" xr:uid="{0C341970-79AE-4706-866B-8B59C53095D6}"/>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A208AE92-F74C-416B-A87A-7852C9170933}"/>
    <cellStyle name="Normal 2 4 2 9 2 3" xfId="12280" xr:uid="{09072670-BBC3-4058-8333-E2C1628542D3}"/>
    <cellStyle name="Normal 2 4 2 9 3" xfId="5914" xr:uid="{00000000-0005-0000-0000-0000CD0F0000}"/>
    <cellStyle name="Normal 2 4 2 9 3 2" xfId="14353" xr:uid="{748064F3-5376-4D27-9A9D-8988D4368A95}"/>
    <cellStyle name="Normal 2 4 2 9 4" xfId="10135" xr:uid="{484955B4-3302-40F5-ADF6-9249C084BB2A}"/>
    <cellStyle name="Normal 2 4 3" xfId="296" xr:uid="{00000000-0005-0000-0000-0000CE0F0000}"/>
    <cellStyle name="Normal 2 4 3 10" xfId="8911" xr:uid="{58E39B15-EC02-44C0-A175-908E597A8201}"/>
    <cellStyle name="Normal 2 4 3 2" xfId="297" xr:uid="{00000000-0005-0000-0000-0000CF0F0000}"/>
    <cellStyle name="Normal 2 4 3 3" xfId="298" xr:uid="{00000000-0005-0000-0000-0000D00F0000}"/>
    <cellStyle name="Normal 2 4 3 3 10" xfId="8912" xr:uid="{A18CAEF7-2B7F-4E40-A533-5CC1DB12EF1E}"/>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7EFF83AC-A13D-481F-BA0B-02F713313C74}"/>
    <cellStyle name="Normal 2 4 3 3 2 2 2 2 3" xfId="11473" xr:uid="{C5CFE4BE-5C8B-42C7-AA10-C8D86A827EE1}"/>
    <cellStyle name="Normal 2 4 3 3 2 2 2 3" xfId="5107" xr:uid="{00000000-0005-0000-0000-0000D60F0000}"/>
    <cellStyle name="Normal 2 4 3 3 2 2 2 3 2" xfId="13546" xr:uid="{37551F25-F428-4E78-B737-DB269F9EAB46}"/>
    <cellStyle name="Normal 2 4 3 3 2 2 2 4" xfId="9328" xr:uid="{6AC0D11D-EBB6-4A62-A1FC-FAADF5D2346E}"/>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A32E26A1-D481-4952-BB22-B94EFFE69E0A}"/>
    <cellStyle name="Normal 2 4 3 3 2 2 3 2 3" xfId="11886" xr:uid="{917775FB-1780-4C3E-B62B-C375F222768C}"/>
    <cellStyle name="Normal 2 4 3 3 2 2 3 3" xfId="5520" xr:uid="{00000000-0005-0000-0000-0000DA0F0000}"/>
    <cellStyle name="Normal 2 4 3 3 2 2 3 3 2" xfId="13959" xr:uid="{A9549446-2F74-4D7C-98E7-DE6C4F764485}"/>
    <cellStyle name="Normal 2 4 3 3 2 2 3 4" xfId="9741" xr:uid="{FA462843-286A-4A0E-80B3-0CED63389041}"/>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7F816376-AD16-408D-9D64-550FA97C3509}"/>
    <cellStyle name="Normal 2 4 3 3 2 2 4 2 3" xfId="12299" xr:uid="{ED73322D-B888-4F72-8398-17F8093294E3}"/>
    <cellStyle name="Normal 2 4 3 3 2 2 4 3" xfId="5933" xr:uid="{00000000-0005-0000-0000-0000DE0F0000}"/>
    <cellStyle name="Normal 2 4 3 3 2 2 4 3 2" xfId="14372" xr:uid="{F9F44BBB-41E9-4D7E-9284-416581E018A9}"/>
    <cellStyle name="Normal 2 4 3 3 2 2 4 4" xfId="10154" xr:uid="{320B23B1-A4DE-40DE-9510-BB37CD22A6E8}"/>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EE616736-5CDB-4C03-8850-BC083F112007}"/>
    <cellStyle name="Normal 2 4 3 3 2 2 5 2 3" xfId="12712" xr:uid="{4AE8CD4F-1721-467A-8E83-605AD450C77A}"/>
    <cellStyle name="Normal 2 4 3 3 2 2 5 3" xfId="6346" xr:uid="{00000000-0005-0000-0000-0000E20F0000}"/>
    <cellStyle name="Normal 2 4 3 3 2 2 5 3 2" xfId="14785" xr:uid="{BC57327F-D473-43EE-83ED-65EB02444F20}"/>
    <cellStyle name="Normal 2 4 3 3 2 2 5 4" xfId="10567" xr:uid="{7DF7A82B-0B66-43C5-8194-2054923BBC57}"/>
    <cellStyle name="Normal 2 4 3 3 2 2 6" xfId="2475" xr:uid="{00000000-0005-0000-0000-0000E30F0000}"/>
    <cellStyle name="Normal 2 4 3 3 2 2 6 2" xfId="6759" xr:uid="{00000000-0005-0000-0000-0000E40F0000}"/>
    <cellStyle name="Normal 2 4 3 3 2 2 6 2 2" xfId="15198" xr:uid="{C49991D3-C93E-417B-B8E3-0E0E27C79A4C}"/>
    <cellStyle name="Normal 2 4 3 3 2 2 6 3" xfId="10980" xr:uid="{415A4CC3-18EA-4B71-9FAA-90BA1A0251FA}"/>
    <cellStyle name="Normal 2 4 3 3 2 2 7" xfId="4693" xr:uid="{00000000-0005-0000-0000-0000E50F0000}"/>
    <cellStyle name="Normal 2 4 3 3 2 2 7 2" xfId="13132" xr:uid="{2CF7E6B1-A8CC-46E2-B199-62EB6FFC0C82}"/>
    <cellStyle name="Normal 2 4 3 3 2 2 8" xfId="8914" xr:uid="{5FAF8BC6-8DEB-4CCD-84B6-44727783EAF7}"/>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E50D6E06-4525-4BB2-BAC9-27005FBDF228}"/>
    <cellStyle name="Normal 2 4 3 3 2 3 2 3" xfId="11472" xr:uid="{6698AC37-5CC7-404E-9832-E2668886851F}"/>
    <cellStyle name="Normal 2 4 3 3 2 3 3" xfId="5106" xr:uid="{00000000-0005-0000-0000-0000E90F0000}"/>
    <cellStyle name="Normal 2 4 3 3 2 3 3 2" xfId="13545" xr:uid="{F6593616-3AEF-4AFD-BDF2-83851E12D1AB}"/>
    <cellStyle name="Normal 2 4 3 3 2 3 4" xfId="9327" xr:uid="{9635E287-E039-4067-BDF6-49451CF8B109}"/>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F3EC3476-D617-4CC9-9A18-34DB5FF80821}"/>
    <cellStyle name="Normal 2 4 3 3 2 4 2 3" xfId="11885" xr:uid="{F061A344-E3CA-4553-B22D-BCA5FA5C0266}"/>
    <cellStyle name="Normal 2 4 3 3 2 4 3" xfId="5519" xr:uid="{00000000-0005-0000-0000-0000ED0F0000}"/>
    <cellStyle name="Normal 2 4 3 3 2 4 3 2" xfId="13958" xr:uid="{54CDB88F-AC7B-4CB4-96F7-48994DF60072}"/>
    <cellStyle name="Normal 2 4 3 3 2 4 4" xfId="9740" xr:uid="{1DB2F64B-E939-4B14-AAC9-7580140113EE}"/>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2793D234-A68A-45D9-9853-2BF32828C291}"/>
    <cellStyle name="Normal 2 4 3 3 2 5 2 3" xfId="12298" xr:uid="{187B2566-3E9F-4063-83E3-A10D0D7EA545}"/>
    <cellStyle name="Normal 2 4 3 3 2 5 3" xfId="5932" xr:uid="{00000000-0005-0000-0000-0000F10F0000}"/>
    <cellStyle name="Normal 2 4 3 3 2 5 3 2" xfId="14371" xr:uid="{570D51AB-3210-4C0C-8BB8-ACE7E6EB8592}"/>
    <cellStyle name="Normal 2 4 3 3 2 5 4" xfId="10153" xr:uid="{5F63F3C4-7625-4A9D-B0FC-E80B3F6CEADA}"/>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F5F577E5-8B51-4023-B77B-3A109BF0535D}"/>
    <cellStyle name="Normal 2 4 3 3 2 6 2 3" xfId="12711" xr:uid="{5548309E-6307-4FAE-A267-6544E42895B9}"/>
    <cellStyle name="Normal 2 4 3 3 2 6 3" xfId="6345" xr:uid="{00000000-0005-0000-0000-0000F50F0000}"/>
    <cellStyle name="Normal 2 4 3 3 2 6 3 2" xfId="14784" xr:uid="{9EA1CC7F-4BD3-4A8D-A159-F7DACE3340CB}"/>
    <cellStyle name="Normal 2 4 3 3 2 6 4" xfId="10566" xr:uid="{7AE623E0-BA96-4F3E-BEFE-7F98494F81E2}"/>
    <cellStyle name="Normal 2 4 3 3 2 7" xfId="2474" xr:uid="{00000000-0005-0000-0000-0000F60F0000}"/>
    <cellStyle name="Normal 2 4 3 3 2 7 2" xfId="6758" xr:uid="{00000000-0005-0000-0000-0000F70F0000}"/>
    <cellStyle name="Normal 2 4 3 3 2 7 2 2" xfId="15197" xr:uid="{28BD987A-B01C-4173-9608-C7723613C546}"/>
    <cellStyle name="Normal 2 4 3 3 2 7 3" xfId="10979" xr:uid="{D3E4E96C-8B34-44F8-98BC-631F89055993}"/>
    <cellStyle name="Normal 2 4 3 3 2 8" xfId="4692" xr:uid="{00000000-0005-0000-0000-0000F80F0000}"/>
    <cellStyle name="Normal 2 4 3 3 2 8 2" xfId="13131" xr:uid="{22B9C7C6-363B-49D1-945B-07177EBCEE6D}"/>
    <cellStyle name="Normal 2 4 3 3 2 9" xfId="8913" xr:uid="{AB7ABADD-287C-438F-BA6F-9E1ECCE112A8}"/>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C50660E8-73AF-40B8-97CE-44C850FC41C1}"/>
    <cellStyle name="Normal 2 4 3 3 3 2 2 3" xfId="11474" xr:uid="{C8F97E0E-6B2B-4914-BCD3-5B7153426083}"/>
    <cellStyle name="Normal 2 4 3 3 3 2 3" xfId="5108" xr:uid="{00000000-0005-0000-0000-0000FD0F0000}"/>
    <cellStyle name="Normal 2 4 3 3 3 2 3 2" xfId="13547" xr:uid="{39A297B6-B03E-49BE-99F4-9E49853EEFDA}"/>
    <cellStyle name="Normal 2 4 3 3 3 2 4" xfId="9329" xr:uid="{CBC47614-D88F-47C8-B2A9-F50A0843B98C}"/>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49CE016F-367F-4A80-8BF1-D33A1E81AD99}"/>
    <cellStyle name="Normal 2 4 3 3 3 3 2 3" xfId="11887" xr:uid="{153AA272-6511-4152-BD7A-25668A65F4B9}"/>
    <cellStyle name="Normal 2 4 3 3 3 3 3" xfId="5521" xr:uid="{00000000-0005-0000-0000-000001100000}"/>
    <cellStyle name="Normal 2 4 3 3 3 3 3 2" xfId="13960" xr:uid="{62177BCA-EB2B-4B83-97C4-24EFC1DEE203}"/>
    <cellStyle name="Normal 2 4 3 3 3 3 4" xfId="9742" xr:uid="{702B9BD9-FFD2-40EB-926E-9B0238CEA057}"/>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6633D904-1E2E-496B-BF6B-5E3FAD41A764}"/>
    <cellStyle name="Normal 2 4 3 3 3 4 2 3" xfId="12300" xr:uid="{9D1B39B9-55CF-4813-BB43-19485E19BAD8}"/>
    <cellStyle name="Normal 2 4 3 3 3 4 3" xfId="5934" xr:uid="{00000000-0005-0000-0000-000005100000}"/>
    <cellStyle name="Normal 2 4 3 3 3 4 3 2" xfId="14373" xr:uid="{6618952B-F76A-49A3-824B-7064BA2F4712}"/>
    <cellStyle name="Normal 2 4 3 3 3 4 4" xfId="10155" xr:uid="{2EF2D0FE-414F-490A-8905-480ECC2A00AB}"/>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1AE51C15-AA9A-4E49-9EFC-55E8715DF86E}"/>
    <cellStyle name="Normal 2 4 3 3 3 5 2 3" xfId="12713" xr:uid="{7C82A2C3-B24E-475E-A389-EC7E24D2B76F}"/>
    <cellStyle name="Normal 2 4 3 3 3 5 3" xfId="6347" xr:uid="{00000000-0005-0000-0000-000009100000}"/>
    <cellStyle name="Normal 2 4 3 3 3 5 3 2" xfId="14786" xr:uid="{057D0514-2743-435C-81C9-9E9D308E8B7F}"/>
    <cellStyle name="Normal 2 4 3 3 3 5 4" xfId="10568" xr:uid="{E4B8FAFF-E62E-48A0-AA8C-6122A08E7DB4}"/>
    <cellStyle name="Normal 2 4 3 3 3 6" xfId="2476" xr:uid="{00000000-0005-0000-0000-00000A100000}"/>
    <cellStyle name="Normal 2 4 3 3 3 6 2" xfId="6760" xr:uid="{00000000-0005-0000-0000-00000B100000}"/>
    <cellStyle name="Normal 2 4 3 3 3 6 2 2" xfId="15199" xr:uid="{8F6975C7-5C79-405D-96C6-CF11E8723C69}"/>
    <cellStyle name="Normal 2 4 3 3 3 6 3" xfId="10981" xr:uid="{3D2C8424-DF27-4E97-80A6-C05C6CBF692E}"/>
    <cellStyle name="Normal 2 4 3 3 3 7" xfId="4694" xr:uid="{00000000-0005-0000-0000-00000C100000}"/>
    <cellStyle name="Normal 2 4 3 3 3 7 2" xfId="13133" xr:uid="{1CE04DC4-2B73-4FB3-81BE-7A510C0DCD6F}"/>
    <cellStyle name="Normal 2 4 3 3 3 8" xfId="8915" xr:uid="{A7FB78AD-FC92-4203-A0AA-77F337B57AA8}"/>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406919E1-1042-45A4-A38B-61B9188D2D7C}"/>
    <cellStyle name="Normal 2 4 3 3 4 2 3" xfId="11471" xr:uid="{8C413C6C-DF6C-456C-91E9-B956786EF2CC}"/>
    <cellStyle name="Normal 2 4 3 3 4 3" xfId="5105" xr:uid="{00000000-0005-0000-0000-000010100000}"/>
    <cellStyle name="Normal 2 4 3 3 4 3 2" xfId="13544" xr:uid="{5133FE72-E691-426E-894C-18600EFBC1B9}"/>
    <cellStyle name="Normal 2 4 3 3 4 4" xfId="9326" xr:uid="{43AE5C5E-3461-4EFC-BBF8-E1D61D62BEC3}"/>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4294BF8B-47CB-4DAC-8295-1757DB967F89}"/>
    <cellStyle name="Normal 2 4 3 3 5 2 3" xfId="11884" xr:uid="{8941B545-F6D7-4B4D-A32B-C4C78CE96694}"/>
    <cellStyle name="Normal 2 4 3 3 5 3" xfId="5518" xr:uid="{00000000-0005-0000-0000-000014100000}"/>
    <cellStyle name="Normal 2 4 3 3 5 3 2" xfId="13957" xr:uid="{9D111103-4E07-4297-8346-8DC0A7D946AE}"/>
    <cellStyle name="Normal 2 4 3 3 5 4" xfId="9739" xr:uid="{186C8F6E-F61F-471C-973D-E9BA5AC9E01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16947D70-F155-4465-8B0B-9F6DEEF1053B}"/>
    <cellStyle name="Normal 2 4 3 3 6 2 3" xfId="12297" xr:uid="{DB74565E-47F5-44C3-9F71-E38B8C20C91E}"/>
    <cellStyle name="Normal 2 4 3 3 6 3" xfId="5931" xr:uid="{00000000-0005-0000-0000-000018100000}"/>
    <cellStyle name="Normal 2 4 3 3 6 3 2" xfId="14370" xr:uid="{9F8655F8-656F-411A-A053-98E9B7BF4199}"/>
    <cellStyle name="Normal 2 4 3 3 6 4" xfId="10152" xr:uid="{3150AB56-185B-43C4-9CDF-A5C337805F34}"/>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2E31687A-15EC-4A89-80A5-028624E65EA4}"/>
    <cellStyle name="Normal 2 4 3 3 7 2 3" xfId="12710" xr:uid="{A51F8E84-68F5-482B-9BB7-F80DB69C1C4A}"/>
    <cellStyle name="Normal 2 4 3 3 7 3" xfId="6344" xr:uid="{00000000-0005-0000-0000-00001C100000}"/>
    <cellStyle name="Normal 2 4 3 3 7 3 2" xfId="14783" xr:uid="{0B23EF02-0E4B-4DDB-929F-963DE02A28E3}"/>
    <cellStyle name="Normal 2 4 3 3 7 4" xfId="10565" xr:uid="{360EC003-5B9F-4837-A9BA-645E98FB7F34}"/>
    <cellStyle name="Normal 2 4 3 3 8" xfId="2473" xr:uid="{00000000-0005-0000-0000-00001D100000}"/>
    <cellStyle name="Normal 2 4 3 3 8 2" xfId="6757" xr:uid="{00000000-0005-0000-0000-00001E100000}"/>
    <cellStyle name="Normal 2 4 3 3 8 2 2" xfId="15196" xr:uid="{6A07E69A-4AD0-45DF-AE73-6259ADA52E8F}"/>
    <cellStyle name="Normal 2 4 3 3 8 3" xfId="10978" xr:uid="{DC1CA718-A1C3-4864-B6C8-DAD75F580A91}"/>
    <cellStyle name="Normal 2 4 3 3 9" xfId="4691" xr:uid="{00000000-0005-0000-0000-00001F100000}"/>
    <cellStyle name="Normal 2 4 3 3 9 2" xfId="13130" xr:uid="{D478FAA7-974A-43FC-877F-E75EEFA3B180}"/>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AE0D9947-C56C-4C19-92C3-B1BE7E6DFF89}"/>
    <cellStyle name="Normal 2 4 3 4 2 3" xfId="11470" xr:uid="{27077428-143D-4701-A606-53B872E1FD7D}"/>
    <cellStyle name="Normal 2 4 3 4 3" xfId="5104" xr:uid="{00000000-0005-0000-0000-000023100000}"/>
    <cellStyle name="Normal 2 4 3 4 3 2" xfId="13543" xr:uid="{2ECB7B40-BA3E-42AF-96E9-724FA77D45A4}"/>
    <cellStyle name="Normal 2 4 3 4 4" xfId="9325" xr:uid="{7607DE17-AFD8-4172-A6BE-4E3986F78C54}"/>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D30FA955-D447-4F82-97CB-D2C677AF59CE}"/>
    <cellStyle name="Normal 2 4 3 5 2 3" xfId="11883" xr:uid="{784D0A7F-DCF5-4D46-81AD-C73FE9180E2F}"/>
    <cellStyle name="Normal 2 4 3 5 3" xfId="5517" xr:uid="{00000000-0005-0000-0000-000027100000}"/>
    <cellStyle name="Normal 2 4 3 5 3 2" xfId="13956" xr:uid="{50EABE03-7D20-4C1A-B283-54945554103F}"/>
    <cellStyle name="Normal 2 4 3 5 4" xfId="9738" xr:uid="{5D5985E4-583E-45C1-A4FA-141A1AB6C67F}"/>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FFC4BF17-2263-4C25-A7DA-DBD20BFEF6E6}"/>
    <cellStyle name="Normal 2 4 3 6 2 3" xfId="12296" xr:uid="{8DDB351F-34A8-4DD5-88E2-C05AD5D5D290}"/>
    <cellStyle name="Normal 2 4 3 6 3" xfId="5930" xr:uid="{00000000-0005-0000-0000-00002B100000}"/>
    <cellStyle name="Normal 2 4 3 6 3 2" xfId="14369" xr:uid="{2A53C439-5C22-4734-BB24-EEE3F69F4484}"/>
    <cellStyle name="Normal 2 4 3 6 4" xfId="10151" xr:uid="{077C02F9-06D5-4C29-A553-E026027BEB0B}"/>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CF050511-495F-42C1-9F3D-A4D86513AF20}"/>
    <cellStyle name="Normal 2 4 3 7 2 3" xfId="12709" xr:uid="{F17F3046-F15E-4CE8-8BC5-8C0948505FEC}"/>
    <cellStyle name="Normal 2 4 3 7 3" xfId="6343" xr:uid="{00000000-0005-0000-0000-00002F100000}"/>
    <cellStyle name="Normal 2 4 3 7 3 2" xfId="14782" xr:uid="{951AD7DC-FC59-4C02-A456-7B890B5CAFBF}"/>
    <cellStyle name="Normal 2 4 3 7 4" xfId="10564" xr:uid="{31F0FE95-0F56-40AB-93CF-9E39E7C4A1CD}"/>
    <cellStyle name="Normal 2 4 3 8" xfId="2472" xr:uid="{00000000-0005-0000-0000-000030100000}"/>
    <cellStyle name="Normal 2 4 3 8 2" xfId="6756" xr:uid="{00000000-0005-0000-0000-000031100000}"/>
    <cellStyle name="Normal 2 4 3 8 2 2" xfId="15195" xr:uid="{2BCC9FAD-49B4-4B1C-9CCC-36435E29F4F8}"/>
    <cellStyle name="Normal 2 4 3 8 3" xfId="10977" xr:uid="{CE36D100-2612-4EEA-B5E5-9FDDD30745D9}"/>
    <cellStyle name="Normal 2 4 3 9" xfId="4690" xr:uid="{00000000-0005-0000-0000-000032100000}"/>
    <cellStyle name="Normal 2 4 3 9 2" xfId="13129" xr:uid="{0253F0C1-91BA-420D-8446-58B67D30FD9B}"/>
    <cellStyle name="Normal 2 4 4" xfId="302" xr:uid="{00000000-0005-0000-0000-000033100000}"/>
    <cellStyle name="Normal 2 4 5" xfId="303" xr:uid="{00000000-0005-0000-0000-000034100000}"/>
    <cellStyle name="Normal 2 4 5 10" xfId="4695" xr:uid="{00000000-0005-0000-0000-000035100000}"/>
    <cellStyle name="Normal 2 4 5 10 2" xfId="13134" xr:uid="{260E36CE-CC35-4ACB-BFD6-605480A90862}"/>
    <cellStyle name="Normal 2 4 5 11" xfId="8916" xr:uid="{A34374A8-9B6D-4394-BA5A-115EC3FF78E5}"/>
    <cellStyle name="Normal 2 4 5 2" xfId="304" xr:uid="{00000000-0005-0000-0000-000036100000}"/>
    <cellStyle name="Normal 2 4 5 2 10" xfId="8917" xr:uid="{D18C66E8-D052-4985-87FE-E4F91E761A3A}"/>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66B6DF86-A57B-49F8-9FFB-D17C12852AF3}"/>
    <cellStyle name="Normal 2 4 5 2 2 2 2 2 3" xfId="11478" xr:uid="{9C2CC04A-5047-44FC-90B3-9D14EA5A96F9}"/>
    <cellStyle name="Normal 2 4 5 2 2 2 2 3" xfId="5112" xr:uid="{00000000-0005-0000-0000-00003C100000}"/>
    <cellStyle name="Normal 2 4 5 2 2 2 2 3 2" xfId="13551" xr:uid="{1DDBC5D3-7A67-445D-AD18-7F8F59BBDA2F}"/>
    <cellStyle name="Normal 2 4 5 2 2 2 2 4" xfId="9333" xr:uid="{0AEF4121-6529-4DC4-83B1-E53825880F4C}"/>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80EB5395-396F-46F7-8E72-540E8083F9C1}"/>
    <cellStyle name="Normal 2 4 5 2 2 2 3 2 3" xfId="11891" xr:uid="{767A32C6-8216-40F7-94D5-7F44FEB4B170}"/>
    <cellStyle name="Normal 2 4 5 2 2 2 3 3" xfId="5525" xr:uid="{00000000-0005-0000-0000-000040100000}"/>
    <cellStyle name="Normal 2 4 5 2 2 2 3 3 2" xfId="13964" xr:uid="{7FF5FB46-33D7-4969-9A4D-CB5F30948E51}"/>
    <cellStyle name="Normal 2 4 5 2 2 2 3 4" xfId="9746" xr:uid="{5F86E8B2-A177-401C-BD8C-CC4BA9293E71}"/>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2F6D5513-4101-4680-861F-C2B97E373E58}"/>
    <cellStyle name="Normal 2 4 5 2 2 2 4 2 3" xfId="12304" xr:uid="{C2BD8C70-BB5E-4173-8629-D6354353C879}"/>
    <cellStyle name="Normal 2 4 5 2 2 2 4 3" xfId="5938" xr:uid="{00000000-0005-0000-0000-000044100000}"/>
    <cellStyle name="Normal 2 4 5 2 2 2 4 3 2" xfId="14377" xr:uid="{27A686EE-E493-4494-B933-98067E23DDDE}"/>
    <cellStyle name="Normal 2 4 5 2 2 2 4 4" xfId="10159" xr:uid="{6E38CC6E-DB62-48DF-A83A-74ACBC1F9F13}"/>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E75F404A-A379-4D85-AC71-EEC91976001C}"/>
    <cellStyle name="Normal 2 4 5 2 2 2 5 2 3" xfId="12717" xr:uid="{2921150B-0F54-44C8-8C2C-9DA211534E1F}"/>
    <cellStyle name="Normal 2 4 5 2 2 2 5 3" xfId="6351" xr:uid="{00000000-0005-0000-0000-000048100000}"/>
    <cellStyle name="Normal 2 4 5 2 2 2 5 3 2" xfId="14790" xr:uid="{9DF80F88-5C0C-41A5-B64B-8E2EEDD36B6B}"/>
    <cellStyle name="Normal 2 4 5 2 2 2 5 4" xfId="10572" xr:uid="{DC753C1E-E6FA-4346-8F32-86356067AC30}"/>
    <cellStyle name="Normal 2 4 5 2 2 2 6" xfId="2480" xr:uid="{00000000-0005-0000-0000-000049100000}"/>
    <cellStyle name="Normal 2 4 5 2 2 2 6 2" xfId="6764" xr:uid="{00000000-0005-0000-0000-00004A100000}"/>
    <cellStyle name="Normal 2 4 5 2 2 2 6 2 2" xfId="15203" xr:uid="{908573ED-19BC-42CE-A7BE-DECB7828EF20}"/>
    <cellStyle name="Normal 2 4 5 2 2 2 6 3" xfId="10985" xr:uid="{544499D5-FD22-4C58-995B-E3FBA668425F}"/>
    <cellStyle name="Normal 2 4 5 2 2 2 7" xfId="4698" xr:uid="{00000000-0005-0000-0000-00004B100000}"/>
    <cellStyle name="Normal 2 4 5 2 2 2 7 2" xfId="13137" xr:uid="{1BAB6D8B-9BC2-47EF-A60E-D8AEA4FF4E47}"/>
    <cellStyle name="Normal 2 4 5 2 2 2 8" xfId="8919" xr:uid="{4E6B194A-8902-4966-904B-7E6177ECBB83}"/>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8DF778BA-0108-4293-A3BF-9D25326A1C56}"/>
    <cellStyle name="Normal 2 4 5 2 2 3 2 3" xfId="11477" xr:uid="{EB70E230-3D90-4FBC-9191-5DAB08697366}"/>
    <cellStyle name="Normal 2 4 5 2 2 3 3" xfId="5111" xr:uid="{00000000-0005-0000-0000-00004F100000}"/>
    <cellStyle name="Normal 2 4 5 2 2 3 3 2" xfId="13550" xr:uid="{E7D704CA-8571-42CC-96D8-64E3204F1C16}"/>
    <cellStyle name="Normal 2 4 5 2 2 3 4" xfId="9332" xr:uid="{B7C1A6EE-49FD-4938-806E-AA33C5893058}"/>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329A6F5E-7EA2-4EDB-8244-89A5CC0F92CD}"/>
    <cellStyle name="Normal 2 4 5 2 2 4 2 3" xfId="11890" xr:uid="{BB4E9074-B158-45E3-BB49-3A23511B78AC}"/>
    <cellStyle name="Normal 2 4 5 2 2 4 3" xfId="5524" xr:uid="{00000000-0005-0000-0000-000053100000}"/>
    <cellStyle name="Normal 2 4 5 2 2 4 3 2" xfId="13963" xr:uid="{338804F7-8F6D-497E-A6CD-A8B7834A3897}"/>
    <cellStyle name="Normal 2 4 5 2 2 4 4" xfId="9745" xr:uid="{3BB366D0-9016-431E-ABF5-12FBBF93C31A}"/>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8D715972-59D4-49CF-A109-3A157EEB9E5F}"/>
    <cellStyle name="Normal 2 4 5 2 2 5 2 3" xfId="12303" xr:uid="{D2675374-D9D1-4CA9-B157-12C4EE11DBB6}"/>
    <cellStyle name="Normal 2 4 5 2 2 5 3" xfId="5937" xr:uid="{00000000-0005-0000-0000-000057100000}"/>
    <cellStyle name="Normal 2 4 5 2 2 5 3 2" xfId="14376" xr:uid="{525985BE-E7AD-43A5-9B13-644D80FF735F}"/>
    <cellStyle name="Normal 2 4 5 2 2 5 4" xfId="10158" xr:uid="{2CD57083-F356-4179-B50E-F5890440EF84}"/>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0B6637F9-39DE-4E50-B449-CEFD7EA23C7D}"/>
    <cellStyle name="Normal 2 4 5 2 2 6 2 3" xfId="12716" xr:uid="{6F450547-96DA-4F7F-B55B-FC50B4BC0966}"/>
    <cellStyle name="Normal 2 4 5 2 2 6 3" xfId="6350" xr:uid="{00000000-0005-0000-0000-00005B100000}"/>
    <cellStyle name="Normal 2 4 5 2 2 6 3 2" xfId="14789" xr:uid="{8E313050-0B61-4E2C-A3A1-1DDA5BC63C17}"/>
    <cellStyle name="Normal 2 4 5 2 2 6 4" xfId="10571" xr:uid="{D8280B56-5CFD-45F6-B38D-9BEBAD5A3238}"/>
    <cellStyle name="Normal 2 4 5 2 2 7" xfId="2479" xr:uid="{00000000-0005-0000-0000-00005C100000}"/>
    <cellStyle name="Normal 2 4 5 2 2 7 2" xfId="6763" xr:uid="{00000000-0005-0000-0000-00005D100000}"/>
    <cellStyle name="Normal 2 4 5 2 2 7 2 2" xfId="15202" xr:uid="{EB2DEB6F-6915-4CB8-A2A2-54D773EB4D84}"/>
    <cellStyle name="Normal 2 4 5 2 2 7 3" xfId="10984" xr:uid="{DA15DE32-7E34-4834-BC34-B47B914DA903}"/>
    <cellStyle name="Normal 2 4 5 2 2 8" xfId="4697" xr:uid="{00000000-0005-0000-0000-00005E100000}"/>
    <cellStyle name="Normal 2 4 5 2 2 8 2" xfId="13136" xr:uid="{EA600EE7-49F3-4436-A7A6-F96D75A972F5}"/>
    <cellStyle name="Normal 2 4 5 2 2 9" xfId="8918" xr:uid="{122B16DD-7D7A-48AD-820F-862EAC141FD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D56B1F24-E2B6-4967-9664-8A68918C421F}"/>
    <cellStyle name="Normal 2 4 5 2 3 2 2 3" xfId="11479" xr:uid="{CBB945EC-F82D-42D8-A930-DE66EB491224}"/>
    <cellStyle name="Normal 2 4 5 2 3 2 3" xfId="5113" xr:uid="{00000000-0005-0000-0000-000063100000}"/>
    <cellStyle name="Normal 2 4 5 2 3 2 3 2" xfId="13552" xr:uid="{48E62B63-42B8-4462-B0F4-247068F1461F}"/>
    <cellStyle name="Normal 2 4 5 2 3 2 4" xfId="9334" xr:uid="{1B9164DB-A9B6-456D-B6B5-14E68363DF16}"/>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F4B3A731-41CE-4554-AAF9-663ED6FFB6B3}"/>
    <cellStyle name="Normal 2 4 5 2 3 3 2 3" xfId="11892" xr:uid="{A9902706-6A51-4290-8E3F-8EF93EEF5AA3}"/>
    <cellStyle name="Normal 2 4 5 2 3 3 3" xfId="5526" xr:uid="{00000000-0005-0000-0000-000067100000}"/>
    <cellStyle name="Normal 2 4 5 2 3 3 3 2" xfId="13965" xr:uid="{D00A3E53-3085-43B7-B161-0ACDB5540482}"/>
    <cellStyle name="Normal 2 4 5 2 3 3 4" xfId="9747" xr:uid="{D2B46730-981A-4100-9422-6DC3EBB3F00B}"/>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1791AE22-0822-410A-8F6C-14630BA42E0F}"/>
    <cellStyle name="Normal 2 4 5 2 3 4 2 3" xfId="12305" xr:uid="{05545EF4-9D63-49D4-9E5B-92255D674FEB}"/>
    <cellStyle name="Normal 2 4 5 2 3 4 3" xfId="5939" xr:uid="{00000000-0005-0000-0000-00006B100000}"/>
    <cellStyle name="Normal 2 4 5 2 3 4 3 2" xfId="14378" xr:uid="{10961860-5D87-4E84-8EAD-F8B07954E253}"/>
    <cellStyle name="Normal 2 4 5 2 3 4 4" xfId="10160" xr:uid="{57C0F029-6A72-4705-B6AA-CDE349C5CE0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118190FE-14B9-4D5C-B308-871D7D0B74FC}"/>
    <cellStyle name="Normal 2 4 5 2 3 5 2 3" xfId="12718" xr:uid="{DE1BDDF3-826F-43FE-917C-0C5F0F19CFB3}"/>
    <cellStyle name="Normal 2 4 5 2 3 5 3" xfId="6352" xr:uid="{00000000-0005-0000-0000-00006F100000}"/>
    <cellStyle name="Normal 2 4 5 2 3 5 3 2" xfId="14791" xr:uid="{45ECC926-1008-4E95-B4D9-216881856131}"/>
    <cellStyle name="Normal 2 4 5 2 3 5 4" xfId="10573" xr:uid="{D5084E8F-2C25-436C-A516-7067665DD247}"/>
    <cellStyle name="Normal 2 4 5 2 3 6" xfId="2481" xr:uid="{00000000-0005-0000-0000-000070100000}"/>
    <cellStyle name="Normal 2 4 5 2 3 6 2" xfId="6765" xr:uid="{00000000-0005-0000-0000-000071100000}"/>
    <cellStyle name="Normal 2 4 5 2 3 6 2 2" xfId="15204" xr:uid="{D01138D9-C1B5-477A-87A1-C1073D640E0E}"/>
    <cellStyle name="Normal 2 4 5 2 3 6 3" xfId="10986" xr:uid="{E29F4091-8F21-490C-B36C-3052F27AB024}"/>
    <cellStyle name="Normal 2 4 5 2 3 7" xfId="4699" xr:uid="{00000000-0005-0000-0000-000072100000}"/>
    <cellStyle name="Normal 2 4 5 2 3 7 2" xfId="13138" xr:uid="{89ED566A-644D-4894-B0C1-C58793995072}"/>
    <cellStyle name="Normal 2 4 5 2 3 8" xfId="8920" xr:uid="{86768AB5-4CCD-4F63-82F5-546062AAB155}"/>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4A60C033-0778-4639-BE5B-53EF4FAF7225}"/>
    <cellStyle name="Normal 2 4 5 2 4 2 3" xfId="11476" xr:uid="{90E54397-7BE0-4252-B281-9AB888936BE9}"/>
    <cellStyle name="Normal 2 4 5 2 4 3" xfId="5110" xr:uid="{00000000-0005-0000-0000-000076100000}"/>
    <cellStyle name="Normal 2 4 5 2 4 3 2" xfId="13549" xr:uid="{3D2D10F6-348D-436B-8636-81AE84FDA5CD}"/>
    <cellStyle name="Normal 2 4 5 2 4 4" xfId="9331" xr:uid="{A88B7008-3E43-46E8-98C5-BAF7D5D309EE}"/>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8632554D-310F-4FA9-A108-2EEEFC02FE27}"/>
    <cellStyle name="Normal 2 4 5 2 5 2 3" xfId="11889" xr:uid="{E4AFB6D7-8939-4614-85A7-387135FA385D}"/>
    <cellStyle name="Normal 2 4 5 2 5 3" xfId="5523" xr:uid="{00000000-0005-0000-0000-00007A100000}"/>
    <cellStyle name="Normal 2 4 5 2 5 3 2" xfId="13962" xr:uid="{42F128DD-4C7D-4EBF-99C3-9A38DABFD7E9}"/>
    <cellStyle name="Normal 2 4 5 2 5 4" xfId="9744" xr:uid="{911D6153-4FAE-4681-8F99-A5695E87E83F}"/>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63E5D16F-B5DD-4D1B-BC51-4CBBF7209FA8}"/>
    <cellStyle name="Normal 2 4 5 2 6 2 3" xfId="12302" xr:uid="{8068827D-F6AD-4E2F-BCBC-174603438D71}"/>
    <cellStyle name="Normal 2 4 5 2 6 3" xfId="5936" xr:uid="{00000000-0005-0000-0000-00007E100000}"/>
    <cellStyle name="Normal 2 4 5 2 6 3 2" xfId="14375" xr:uid="{6AA33A73-8855-44FB-BDFC-168288D737AF}"/>
    <cellStyle name="Normal 2 4 5 2 6 4" xfId="10157" xr:uid="{87C010AA-0E1E-4A1D-BEFB-F615F7B6B35D}"/>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D78391DB-1640-4A7A-9BC6-807DDFD9CCC2}"/>
    <cellStyle name="Normal 2 4 5 2 7 2 3" xfId="12715" xr:uid="{3FF5604B-DED0-499F-B397-A7E4DF39B59F}"/>
    <cellStyle name="Normal 2 4 5 2 7 3" xfId="6349" xr:uid="{00000000-0005-0000-0000-000082100000}"/>
    <cellStyle name="Normal 2 4 5 2 7 3 2" xfId="14788" xr:uid="{9C07C4C2-31B8-42A6-8CDC-B3B4AA76DD1E}"/>
    <cellStyle name="Normal 2 4 5 2 7 4" xfId="10570" xr:uid="{A2D287D2-40B6-4336-92D7-B8D1F26516ED}"/>
    <cellStyle name="Normal 2 4 5 2 8" xfId="2478" xr:uid="{00000000-0005-0000-0000-000083100000}"/>
    <cellStyle name="Normal 2 4 5 2 8 2" xfId="6762" xr:uid="{00000000-0005-0000-0000-000084100000}"/>
    <cellStyle name="Normal 2 4 5 2 8 2 2" xfId="15201" xr:uid="{B05FBFC3-A294-432F-92EB-DA31B79185B7}"/>
    <cellStyle name="Normal 2 4 5 2 8 3" xfId="10983" xr:uid="{83844EDC-4853-4791-9A53-25F1A6AD6AFD}"/>
    <cellStyle name="Normal 2 4 5 2 9" xfId="4696" xr:uid="{00000000-0005-0000-0000-000085100000}"/>
    <cellStyle name="Normal 2 4 5 2 9 2" xfId="13135" xr:uid="{0F472B33-9793-4480-95E1-784A98FAA37E}"/>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11A99BE4-ECA1-4F4B-A5B7-15F99BCEFFE6}"/>
    <cellStyle name="Normal 2 4 5 3 2 2 2 3" xfId="11481" xr:uid="{6ADFD0BD-6077-408B-AC79-1FA2AA85023A}"/>
    <cellStyle name="Normal 2 4 5 3 2 2 3" xfId="5115" xr:uid="{00000000-0005-0000-0000-00008B100000}"/>
    <cellStyle name="Normal 2 4 5 3 2 2 3 2" xfId="13554" xr:uid="{B1A37C11-A211-438A-B7D3-F62BA0F95977}"/>
    <cellStyle name="Normal 2 4 5 3 2 2 4" xfId="9336" xr:uid="{FDC7CFEB-2B58-48EA-A8F3-AB608EFC8CC4}"/>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6BA422AD-9FBB-4F00-9B70-638536D28BE4}"/>
    <cellStyle name="Normal 2 4 5 3 2 3 2 3" xfId="11894" xr:uid="{83E03F10-4D2C-474C-974E-7644C1BAFED1}"/>
    <cellStyle name="Normal 2 4 5 3 2 3 3" xfId="5528" xr:uid="{00000000-0005-0000-0000-00008F100000}"/>
    <cellStyle name="Normal 2 4 5 3 2 3 3 2" xfId="13967" xr:uid="{9EADEB3A-1A81-4F47-8B56-85115C7963C4}"/>
    <cellStyle name="Normal 2 4 5 3 2 3 4" xfId="9749" xr:uid="{E497D316-7691-48B0-8477-ACCAF6F52DD8}"/>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CAB48B1E-E0F2-4229-91E2-D0EB6E607B15}"/>
    <cellStyle name="Normal 2 4 5 3 2 4 2 3" xfId="12307" xr:uid="{5F85926F-05CE-44EB-81B8-038A241D5BCF}"/>
    <cellStyle name="Normal 2 4 5 3 2 4 3" xfId="5941" xr:uid="{00000000-0005-0000-0000-000093100000}"/>
    <cellStyle name="Normal 2 4 5 3 2 4 3 2" xfId="14380" xr:uid="{22CF4AA2-DF00-4E02-9B7C-BC45A2402596}"/>
    <cellStyle name="Normal 2 4 5 3 2 4 4" xfId="10162" xr:uid="{F5969773-D593-4666-B63A-C523E568D12C}"/>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D868058C-D0B4-4037-B6C6-598C2D12E316}"/>
    <cellStyle name="Normal 2 4 5 3 2 5 2 3" xfId="12720" xr:uid="{395ABFE4-5089-478C-806B-37D0FAF056B9}"/>
    <cellStyle name="Normal 2 4 5 3 2 5 3" xfId="6354" xr:uid="{00000000-0005-0000-0000-000097100000}"/>
    <cellStyle name="Normal 2 4 5 3 2 5 3 2" xfId="14793" xr:uid="{7BB43556-8834-42A2-BEB3-DF5AB8045E50}"/>
    <cellStyle name="Normal 2 4 5 3 2 5 4" xfId="10575" xr:uid="{5D091491-BA23-40E7-BF61-90AA9CCBB9CF}"/>
    <cellStyle name="Normal 2 4 5 3 2 6" xfId="2483" xr:uid="{00000000-0005-0000-0000-000098100000}"/>
    <cellStyle name="Normal 2 4 5 3 2 6 2" xfId="6767" xr:uid="{00000000-0005-0000-0000-000099100000}"/>
    <cellStyle name="Normal 2 4 5 3 2 6 2 2" xfId="15206" xr:uid="{17642F3C-4895-45DE-9C4A-17072B1CE0A2}"/>
    <cellStyle name="Normal 2 4 5 3 2 6 3" xfId="10988" xr:uid="{66917E12-50D8-4891-B696-9F8D7E486E4D}"/>
    <cellStyle name="Normal 2 4 5 3 2 7" xfId="4701" xr:uid="{00000000-0005-0000-0000-00009A100000}"/>
    <cellStyle name="Normal 2 4 5 3 2 7 2" xfId="13140" xr:uid="{23B9BB35-B33E-41B4-AD18-1A948BE01069}"/>
    <cellStyle name="Normal 2 4 5 3 2 8" xfId="8922" xr:uid="{C8F15012-8B5A-4B7B-81F1-25722BD70368}"/>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652981DF-C075-4BD2-AD58-EC99B9EA1D85}"/>
    <cellStyle name="Normal 2 4 5 3 3 2 3" xfId="11480" xr:uid="{024F97CE-0FDF-427B-96CC-07D370961BB7}"/>
    <cellStyle name="Normal 2 4 5 3 3 3" xfId="5114" xr:uid="{00000000-0005-0000-0000-00009E100000}"/>
    <cellStyle name="Normal 2 4 5 3 3 3 2" xfId="13553" xr:uid="{125AD6D7-C014-4FA9-A561-CA21BFC4A577}"/>
    <cellStyle name="Normal 2 4 5 3 3 4" xfId="9335" xr:uid="{E0833842-1372-4631-892A-A1025676CDF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586EFBB1-BB37-4208-9A52-66181CB662D2}"/>
    <cellStyle name="Normal 2 4 5 3 4 2 3" xfId="11893" xr:uid="{8CCFD5C5-1B2F-4EA3-BABC-C5F57E827834}"/>
    <cellStyle name="Normal 2 4 5 3 4 3" xfId="5527" xr:uid="{00000000-0005-0000-0000-0000A2100000}"/>
    <cellStyle name="Normal 2 4 5 3 4 3 2" xfId="13966" xr:uid="{C766B62E-ED45-4437-9F75-5C0946621452}"/>
    <cellStyle name="Normal 2 4 5 3 4 4" xfId="9748" xr:uid="{354FF427-D3B3-41F9-8349-CE5EC36B4261}"/>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7E0AFABB-626F-422A-9297-A5B0E684497B}"/>
    <cellStyle name="Normal 2 4 5 3 5 2 3" xfId="12306" xr:uid="{E4E8228F-A230-496B-986F-83A9B3C496AD}"/>
    <cellStyle name="Normal 2 4 5 3 5 3" xfId="5940" xr:uid="{00000000-0005-0000-0000-0000A6100000}"/>
    <cellStyle name="Normal 2 4 5 3 5 3 2" xfId="14379" xr:uid="{55F33F24-2845-4BCD-A657-D40E1C58EC1B}"/>
    <cellStyle name="Normal 2 4 5 3 5 4" xfId="10161" xr:uid="{7EB7EDE4-3EF0-4A09-846B-7D44AB27CBE6}"/>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4AED0962-4BF7-4BCC-9E96-3ABA6FB1DAB0}"/>
    <cellStyle name="Normal 2 4 5 3 6 2 3" xfId="12719" xr:uid="{2D060048-5809-4BE8-BBFD-57FCC204B132}"/>
    <cellStyle name="Normal 2 4 5 3 6 3" xfId="6353" xr:uid="{00000000-0005-0000-0000-0000AA100000}"/>
    <cellStyle name="Normal 2 4 5 3 6 3 2" xfId="14792" xr:uid="{F9C5596C-88EB-48E0-90E0-1CE04C303EAD}"/>
    <cellStyle name="Normal 2 4 5 3 6 4" xfId="10574" xr:uid="{3CE8DA19-0439-4B81-8E43-E5A37D2B2CD3}"/>
    <cellStyle name="Normal 2 4 5 3 7" xfId="2482" xr:uid="{00000000-0005-0000-0000-0000AB100000}"/>
    <cellStyle name="Normal 2 4 5 3 7 2" xfId="6766" xr:uid="{00000000-0005-0000-0000-0000AC100000}"/>
    <cellStyle name="Normal 2 4 5 3 7 2 2" xfId="15205" xr:uid="{84BD3BC4-A976-4599-8DA4-FF5C5FC1E595}"/>
    <cellStyle name="Normal 2 4 5 3 7 3" xfId="10987" xr:uid="{815A2340-8038-4027-9378-E388A866D683}"/>
    <cellStyle name="Normal 2 4 5 3 8" xfId="4700" xr:uid="{00000000-0005-0000-0000-0000AD100000}"/>
    <cellStyle name="Normal 2 4 5 3 8 2" xfId="13139" xr:uid="{DBC8A340-5237-4EFE-8F74-E8EAE6C085ED}"/>
    <cellStyle name="Normal 2 4 5 3 9" xfId="8921" xr:uid="{D9346605-48B6-4CB7-92CB-D96A2CC439F3}"/>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E8964DD6-7F30-419F-AF19-BEBA328D287B}"/>
    <cellStyle name="Normal 2 4 5 4 2 2 3" xfId="11482" xr:uid="{109B84A3-FC39-4ACB-9C92-A00AAC97FC4A}"/>
    <cellStyle name="Normal 2 4 5 4 2 3" xfId="5116" xr:uid="{00000000-0005-0000-0000-0000B2100000}"/>
    <cellStyle name="Normal 2 4 5 4 2 3 2" xfId="13555" xr:uid="{8E898254-B16B-454C-9C33-6169E1376774}"/>
    <cellStyle name="Normal 2 4 5 4 2 4" xfId="9337" xr:uid="{EF15FDB1-6C01-4C72-B325-E2822128993E}"/>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5917E829-C0BD-4226-94C6-5EE2601F7B45}"/>
    <cellStyle name="Normal 2 4 5 4 3 2 3" xfId="11895" xr:uid="{82A0E785-B338-4579-A988-0DF4F60F2F87}"/>
    <cellStyle name="Normal 2 4 5 4 3 3" xfId="5529" xr:uid="{00000000-0005-0000-0000-0000B6100000}"/>
    <cellStyle name="Normal 2 4 5 4 3 3 2" xfId="13968" xr:uid="{6FA4589D-8DD4-4360-8F5D-29A31EA3F26D}"/>
    <cellStyle name="Normal 2 4 5 4 3 4" xfId="9750" xr:uid="{CE0C9735-FD77-418C-86FC-113161E13208}"/>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39A8C4B0-928E-4918-BCB0-E9C7B297A45B}"/>
    <cellStyle name="Normal 2 4 5 4 4 2 3" xfId="12308" xr:uid="{E45A5E4B-8C94-4741-AFC0-D8F6DCB93690}"/>
    <cellStyle name="Normal 2 4 5 4 4 3" xfId="5942" xr:uid="{00000000-0005-0000-0000-0000BA100000}"/>
    <cellStyle name="Normal 2 4 5 4 4 3 2" xfId="14381" xr:uid="{48113396-9BB2-4342-9BB9-B5AFE7CADFAC}"/>
    <cellStyle name="Normal 2 4 5 4 4 4" xfId="10163" xr:uid="{95BF4C0C-5766-4D58-A875-79A33072531D}"/>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1AB30E1B-AD29-4699-A97E-8A938670B7FA}"/>
    <cellStyle name="Normal 2 4 5 4 5 2 3" xfId="12721" xr:uid="{773271B7-C16D-4905-8742-9C66682E7093}"/>
    <cellStyle name="Normal 2 4 5 4 5 3" xfId="6355" xr:uid="{00000000-0005-0000-0000-0000BE100000}"/>
    <cellStyle name="Normal 2 4 5 4 5 3 2" xfId="14794" xr:uid="{2409CA59-DC2E-4D1D-BA20-D124282EB6E5}"/>
    <cellStyle name="Normal 2 4 5 4 5 4" xfId="10576" xr:uid="{56F4BCF4-C1BF-4D94-9885-C6DFE0850FA3}"/>
    <cellStyle name="Normal 2 4 5 4 6" xfId="2484" xr:uid="{00000000-0005-0000-0000-0000BF100000}"/>
    <cellStyle name="Normal 2 4 5 4 6 2" xfId="6768" xr:uid="{00000000-0005-0000-0000-0000C0100000}"/>
    <cellStyle name="Normal 2 4 5 4 6 2 2" xfId="15207" xr:uid="{598E9E6C-C83D-4ABB-B691-616749CE0F74}"/>
    <cellStyle name="Normal 2 4 5 4 6 3" xfId="10989" xr:uid="{8579B8E3-36E5-46A6-BDA7-F46272AF26A0}"/>
    <cellStyle name="Normal 2 4 5 4 7" xfId="4702" xr:uid="{00000000-0005-0000-0000-0000C1100000}"/>
    <cellStyle name="Normal 2 4 5 4 7 2" xfId="13141" xr:uid="{062200AF-4099-4816-ADD9-3E84AC59F959}"/>
    <cellStyle name="Normal 2 4 5 4 8" xfId="8923" xr:uid="{C4CC010F-1DDB-4F7D-A101-6536A597F280}"/>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4C31A739-693F-4815-9444-6D1FCF23D670}"/>
    <cellStyle name="Normal 2 4 5 5 2 3" xfId="11475" xr:uid="{950C71E6-FBD9-4BF6-8271-43070DC05865}"/>
    <cellStyle name="Normal 2 4 5 5 3" xfId="5109" xr:uid="{00000000-0005-0000-0000-0000C5100000}"/>
    <cellStyle name="Normal 2 4 5 5 3 2" xfId="13548" xr:uid="{EF60B929-D957-4BB1-B8EC-B01C0BABAC83}"/>
    <cellStyle name="Normal 2 4 5 5 4" xfId="9330" xr:uid="{44BE43DF-7A8D-4BD8-9B96-1AD836C4D38B}"/>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FB146D5C-56AD-4CAC-AF74-D3FCC4084350}"/>
    <cellStyle name="Normal 2 4 5 6 2 3" xfId="11888" xr:uid="{79AF0CE4-C518-4C65-ADE6-E3909D35DF15}"/>
    <cellStyle name="Normal 2 4 5 6 3" xfId="5522" xr:uid="{00000000-0005-0000-0000-0000C9100000}"/>
    <cellStyle name="Normal 2 4 5 6 3 2" xfId="13961" xr:uid="{4E9C612C-66F1-444A-A722-24414AF1891A}"/>
    <cellStyle name="Normal 2 4 5 6 4" xfId="9743" xr:uid="{88B80B2D-EA98-4277-9D70-23BA37A57160}"/>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8D16730B-282B-454F-8736-12795A4A07C4}"/>
    <cellStyle name="Normal 2 4 5 7 2 3" xfId="12301" xr:uid="{C67B240E-33F3-4DB9-BA0F-5C50549E15CC}"/>
    <cellStyle name="Normal 2 4 5 7 3" xfId="5935" xr:uid="{00000000-0005-0000-0000-0000CD100000}"/>
    <cellStyle name="Normal 2 4 5 7 3 2" xfId="14374" xr:uid="{8B247FE6-507E-400A-B9E2-3EE073CCFDE8}"/>
    <cellStyle name="Normal 2 4 5 7 4" xfId="10156" xr:uid="{83BC5125-2E55-4C13-A76E-27A1493947A7}"/>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B5EE6E7B-0357-4E2B-BDA8-995CBE68C37B}"/>
    <cellStyle name="Normal 2 4 5 8 2 3" xfId="12714" xr:uid="{D686AFCF-A59D-4CC5-BE64-7C4F57845B96}"/>
    <cellStyle name="Normal 2 4 5 8 3" xfId="6348" xr:uid="{00000000-0005-0000-0000-0000D1100000}"/>
    <cellStyle name="Normal 2 4 5 8 3 2" xfId="14787" xr:uid="{625FC84A-5435-47CA-B1A5-EE917EB884A6}"/>
    <cellStyle name="Normal 2 4 5 8 4" xfId="10569" xr:uid="{AD19A204-6173-4F9D-86C3-94490172D7B5}"/>
    <cellStyle name="Normal 2 4 5 9" xfId="2477" xr:uid="{00000000-0005-0000-0000-0000D2100000}"/>
    <cellStyle name="Normal 2 4 5 9 2" xfId="6761" xr:uid="{00000000-0005-0000-0000-0000D3100000}"/>
    <cellStyle name="Normal 2 4 5 9 2 2" xfId="15200" xr:uid="{11AE05E4-6888-49B1-BC7A-D86D18E1DB07}"/>
    <cellStyle name="Normal 2 4 5 9 3" xfId="10982" xr:uid="{1F12393A-E01C-49FE-964F-BAFD1CB14E13}"/>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69BA51C3-2A92-49DC-BE71-7011B29E1310}"/>
    <cellStyle name="Normal 2 4 7 2 2 2 3" xfId="11484" xr:uid="{A22561FE-EB5A-4A95-8616-76DC996EFD99}"/>
    <cellStyle name="Normal 2 4 7 2 2 3" xfId="5118" xr:uid="{00000000-0005-0000-0000-0000DA100000}"/>
    <cellStyle name="Normal 2 4 7 2 2 3 2" xfId="13557" xr:uid="{50D875C1-0CD8-4E3F-97CF-B9349E52B3D3}"/>
    <cellStyle name="Normal 2 4 7 2 2 4" xfId="9339" xr:uid="{0BDB6723-ADC7-4D7F-BC58-6F5B1A05B8A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6ACE3EC4-9E2B-4595-96C1-6949CD95745F}"/>
    <cellStyle name="Normal 2 4 7 2 3 2 3" xfId="11897" xr:uid="{C8DD560E-6712-49CB-BDFD-A86D4557F771}"/>
    <cellStyle name="Normal 2 4 7 2 3 3" xfId="5531" xr:uid="{00000000-0005-0000-0000-0000DE100000}"/>
    <cellStyle name="Normal 2 4 7 2 3 3 2" xfId="13970" xr:uid="{21F66445-F7D9-4D39-9D53-39C7BC674069}"/>
    <cellStyle name="Normal 2 4 7 2 3 4" xfId="9752" xr:uid="{DD275CAF-6827-47CB-957B-34FD0894207F}"/>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3E3086D6-1624-4AF4-82DD-83B24562F260}"/>
    <cellStyle name="Normal 2 4 7 2 4 2 3" xfId="12310" xr:uid="{93D5DFFE-456A-4477-B6E3-55B7FDBDF0F9}"/>
    <cellStyle name="Normal 2 4 7 2 4 3" xfId="5944" xr:uid="{00000000-0005-0000-0000-0000E2100000}"/>
    <cellStyle name="Normal 2 4 7 2 4 3 2" xfId="14383" xr:uid="{54F4BF20-CA43-4D94-8138-A3DF99F87848}"/>
    <cellStyle name="Normal 2 4 7 2 4 4" xfId="10165" xr:uid="{E414569F-0583-4993-A23B-3E8353F574A6}"/>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7D2210B0-DD4F-4C39-9E8D-ECB05F746AF0}"/>
    <cellStyle name="Normal 2 4 7 2 5 2 3" xfId="12723" xr:uid="{A35E1B57-8048-4C03-ABD7-B7CA231465CC}"/>
    <cellStyle name="Normal 2 4 7 2 5 3" xfId="6357" xr:uid="{00000000-0005-0000-0000-0000E6100000}"/>
    <cellStyle name="Normal 2 4 7 2 5 3 2" xfId="14796" xr:uid="{10B04761-2770-4632-97A3-8B1C55199A50}"/>
    <cellStyle name="Normal 2 4 7 2 5 4" xfId="10578" xr:uid="{C7585AB2-CA9B-4E78-AB06-1DA4EC8222E5}"/>
    <cellStyle name="Normal 2 4 7 2 6" xfId="2486" xr:uid="{00000000-0005-0000-0000-0000E7100000}"/>
    <cellStyle name="Normal 2 4 7 2 6 2" xfId="6770" xr:uid="{00000000-0005-0000-0000-0000E8100000}"/>
    <cellStyle name="Normal 2 4 7 2 6 2 2" xfId="15209" xr:uid="{1F55A68C-E615-4411-8FFC-AB9DC161DF2C}"/>
    <cellStyle name="Normal 2 4 7 2 6 3" xfId="10991" xr:uid="{2698902C-0F1B-4C08-A670-7DCD32F53F33}"/>
    <cellStyle name="Normal 2 4 7 2 7" xfId="4704" xr:uid="{00000000-0005-0000-0000-0000E9100000}"/>
    <cellStyle name="Normal 2 4 7 2 7 2" xfId="13143" xr:uid="{9D2F3DF2-300E-4CDB-9A93-FDCA0B455172}"/>
    <cellStyle name="Normal 2 4 7 2 8" xfId="8925" xr:uid="{F7615FFF-B813-4855-8014-1E26D2969187}"/>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7E708DFD-259E-4EAC-A549-55A0F873BF9F}"/>
    <cellStyle name="Normal 2 4 7 3 2 3" xfId="11483" xr:uid="{18272E00-500B-41B9-BC92-6212DB5B2B18}"/>
    <cellStyle name="Normal 2 4 7 3 3" xfId="5117" xr:uid="{00000000-0005-0000-0000-0000ED100000}"/>
    <cellStyle name="Normal 2 4 7 3 3 2" xfId="13556" xr:uid="{3CCBC8AB-A101-4960-8F30-5E3C97599E35}"/>
    <cellStyle name="Normal 2 4 7 3 4" xfId="9338" xr:uid="{A58AB6F3-7F3B-4FEC-93C7-E1517AF2BE27}"/>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0204B335-8BA9-4BE4-8329-34DB3D1CAB74}"/>
    <cellStyle name="Normal 2 4 7 4 2 3" xfId="11896" xr:uid="{FA67267B-C513-4C88-ADF1-C6E2E26627C4}"/>
    <cellStyle name="Normal 2 4 7 4 3" xfId="5530" xr:uid="{00000000-0005-0000-0000-0000F1100000}"/>
    <cellStyle name="Normal 2 4 7 4 3 2" xfId="13969" xr:uid="{74925DBA-CADC-4958-AA07-8A2ED5E282CB}"/>
    <cellStyle name="Normal 2 4 7 4 4" xfId="9751" xr:uid="{0AF5D17E-80D6-4E02-A727-CC22CE8B048E}"/>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411391F6-2EC8-4241-8BC7-972653DD82DE}"/>
    <cellStyle name="Normal 2 4 7 5 2 3" xfId="12309" xr:uid="{F6D4B07A-4806-474A-ACDD-CBBE2C39897A}"/>
    <cellStyle name="Normal 2 4 7 5 3" xfId="5943" xr:uid="{00000000-0005-0000-0000-0000F5100000}"/>
    <cellStyle name="Normal 2 4 7 5 3 2" xfId="14382" xr:uid="{4BE4C4DB-F508-459C-B26D-581A7A7E050E}"/>
    <cellStyle name="Normal 2 4 7 5 4" xfId="10164" xr:uid="{41C59A6F-6AF0-4D23-BA05-4C54B5D720D5}"/>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EB451323-0C9F-4053-AA85-3529012BDF70}"/>
    <cellStyle name="Normal 2 4 7 6 2 3" xfId="12722" xr:uid="{BD755268-3D86-4B70-8E52-173D9CC0CDE9}"/>
    <cellStyle name="Normal 2 4 7 6 3" xfId="6356" xr:uid="{00000000-0005-0000-0000-0000F9100000}"/>
    <cellStyle name="Normal 2 4 7 6 3 2" xfId="14795" xr:uid="{D1ABC073-0EC6-4235-9744-45882340F3E3}"/>
    <cellStyle name="Normal 2 4 7 6 4" xfId="10577" xr:uid="{5248EC73-68CA-445B-9705-C9478CF4462E}"/>
    <cellStyle name="Normal 2 4 7 7" xfId="2485" xr:uid="{00000000-0005-0000-0000-0000FA100000}"/>
    <cellStyle name="Normal 2 4 7 7 2" xfId="6769" xr:uid="{00000000-0005-0000-0000-0000FB100000}"/>
    <cellStyle name="Normal 2 4 7 7 2 2" xfId="15208" xr:uid="{4947C090-0273-489E-B5D0-45E2D06ECF5C}"/>
    <cellStyle name="Normal 2 4 7 7 3" xfId="10990" xr:uid="{3DFE31DA-1DC0-40CB-88BB-90C2ACA09272}"/>
    <cellStyle name="Normal 2 4 7 8" xfId="4703" xr:uid="{00000000-0005-0000-0000-0000FC100000}"/>
    <cellStyle name="Normal 2 4 7 8 2" xfId="13142" xr:uid="{660E9436-23E8-453B-9B55-1E2A749CFF61}"/>
    <cellStyle name="Normal 2 4 7 9" xfId="8924" xr:uid="{23487E71-3EED-499E-BC53-4AB3C6A208C5}"/>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DCC43318-0807-46F3-9B59-802F21C58C69}"/>
    <cellStyle name="Normal 2 4 8 2 2 3" xfId="11485" xr:uid="{D0933C39-1188-48F9-8994-19E4C61108CE}"/>
    <cellStyle name="Normal 2 4 8 2 3" xfId="5119" xr:uid="{00000000-0005-0000-0000-000001110000}"/>
    <cellStyle name="Normal 2 4 8 2 3 2" xfId="13558" xr:uid="{F9349124-7D6F-40C1-8767-3BFF0DDAC335}"/>
    <cellStyle name="Normal 2 4 8 2 4" xfId="9340" xr:uid="{3396D76E-7DDA-4FBF-9E1B-49317C81B59D}"/>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FB186070-166D-4743-9302-E10F22FD3C5A}"/>
    <cellStyle name="Normal 2 4 8 3 2 3" xfId="11898" xr:uid="{9366EDF0-0991-4F55-8342-40770FFBD70D}"/>
    <cellStyle name="Normal 2 4 8 3 3" xfId="5532" xr:uid="{00000000-0005-0000-0000-000005110000}"/>
    <cellStyle name="Normal 2 4 8 3 3 2" xfId="13971" xr:uid="{3939007F-CA24-45D0-AB92-74A540D5DAAD}"/>
    <cellStyle name="Normal 2 4 8 3 4" xfId="9753" xr:uid="{8E53233A-CED4-4B25-9074-C67D2648E838}"/>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1512AA5A-66D6-4BA4-8B45-C296FC71395A}"/>
    <cellStyle name="Normal 2 4 8 4 2 3" xfId="12311" xr:uid="{CD5D587D-2050-4C87-B7FF-4BE51845AC5C}"/>
    <cellStyle name="Normal 2 4 8 4 3" xfId="5945" xr:uid="{00000000-0005-0000-0000-000009110000}"/>
    <cellStyle name="Normal 2 4 8 4 3 2" xfId="14384" xr:uid="{A2AFBDCF-1FED-4A52-A44C-DDFC8E9F1BC1}"/>
    <cellStyle name="Normal 2 4 8 4 4" xfId="10166" xr:uid="{4714BE24-F035-415D-BC98-369C0398199E}"/>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2A6892DE-2072-409D-A1BD-9232816E13B9}"/>
    <cellStyle name="Normal 2 4 8 5 2 3" xfId="12724" xr:uid="{FFBE16E1-0F45-4A3A-868B-8A0DDD5311DD}"/>
    <cellStyle name="Normal 2 4 8 5 3" xfId="6358" xr:uid="{00000000-0005-0000-0000-00000D110000}"/>
    <cellStyle name="Normal 2 4 8 5 3 2" xfId="14797" xr:uid="{F83834D7-75E3-417E-B34E-9D5FD7436574}"/>
    <cellStyle name="Normal 2 4 8 5 4" xfId="10579" xr:uid="{F44ABED5-AE8F-4098-BF85-AAFF04F6684D}"/>
    <cellStyle name="Normal 2 4 8 6" xfId="2487" xr:uid="{00000000-0005-0000-0000-00000E110000}"/>
    <cellStyle name="Normal 2 4 8 6 2" xfId="6771" xr:uid="{00000000-0005-0000-0000-00000F110000}"/>
    <cellStyle name="Normal 2 4 8 6 2 2" xfId="15210" xr:uid="{C43FDC70-DE23-4F0F-A316-5D680CAE327E}"/>
    <cellStyle name="Normal 2 4 8 6 3" xfId="10992" xr:uid="{F1404EA7-0976-44E6-8E53-40AFB0991080}"/>
    <cellStyle name="Normal 2 4 8 7" xfId="4705" xr:uid="{00000000-0005-0000-0000-000010110000}"/>
    <cellStyle name="Normal 2 4 8 7 2" xfId="13144" xr:uid="{ABF921E9-B6BE-4668-8792-49E17978048A}"/>
    <cellStyle name="Normal 2 4 8 8" xfId="8926" xr:uid="{575B4C79-AC91-4496-BF74-393C276C88D6}"/>
    <cellStyle name="Normal 2 5" xfId="315" xr:uid="{00000000-0005-0000-0000-000011110000}"/>
    <cellStyle name="Normal 2 5 10" xfId="4706" xr:uid="{00000000-0005-0000-0000-000012110000}"/>
    <cellStyle name="Normal 2 5 10 2" xfId="13145" xr:uid="{4878C0D0-B8DB-44E6-B265-75925AECE32A}"/>
    <cellStyle name="Normal 2 5 11" xfId="8927" xr:uid="{21428E53-3F5D-4448-8F8E-4DC7F0EF7560}"/>
    <cellStyle name="Normal 2 5 2" xfId="316" xr:uid="{00000000-0005-0000-0000-000013110000}"/>
    <cellStyle name="Normal 2 5 3" xfId="317" xr:uid="{00000000-0005-0000-0000-000014110000}"/>
    <cellStyle name="Normal 2 5 4" xfId="318" xr:uid="{00000000-0005-0000-0000-000015110000}"/>
    <cellStyle name="Normal 2 5 4 10" xfId="8928" xr:uid="{ED59BC9E-5198-44EB-81DD-4AFEDE9CEC87}"/>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24F2136E-5A51-4372-AFA9-5E405445B004}"/>
    <cellStyle name="Normal 2 5 4 2 2 2 2 3" xfId="11489" xr:uid="{C6ED5632-48D6-4FD1-9FFB-01FDB7914CBB}"/>
    <cellStyle name="Normal 2 5 4 2 2 2 3" xfId="5123" xr:uid="{00000000-0005-0000-0000-00001B110000}"/>
    <cellStyle name="Normal 2 5 4 2 2 2 3 2" xfId="13562" xr:uid="{B2DC834A-3939-413E-8B75-0FE7E9C0D84D}"/>
    <cellStyle name="Normal 2 5 4 2 2 2 4" xfId="9344" xr:uid="{88C67E65-A8C9-42FC-815D-9B01CD381D79}"/>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28DD9CA1-415C-4101-845F-6AA71358C97B}"/>
    <cellStyle name="Normal 2 5 4 2 2 3 2 3" xfId="11902" xr:uid="{3183739E-9BE7-411F-A298-2BBC8F6DACF7}"/>
    <cellStyle name="Normal 2 5 4 2 2 3 3" xfId="5536" xr:uid="{00000000-0005-0000-0000-00001F110000}"/>
    <cellStyle name="Normal 2 5 4 2 2 3 3 2" xfId="13975" xr:uid="{1865588B-74AC-4E39-A637-257899FA8730}"/>
    <cellStyle name="Normal 2 5 4 2 2 3 4" xfId="9757" xr:uid="{D019B339-37C1-4793-B0B6-D7BE57E33D8C}"/>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411B34CB-83CF-405B-BF17-F8AD98803687}"/>
    <cellStyle name="Normal 2 5 4 2 2 4 2 3" xfId="12315" xr:uid="{D7E0C4EA-8E7B-4972-A91A-6329E38997B2}"/>
    <cellStyle name="Normal 2 5 4 2 2 4 3" xfId="5949" xr:uid="{00000000-0005-0000-0000-000023110000}"/>
    <cellStyle name="Normal 2 5 4 2 2 4 3 2" xfId="14388" xr:uid="{2BFC4FCA-2D4D-4F7E-AA8D-B7C1B87595BA}"/>
    <cellStyle name="Normal 2 5 4 2 2 4 4" xfId="10170" xr:uid="{B434488B-4A51-42CF-B1E6-40B0B5A663CF}"/>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A0BF3EFC-0DBC-4E26-9C7F-7352076369C7}"/>
    <cellStyle name="Normal 2 5 4 2 2 5 2 3" xfId="12728" xr:uid="{45467959-B10B-4E20-8845-1FDECADF455B}"/>
    <cellStyle name="Normal 2 5 4 2 2 5 3" xfId="6362" xr:uid="{00000000-0005-0000-0000-000027110000}"/>
    <cellStyle name="Normal 2 5 4 2 2 5 3 2" xfId="14801" xr:uid="{026542D8-1C5F-4AAD-89FA-DE2704B7D0A8}"/>
    <cellStyle name="Normal 2 5 4 2 2 5 4" xfId="10583" xr:uid="{580254C8-1BCB-460D-8501-A1BA0F341587}"/>
    <cellStyle name="Normal 2 5 4 2 2 6" xfId="2491" xr:uid="{00000000-0005-0000-0000-000028110000}"/>
    <cellStyle name="Normal 2 5 4 2 2 6 2" xfId="6775" xr:uid="{00000000-0005-0000-0000-000029110000}"/>
    <cellStyle name="Normal 2 5 4 2 2 6 2 2" xfId="15214" xr:uid="{429ECCF8-10CD-48AF-9270-E18CCC20C0D5}"/>
    <cellStyle name="Normal 2 5 4 2 2 6 3" xfId="10996" xr:uid="{0F17B4FB-A174-4E29-8EEB-B648BF72476E}"/>
    <cellStyle name="Normal 2 5 4 2 2 7" xfId="4709" xr:uid="{00000000-0005-0000-0000-00002A110000}"/>
    <cellStyle name="Normal 2 5 4 2 2 7 2" xfId="13148" xr:uid="{1A7984D8-5E9A-4B43-AA99-70FBC4FE3EF4}"/>
    <cellStyle name="Normal 2 5 4 2 2 8" xfId="8930" xr:uid="{99E48A46-4F57-451E-BB88-88EC1FC5DD2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0BB6240E-4DE8-412E-B2B2-921F6D4E5E28}"/>
    <cellStyle name="Normal 2 5 4 2 3 2 3" xfId="11488" xr:uid="{8DB062AC-A657-4DB8-A55E-B5CEE3ED9AD5}"/>
    <cellStyle name="Normal 2 5 4 2 3 3" xfId="5122" xr:uid="{00000000-0005-0000-0000-00002E110000}"/>
    <cellStyle name="Normal 2 5 4 2 3 3 2" xfId="13561" xr:uid="{00448A5E-8C3B-4B78-816D-091F0262ACB0}"/>
    <cellStyle name="Normal 2 5 4 2 3 4" xfId="9343" xr:uid="{84B6A9E8-BFAD-43EA-83D8-56AC58184C19}"/>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240C2E63-F59D-44BC-B602-E45B46760B30}"/>
    <cellStyle name="Normal 2 5 4 2 4 2 3" xfId="11901" xr:uid="{C32747CB-319E-49F0-A85C-7C1268A22673}"/>
    <cellStyle name="Normal 2 5 4 2 4 3" xfId="5535" xr:uid="{00000000-0005-0000-0000-000032110000}"/>
    <cellStyle name="Normal 2 5 4 2 4 3 2" xfId="13974" xr:uid="{168B4B2C-AFBA-466E-BF33-64F0C4976A15}"/>
    <cellStyle name="Normal 2 5 4 2 4 4" xfId="9756" xr:uid="{F54AEBEB-13DD-4FB0-A7F6-332959551025}"/>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069B5521-2E4A-44A4-B744-0C089217D5A3}"/>
    <cellStyle name="Normal 2 5 4 2 5 2 3" xfId="12314" xr:uid="{CB6EA6B8-7B89-48B6-91CF-73729927797D}"/>
    <cellStyle name="Normal 2 5 4 2 5 3" xfId="5948" xr:uid="{00000000-0005-0000-0000-000036110000}"/>
    <cellStyle name="Normal 2 5 4 2 5 3 2" xfId="14387" xr:uid="{91AE3217-A1CE-4B2C-897A-6B66D35EBF08}"/>
    <cellStyle name="Normal 2 5 4 2 5 4" xfId="10169" xr:uid="{531CA15E-C42C-46E7-9A82-9D4781710DDF}"/>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2EF82E18-21CC-48F2-8ABF-470270DEAB54}"/>
    <cellStyle name="Normal 2 5 4 2 6 2 3" xfId="12727" xr:uid="{E7025229-744A-423C-A311-4CFFDBBB865B}"/>
    <cellStyle name="Normal 2 5 4 2 6 3" xfId="6361" xr:uid="{00000000-0005-0000-0000-00003A110000}"/>
    <cellStyle name="Normal 2 5 4 2 6 3 2" xfId="14800" xr:uid="{3A5A95C3-D66F-4A06-A844-58D134C7CCDB}"/>
    <cellStyle name="Normal 2 5 4 2 6 4" xfId="10582" xr:uid="{003A35C6-6015-4583-B7BB-E7C6333E8512}"/>
    <cellStyle name="Normal 2 5 4 2 7" xfId="2490" xr:uid="{00000000-0005-0000-0000-00003B110000}"/>
    <cellStyle name="Normal 2 5 4 2 7 2" xfId="6774" xr:uid="{00000000-0005-0000-0000-00003C110000}"/>
    <cellStyle name="Normal 2 5 4 2 7 2 2" xfId="15213" xr:uid="{FA35CD9B-47CF-4C41-97C7-65E5352C7CBF}"/>
    <cellStyle name="Normal 2 5 4 2 7 3" xfId="10995" xr:uid="{56FE007B-9335-4A96-AC83-ADC7C90EFFF4}"/>
    <cellStyle name="Normal 2 5 4 2 8" xfId="4708" xr:uid="{00000000-0005-0000-0000-00003D110000}"/>
    <cellStyle name="Normal 2 5 4 2 8 2" xfId="13147" xr:uid="{FDC5556F-D8D3-46E1-9187-895C64A5A291}"/>
    <cellStyle name="Normal 2 5 4 2 9" xfId="8929" xr:uid="{D5AA867E-5EDF-4533-B471-317732BC2C8E}"/>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96F7E0AC-573E-44CB-85FA-A3504E5C0F1E}"/>
    <cellStyle name="Normal 2 5 4 3 2 2 3" xfId="11490" xr:uid="{CDAFFD2F-1C01-4D53-B0EC-D3E668C62EFE}"/>
    <cellStyle name="Normal 2 5 4 3 2 3" xfId="5124" xr:uid="{00000000-0005-0000-0000-000042110000}"/>
    <cellStyle name="Normal 2 5 4 3 2 3 2" xfId="13563" xr:uid="{A44EAD40-4DF0-4B89-AB83-563A000EF935}"/>
    <cellStyle name="Normal 2 5 4 3 2 4" xfId="9345" xr:uid="{1209AF2F-1404-45C7-BA0C-F82FD693B933}"/>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36EEDC10-C0A4-40C1-A70C-CD9BFAAF3DA5}"/>
    <cellStyle name="Normal 2 5 4 3 3 2 3" xfId="11903" xr:uid="{6CDE476D-1B3E-4E76-87EB-77276D74C1B3}"/>
    <cellStyle name="Normal 2 5 4 3 3 3" xfId="5537" xr:uid="{00000000-0005-0000-0000-000046110000}"/>
    <cellStyle name="Normal 2 5 4 3 3 3 2" xfId="13976" xr:uid="{4D92E1F2-739D-42FB-AADC-5A569F9E68BC}"/>
    <cellStyle name="Normal 2 5 4 3 3 4" xfId="9758" xr:uid="{87A7F84A-98DF-4C7C-9FFC-DCA37CC9F98C}"/>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3EEB88C3-7843-444D-92C4-CE9162605204}"/>
    <cellStyle name="Normal 2 5 4 3 4 2 3" xfId="12316" xr:uid="{342559B8-B8E6-4DCE-BDD6-A3E754648FE7}"/>
    <cellStyle name="Normal 2 5 4 3 4 3" xfId="5950" xr:uid="{00000000-0005-0000-0000-00004A110000}"/>
    <cellStyle name="Normal 2 5 4 3 4 3 2" xfId="14389" xr:uid="{14FB3406-98FA-4B84-8186-BB77F1ED26B6}"/>
    <cellStyle name="Normal 2 5 4 3 4 4" xfId="10171" xr:uid="{C700E543-077E-4FC3-B7EC-5A445AA97252}"/>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5624A00D-2958-4D87-871C-35FE508D5120}"/>
    <cellStyle name="Normal 2 5 4 3 5 2 3" xfId="12729" xr:uid="{3C3991C0-7DCA-467C-B737-78CC5C3CEBF1}"/>
    <cellStyle name="Normal 2 5 4 3 5 3" xfId="6363" xr:uid="{00000000-0005-0000-0000-00004E110000}"/>
    <cellStyle name="Normal 2 5 4 3 5 3 2" xfId="14802" xr:uid="{6ADB63A9-1184-4CF3-B067-C8307B6B4EF1}"/>
    <cellStyle name="Normal 2 5 4 3 5 4" xfId="10584" xr:uid="{CFC32D0B-BC42-44CE-BA7D-74EA6562112D}"/>
    <cellStyle name="Normal 2 5 4 3 6" xfId="2492" xr:uid="{00000000-0005-0000-0000-00004F110000}"/>
    <cellStyle name="Normal 2 5 4 3 6 2" xfId="6776" xr:uid="{00000000-0005-0000-0000-000050110000}"/>
    <cellStyle name="Normal 2 5 4 3 6 2 2" xfId="15215" xr:uid="{6B107B75-A28C-437C-8369-93850EFB01A6}"/>
    <cellStyle name="Normal 2 5 4 3 6 3" xfId="10997" xr:uid="{9F7DFB2A-ED33-4EBF-AB4A-61524653321F}"/>
    <cellStyle name="Normal 2 5 4 3 7" xfId="4710" xr:uid="{00000000-0005-0000-0000-000051110000}"/>
    <cellStyle name="Normal 2 5 4 3 7 2" xfId="13149" xr:uid="{888FDE93-7026-405C-B6F5-4804CFFA735B}"/>
    <cellStyle name="Normal 2 5 4 3 8" xfId="8931" xr:uid="{5913106C-2F23-45DD-88EF-8C3CE679A11E}"/>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D13B3FF6-4427-4757-AEC2-C3D0E0316004}"/>
    <cellStyle name="Normal 2 5 4 4 2 3" xfId="11487" xr:uid="{CD829ED6-AD5E-46F9-B85E-DFD341C505D4}"/>
    <cellStyle name="Normal 2 5 4 4 3" xfId="5121" xr:uid="{00000000-0005-0000-0000-000055110000}"/>
    <cellStyle name="Normal 2 5 4 4 3 2" xfId="13560" xr:uid="{5F373B75-8A80-4C28-B2A3-AC3892138857}"/>
    <cellStyle name="Normal 2 5 4 4 4" xfId="9342" xr:uid="{114396D5-A47D-4414-BFD6-65E20F19D3A3}"/>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1235E688-B835-4689-81DB-14095668BD06}"/>
    <cellStyle name="Normal 2 5 4 5 2 3" xfId="11900" xr:uid="{FEB083DE-618C-4284-970F-D49A594F2435}"/>
    <cellStyle name="Normal 2 5 4 5 3" xfId="5534" xr:uid="{00000000-0005-0000-0000-000059110000}"/>
    <cellStyle name="Normal 2 5 4 5 3 2" xfId="13973" xr:uid="{A55E35FD-2491-46EE-A1B7-D9128618865E}"/>
    <cellStyle name="Normal 2 5 4 5 4" xfId="9755" xr:uid="{59184FFF-4D1A-4046-A32B-6C09AD13E763}"/>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1B6CD3C8-9C5C-4942-BC98-56BC0CF497A4}"/>
    <cellStyle name="Normal 2 5 4 6 2 3" xfId="12313" xr:uid="{AEBDF94E-D0EC-4B1B-9691-B67A3291178C}"/>
    <cellStyle name="Normal 2 5 4 6 3" xfId="5947" xr:uid="{00000000-0005-0000-0000-00005D110000}"/>
    <cellStyle name="Normal 2 5 4 6 3 2" xfId="14386" xr:uid="{D770D3DB-03FF-4D3B-B30B-B88B76866DB8}"/>
    <cellStyle name="Normal 2 5 4 6 4" xfId="10168" xr:uid="{A61E8905-223A-4E11-AE6B-299F7BC815F1}"/>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B14D33B3-A465-4D25-8971-214281AFC796}"/>
    <cellStyle name="Normal 2 5 4 7 2 3" xfId="12726" xr:uid="{0AB966AE-C288-4AB7-AC64-84C668F43721}"/>
    <cellStyle name="Normal 2 5 4 7 3" xfId="6360" xr:uid="{00000000-0005-0000-0000-000061110000}"/>
    <cellStyle name="Normal 2 5 4 7 3 2" xfId="14799" xr:uid="{B5765227-6B90-4CA8-8426-85DEA4A63A51}"/>
    <cellStyle name="Normal 2 5 4 7 4" xfId="10581" xr:uid="{9D20963E-188C-4941-92D1-17DDC1FFDF9F}"/>
    <cellStyle name="Normal 2 5 4 8" xfId="2489" xr:uid="{00000000-0005-0000-0000-000062110000}"/>
    <cellStyle name="Normal 2 5 4 8 2" xfId="6773" xr:uid="{00000000-0005-0000-0000-000063110000}"/>
    <cellStyle name="Normal 2 5 4 8 2 2" xfId="15212" xr:uid="{E6E8D71F-B01B-46E4-B3FF-210A5F00A701}"/>
    <cellStyle name="Normal 2 5 4 8 3" xfId="10994" xr:uid="{8066D644-1898-4A7B-B15F-160DE5FBD5FE}"/>
    <cellStyle name="Normal 2 5 4 9" xfId="4707" xr:uid="{00000000-0005-0000-0000-000064110000}"/>
    <cellStyle name="Normal 2 5 4 9 2" xfId="13146" xr:uid="{EA8BBC0C-3FA3-40C9-8580-AA4AE4757665}"/>
    <cellStyle name="Normal 2 5 5" xfId="803" xr:uid="{00000000-0005-0000-0000-000065110000}"/>
    <cellStyle name="Normal 2 5 5 2" xfId="3042" xr:uid="{00000000-0005-0000-0000-000066110000}"/>
    <cellStyle name="Normal 2 5 5 2 2" xfId="7265" xr:uid="{00000000-0005-0000-0000-000067110000}"/>
    <cellStyle name="Normal 2 5 5 2 2 2" xfId="15704" xr:uid="{5BAF10C1-45A5-4C7D-8740-BA2ADCB71E6E}"/>
    <cellStyle name="Normal 2 5 5 2 3" xfId="11486" xr:uid="{1A4D1F6F-5B39-4576-9B30-BF90A283C8AA}"/>
    <cellStyle name="Normal 2 5 5 3" xfId="5120" xr:uid="{00000000-0005-0000-0000-000068110000}"/>
    <cellStyle name="Normal 2 5 5 3 2" xfId="13559" xr:uid="{CA1D3183-68C9-45C3-B1C8-ABFE0D743A3D}"/>
    <cellStyle name="Normal 2 5 5 4" xfId="9341" xr:uid="{A6B8BED5-44F5-4650-96D0-AC78402AA890}"/>
    <cellStyle name="Normal 2 5 6" xfId="1225" xr:uid="{00000000-0005-0000-0000-000069110000}"/>
    <cellStyle name="Normal 2 5 6 2" xfId="3455" xr:uid="{00000000-0005-0000-0000-00006A110000}"/>
    <cellStyle name="Normal 2 5 6 2 2" xfId="7678" xr:uid="{00000000-0005-0000-0000-00006B110000}"/>
    <cellStyle name="Normal 2 5 6 2 2 2" xfId="16117" xr:uid="{A74843F7-5152-4611-A223-087620FC35F3}"/>
    <cellStyle name="Normal 2 5 6 2 3" xfId="11899" xr:uid="{8505BEFD-E504-4C88-B6F2-6FF8B9C26F29}"/>
    <cellStyle name="Normal 2 5 6 3" xfId="5533" xr:uid="{00000000-0005-0000-0000-00006C110000}"/>
    <cellStyle name="Normal 2 5 6 3 2" xfId="13972" xr:uid="{0C993680-B40C-4355-8A8A-E3839B22F6BC}"/>
    <cellStyle name="Normal 2 5 6 4" xfId="9754" xr:uid="{12EEAFEF-99B1-4CED-8463-4319E3D54E5F}"/>
    <cellStyle name="Normal 2 5 7" xfId="1638" xr:uid="{00000000-0005-0000-0000-00006D110000}"/>
    <cellStyle name="Normal 2 5 7 2" xfId="3868" xr:uid="{00000000-0005-0000-0000-00006E110000}"/>
    <cellStyle name="Normal 2 5 7 2 2" xfId="8091" xr:uid="{00000000-0005-0000-0000-00006F110000}"/>
    <cellStyle name="Normal 2 5 7 2 2 2" xfId="16530" xr:uid="{09C3973A-6DC7-4B95-BA6D-EAED2FE29814}"/>
    <cellStyle name="Normal 2 5 7 2 3" xfId="12312" xr:uid="{6EF3590D-3528-458C-B21E-4530CE67E251}"/>
    <cellStyle name="Normal 2 5 7 3" xfId="5946" xr:uid="{00000000-0005-0000-0000-000070110000}"/>
    <cellStyle name="Normal 2 5 7 3 2" xfId="14385" xr:uid="{2D82BC35-264B-4D56-B481-0E964EF30ED6}"/>
    <cellStyle name="Normal 2 5 7 4" xfId="10167" xr:uid="{6D81EA7E-F32C-4FE7-B5B6-1B2D5B484CAA}"/>
    <cellStyle name="Normal 2 5 8" xfId="2052" xr:uid="{00000000-0005-0000-0000-000071110000}"/>
    <cellStyle name="Normal 2 5 8 2" xfId="4281" xr:uid="{00000000-0005-0000-0000-000072110000}"/>
    <cellStyle name="Normal 2 5 8 2 2" xfId="8504" xr:uid="{00000000-0005-0000-0000-000073110000}"/>
    <cellStyle name="Normal 2 5 8 2 2 2" xfId="16943" xr:uid="{690D58FE-02B2-49F8-9DD8-C90C80B3C036}"/>
    <cellStyle name="Normal 2 5 8 2 3" xfId="12725" xr:uid="{CE11EDD2-0B74-4778-8E0F-1C51BD16142C}"/>
    <cellStyle name="Normal 2 5 8 3" xfId="6359" xr:uid="{00000000-0005-0000-0000-000074110000}"/>
    <cellStyle name="Normal 2 5 8 3 2" xfId="14798" xr:uid="{2BA7F9A6-B085-42B5-A734-E2012D2C1F2A}"/>
    <cellStyle name="Normal 2 5 8 4" xfId="10580" xr:uid="{9E2D6642-1670-4BFB-9093-7D3808DEDFA2}"/>
    <cellStyle name="Normal 2 5 9" xfId="2488" xr:uid="{00000000-0005-0000-0000-000075110000}"/>
    <cellStyle name="Normal 2 5 9 2" xfId="6772" xr:uid="{00000000-0005-0000-0000-000076110000}"/>
    <cellStyle name="Normal 2 5 9 2 2" xfId="15211" xr:uid="{94D9F20A-6425-4167-82D3-E46742DA1D0D}"/>
    <cellStyle name="Normal 2 5 9 3" xfId="10993" xr:uid="{764FAE81-96B5-44BF-A86D-7FF20F6AC2F9}"/>
    <cellStyle name="Normal 2 6" xfId="322" xr:uid="{00000000-0005-0000-0000-000077110000}"/>
    <cellStyle name="Normal 2 7" xfId="769" xr:uid="{00000000-0005-0000-0000-000078110000}"/>
    <cellStyle name="Normal 2 8" xfId="4495" xr:uid="{00000000-0005-0000-0000-000079110000}"/>
    <cellStyle name="Normal 2 8 2" xfId="12937" xr:uid="{1B889BB2-3AD3-43A9-8060-2F00BD6157BC}"/>
    <cellStyle name="Normal 3" xfId="323" xr:uid="{00000000-0005-0000-0000-00007A110000}"/>
    <cellStyle name="Normal 3 2" xfId="324" xr:uid="{00000000-0005-0000-0000-00007B110000}"/>
    <cellStyle name="Normal 3 2 10" xfId="8932" xr:uid="{B980A5DD-38FB-40A0-A8D7-6187388A5C1A}"/>
    <cellStyle name="Normal 3 2 2" xfId="325" xr:uid="{00000000-0005-0000-0000-00007C110000}"/>
    <cellStyle name="Normal 3 2 2 2" xfId="810" xr:uid="{00000000-0005-0000-0000-00007D110000}"/>
    <cellStyle name="Normal 3 2 3" xfId="326" xr:uid="{00000000-0005-0000-0000-00007E110000}"/>
    <cellStyle name="Normal 3 2 3 10" xfId="8933" xr:uid="{43417E0E-EED7-42D9-8B58-36FD40E3E937}"/>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B19E1054-6218-46BA-A911-3820F8F6CC6D}"/>
    <cellStyle name="Normal 3 2 3 2 2 2 2 3" xfId="11494" xr:uid="{521E0697-40A9-40E4-90C8-07BEE4CB12F5}"/>
    <cellStyle name="Normal 3 2 3 2 2 2 3" xfId="5128" xr:uid="{00000000-0005-0000-0000-000084110000}"/>
    <cellStyle name="Normal 3 2 3 2 2 2 3 2" xfId="13567" xr:uid="{34100237-6DD0-44EF-AB87-780D10E03E81}"/>
    <cellStyle name="Normal 3 2 3 2 2 2 4" xfId="9349" xr:uid="{01A96D00-A8AC-4F2F-B7F2-1DC34E23850B}"/>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31ED8405-D19A-4585-9718-39905AA1EA4D}"/>
    <cellStyle name="Normal 3 2 3 2 2 3 2 3" xfId="11907" xr:uid="{FF3E7538-8388-4C1D-8028-A4BDFBE76D0F}"/>
    <cellStyle name="Normal 3 2 3 2 2 3 3" xfId="5541" xr:uid="{00000000-0005-0000-0000-000088110000}"/>
    <cellStyle name="Normal 3 2 3 2 2 3 3 2" xfId="13980" xr:uid="{6D6E4A3A-5C3C-40A2-927C-F1A3BD32E20F}"/>
    <cellStyle name="Normal 3 2 3 2 2 3 4" xfId="9762" xr:uid="{63DFCE06-83EE-4EFB-AA1F-6EE4B41C03DE}"/>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943EDA71-5FC4-4323-A255-485EEEE13C30}"/>
    <cellStyle name="Normal 3 2 3 2 2 4 2 3" xfId="12320" xr:uid="{7ADE4136-E34B-476F-A8EE-4CD33675D67C}"/>
    <cellStyle name="Normal 3 2 3 2 2 4 3" xfId="5954" xr:uid="{00000000-0005-0000-0000-00008C110000}"/>
    <cellStyle name="Normal 3 2 3 2 2 4 3 2" xfId="14393" xr:uid="{C46987EF-9F48-4932-A127-F28C65E586FC}"/>
    <cellStyle name="Normal 3 2 3 2 2 4 4" xfId="10175" xr:uid="{DE1FE313-49C3-4721-89D8-4C27C8428168}"/>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B28A7FE7-88CA-4331-887E-308F46C8209F}"/>
    <cellStyle name="Normal 3 2 3 2 2 5 2 3" xfId="12733" xr:uid="{A7AF1420-91EA-4591-B6B4-48D238E5BD80}"/>
    <cellStyle name="Normal 3 2 3 2 2 5 3" xfId="6367" xr:uid="{00000000-0005-0000-0000-000090110000}"/>
    <cellStyle name="Normal 3 2 3 2 2 5 3 2" xfId="14806" xr:uid="{75820D0C-B0EE-41F4-8F93-A7C2B4BF64AF}"/>
    <cellStyle name="Normal 3 2 3 2 2 5 4" xfId="10588" xr:uid="{724A6CF2-A366-4299-9FD5-0E360165BF78}"/>
    <cellStyle name="Normal 3 2 3 2 2 6" xfId="2496" xr:uid="{00000000-0005-0000-0000-000091110000}"/>
    <cellStyle name="Normal 3 2 3 2 2 6 2" xfId="6780" xr:uid="{00000000-0005-0000-0000-000092110000}"/>
    <cellStyle name="Normal 3 2 3 2 2 6 2 2" xfId="15219" xr:uid="{BD15FAED-D970-49A1-B847-F14BB818EAC7}"/>
    <cellStyle name="Normal 3 2 3 2 2 6 3" xfId="11001" xr:uid="{7DA78C2A-976A-444A-B437-276A3DDF6692}"/>
    <cellStyle name="Normal 3 2 3 2 2 7" xfId="4714" xr:uid="{00000000-0005-0000-0000-000093110000}"/>
    <cellStyle name="Normal 3 2 3 2 2 7 2" xfId="13153" xr:uid="{26017EB0-5897-4F38-A407-73795978AD1D}"/>
    <cellStyle name="Normal 3 2 3 2 2 8" xfId="8935" xr:uid="{5ECA257C-6990-4DF9-A319-FDB8ADB7A70F}"/>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57AA5845-D69E-44FF-ADDD-C078B8033D44}"/>
    <cellStyle name="Normal 3 2 3 2 3 2 3" xfId="11493" xr:uid="{F39F4F76-2261-4F39-8861-8DE88B2B5005}"/>
    <cellStyle name="Normal 3 2 3 2 3 3" xfId="5127" xr:uid="{00000000-0005-0000-0000-000097110000}"/>
    <cellStyle name="Normal 3 2 3 2 3 3 2" xfId="13566" xr:uid="{790A2F25-11DF-4A6A-9FCE-CCFA7E8B338E}"/>
    <cellStyle name="Normal 3 2 3 2 3 4" xfId="9348" xr:uid="{54178BBF-BD65-422F-9CA8-7118D6CCD1A7}"/>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21AFF79D-B599-4589-8016-F740CF9715B4}"/>
    <cellStyle name="Normal 3 2 3 2 4 2 3" xfId="11906" xr:uid="{8EA90CD0-510B-4716-801E-A7E30AC7B5F5}"/>
    <cellStyle name="Normal 3 2 3 2 4 3" xfId="5540" xr:uid="{00000000-0005-0000-0000-00009B110000}"/>
    <cellStyle name="Normal 3 2 3 2 4 3 2" xfId="13979" xr:uid="{11517CE8-088B-4AED-A64E-2BAA45A559FE}"/>
    <cellStyle name="Normal 3 2 3 2 4 4" xfId="9761" xr:uid="{EF25FD21-655D-4C70-A26B-63033D9C2E77}"/>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362D2FDF-CE31-4809-964A-DD29A4FCD1B3}"/>
    <cellStyle name="Normal 3 2 3 2 5 2 3" xfId="12319" xr:uid="{60DDAEE8-77D9-4735-AE5A-16CEBAE14E88}"/>
    <cellStyle name="Normal 3 2 3 2 5 3" xfId="5953" xr:uid="{00000000-0005-0000-0000-00009F110000}"/>
    <cellStyle name="Normal 3 2 3 2 5 3 2" xfId="14392" xr:uid="{5D3472E8-1327-4462-AFC6-5660B1F21375}"/>
    <cellStyle name="Normal 3 2 3 2 5 4" xfId="10174" xr:uid="{05E00D12-1A83-4EA7-A830-D9DF457F1536}"/>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3220B05F-1ACD-4EB8-9624-87FDABD62F7C}"/>
    <cellStyle name="Normal 3 2 3 2 6 2 3" xfId="12732" xr:uid="{562C3FFA-811A-4660-90AA-B6305F9A5DBA}"/>
    <cellStyle name="Normal 3 2 3 2 6 3" xfId="6366" xr:uid="{00000000-0005-0000-0000-0000A3110000}"/>
    <cellStyle name="Normal 3 2 3 2 6 3 2" xfId="14805" xr:uid="{2E4F770F-C45F-4B0A-A6A7-0DAD82B95F41}"/>
    <cellStyle name="Normal 3 2 3 2 6 4" xfId="10587" xr:uid="{496B4F48-A7A1-4FDE-ADEC-B33C2BDF50EA}"/>
    <cellStyle name="Normal 3 2 3 2 7" xfId="2495" xr:uid="{00000000-0005-0000-0000-0000A4110000}"/>
    <cellStyle name="Normal 3 2 3 2 7 2" xfId="6779" xr:uid="{00000000-0005-0000-0000-0000A5110000}"/>
    <cellStyle name="Normal 3 2 3 2 7 2 2" xfId="15218" xr:uid="{64DCA094-4F4F-4E4A-8F76-E42301F53925}"/>
    <cellStyle name="Normal 3 2 3 2 7 3" xfId="11000" xr:uid="{1EEB8515-A119-429C-BF21-D8538462B843}"/>
    <cellStyle name="Normal 3 2 3 2 8" xfId="4713" xr:uid="{00000000-0005-0000-0000-0000A6110000}"/>
    <cellStyle name="Normal 3 2 3 2 8 2" xfId="13152" xr:uid="{6AC4F380-DD96-4444-A126-D1F37C27350A}"/>
    <cellStyle name="Normal 3 2 3 2 9" xfId="8934" xr:uid="{87AE5C1C-CF47-4604-90CA-F650B721D2EC}"/>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8BE60111-C825-4C94-ADD1-9E5FAB68786E}"/>
    <cellStyle name="Normal 3 2 3 3 2 2 3" xfId="11495" xr:uid="{B1EBA8F5-A1A9-41BD-89C4-5662F9937644}"/>
    <cellStyle name="Normal 3 2 3 3 2 3" xfId="5129" xr:uid="{00000000-0005-0000-0000-0000AB110000}"/>
    <cellStyle name="Normal 3 2 3 3 2 3 2" xfId="13568" xr:uid="{10499D1A-DD4C-4576-99BD-789A218CD9DE}"/>
    <cellStyle name="Normal 3 2 3 3 2 4" xfId="9350" xr:uid="{D44E42AC-0E2E-4040-AC53-BF9A0C8E08CB}"/>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9CDAB6A8-24C1-4FCB-8348-C31678843BB8}"/>
    <cellStyle name="Normal 3 2 3 3 3 2 3" xfId="11908" xr:uid="{14158C89-BA6A-49B9-8193-6608C839C0F9}"/>
    <cellStyle name="Normal 3 2 3 3 3 3" xfId="5542" xr:uid="{00000000-0005-0000-0000-0000AF110000}"/>
    <cellStyle name="Normal 3 2 3 3 3 3 2" xfId="13981" xr:uid="{F785A978-5093-4062-9BF6-F6F774FCE412}"/>
    <cellStyle name="Normal 3 2 3 3 3 4" xfId="9763" xr:uid="{D303C29A-29BF-46D9-9C61-7E3434E17D6C}"/>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A454D409-B2AC-40B3-BEF8-E84BFAFCF3CF}"/>
    <cellStyle name="Normal 3 2 3 3 4 2 3" xfId="12321" xr:uid="{FC36D910-BEF6-48F1-BFAF-F423DA685E87}"/>
    <cellStyle name="Normal 3 2 3 3 4 3" xfId="5955" xr:uid="{00000000-0005-0000-0000-0000B3110000}"/>
    <cellStyle name="Normal 3 2 3 3 4 3 2" xfId="14394" xr:uid="{B5F4E820-888F-41B9-BA52-FD02B1A084C6}"/>
    <cellStyle name="Normal 3 2 3 3 4 4" xfId="10176" xr:uid="{19EC0C37-C598-4065-917D-196BC547B3E2}"/>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3779289A-C79E-4EAB-BF31-2024E93E7287}"/>
    <cellStyle name="Normal 3 2 3 3 5 2 3" xfId="12734" xr:uid="{3A2D2FEE-DD3E-4277-A5E4-9CE7BDD87611}"/>
    <cellStyle name="Normal 3 2 3 3 5 3" xfId="6368" xr:uid="{00000000-0005-0000-0000-0000B7110000}"/>
    <cellStyle name="Normal 3 2 3 3 5 3 2" xfId="14807" xr:uid="{65C17339-8EFB-456E-9039-F367EC1FCD47}"/>
    <cellStyle name="Normal 3 2 3 3 5 4" xfId="10589" xr:uid="{2CBEB1FF-6386-4D0F-A5B7-DC29CF8AB324}"/>
    <cellStyle name="Normal 3 2 3 3 6" xfId="2497" xr:uid="{00000000-0005-0000-0000-0000B8110000}"/>
    <cellStyle name="Normal 3 2 3 3 6 2" xfId="6781" xr:uid="{00000000-0005-0000-0000-0000B9110000}"/>
    <cellStyle name="Normal 3 2 3 3 6 2 2" xfId="15220" xr:uid="{EFC409E9-C27F-4F68-B7F4-1FC2A9A27679}"/>
    <cellStyle name="Normal 3 2 3 3 6 3" xfId="11002" xr:uid="{DF7E551F-6891-41C4-901A-8FCF360B6DC5}"/>
    <cellStyle name="Normal 3 2 3 3 7" xfId="4715" xr:uid="{00000000-0005-0000-0000-0000BA110000}"/>
    <cellStyle name="Normal 3 2 3 3 7 2" xfId="13154" xr:uid="{CD67D539-60D7-412A-9279-6D6C52C769D9}"/>
    <cellStyle name="Normal 3 2 3 3 8" xfId="8936" xr:uid="{F2C9774A-6349-460D-A43F-06D802CAB327}"/>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5DFCAEF0-A003-40D3-A3C1-DA399EC8E1F1}"/>
    <cellStyle name="Normal 3 2 3 4 2 3" xfId="11492" xr:uid="{0E4B79A9-A03B-4EF9-94C5-F5CE866C3746}"/>
    <cellStyle name="Normal 3 2 3 4 3" xfId="5126" xr:uid="{00000000-0005-0000-0000-0000BE110000}"/>
    <cellStyle name="Normal 3 2 3 4 3 2" xfId="13565" xr:uid="{7347740C-D418-42F6-AEDE-6307F3115152}"/>
    <cellStyle name="Normal 3 2 3 4 4" xfId="9347" xr:uid="{E930D010-373A-413C-A4B6-A1C4038B480E}"/>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02D1DE46-EA2A-4803-841C-7831205E685D}"/>
    <cellStyle name="Normal 3 2 3 5 2 3" xfId="11905" xr:uid="{F96059F6-B76A-41C1-AFB6-47713BE7AEAD}"/>
    <cellStyle name="Normal 3 2 3 5 3" xfId="5539" xr:uid="{00000000-0005-0000-0000-0000C2110000}"/>
    <cellStyle name="Normal 3 2 3 5 3 2" xfId="13978" xr:uid="{639F902B-92A4-435B-A4C0-3AE1CE2FE4E7}"/>
    <cellStyle name="Normal 3 2 3 5 4" xfId="9760" xr:uid="{1DF238C4-0468-4712-9470-3F4ABCA917A9}"/>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4F1BE15D-5171-4B1D-B5E4-1CF19BC27DF3}"/>
    <cellStyle name="Normal 3 2 3 6 2 3" xfId="12318" xr:uid="{02B13AA9-E56B-4A92-913A-8A7FF69134D8}"/>
    <cellStyle name="Normal 3 2 3 6 3" xfId="5952" xr:uid="{00000000-0005-0000-0000-0000C6110000}"/>
    <cellStyle name="Normal 3 2 3 6 3 2" xfId="14391" xr:uid="{724BF346-779A-4AEC-A174-BECAE9862E33}"/>
    <cellStyle name="Normal 3 2 3 6 4" xfId="10173" xr:uid="{FFE9E42C-7D92-4111-BFBE-93B6114FC0F9}"/>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2177FA0C-C786-483C-B94F-37ECE12226E5}"/>
    <cellStyle name="Normal 3 2 3 7 2 3" xfId="12731" xr:uid="{E0F63BF8-7DA6-4B92-B040-E412321E6B0D}"/>
    <cellStyle name="Normal 3 2 3 7 3" xfId="6365" xr:uid="{00000000-0005-0000-0000-0000CA110000}"/>
    <cellStyle name="Normal 3 2 3 7 3 2" xfId="14804" xr:uid="{E003F245-914E-46FB-84BF-E46A49CC443A}"/>
    <cellStyle name="Normal 3 2 3 7 4" xfId="10586" xr:uid="{6CF41D46-2513-44C6-AB0B-6DC682C5F3CE}"/>
    <cellStyle name="Normal 3 2 3 8" xfId="2494" xr:uid="{00000000-0005-0000-0000-0000CB110000}"/>
    <cellStyle name="Normal 3 2 3 8 2" xfId="6778" xr:uid="{00000000-0005-0000-0000-0000CC110000}"/>
    <cellStyle name="Normal 3 2 3 8 2 2" xfId="15217" xr:uid="{9C36A4B6-CAD1-482D-A8DA-D0E385954525}"/>
    <cellStyle name="Normal 3 2 3 8 3" xfId="10999" xr:uid="{DD06375C-A790-4FCB-A773-7A9298AC08AF}"/>
    <cellStyle name="Normal 3 2 3 9" xfId="4712" xr:uid="{00000000-0005-0000-0000-0000CD110000}"/>
    <cellStyle name="Normal 3 2 3 9 2" xfId="13151" xr:uid="{D6624EA9-B592-496F-97C0-19DD4765CB13}"/>
    <cellStyle name="Normal 3 2 4" xfId="809" xr:uid="{00000000-0005-0000-0000-0000CE110000}"/>
    <cellStyle name="Normal 3 2 4 2" xfId="3047" xr:uid="{00000000-0005-0000-0000-0000CF110000}"/>
    <cellStyle name="Normal 3 2 4 2 2" xfId="7270" xr:uid="{00000000-0005-0000-0000-0000D0110000}"/>
    <cellStyle name="Normal 3 2 4 2 2 2" xfId="15709" xr:uid="{2F18C02A-D4DA-4A3B-9C9F-E519C8B5D57D}"/>
    <cellStyle name="Normal 3 2 4 2 3" xfId="11491" xr:uid="{0CF16B9A-F664-4F35-952F-DC95F7CB7AC7}"/>
    <cellStyle name="Normal 3 2 4 3" xfId="5125" xr:uid="{00000000-0005-0000-0000-0000D1110000}"/>
    <cellStyle name="Normal 3 2 4 3 2" xfId="13564" xr:uid="{AA07047E-25DC-4B85-9AC2-33115AE9EC77}"/>
    <cellStyle name="Normal 3 2 4 4" xfId="9346" xr:uid="{77064FB6-21C0-495F-A66B-9E7A13055FE9}"/>
    <cellStyle name="Normal 3 2 5" xfId="1230" xr:uid="{00000000-0005-0000-0000-0000D2110000}"/>
    <cellStyle name="Normal 3 2 5 2" xfId="3460" xr:uid="{00000000-0005-0000-0000-0000D3110000}"/>
    <cellStyle name="Normal 3 2 5 2 2" xfId="7683" xr:uid="{00000000-0005-0000-0000-0000D4110000}"/>
    <cellStyle name="Normal 3 2 5 2 2 2" xfId="16122" xr:uid="{FC530AE6-294A-4C53-BF98-C33803AB90E6}"/>
    <cellStyle name="Normal 3 2 5 2 3" xfId="11904" xr:uid="{126A962A-ADD5-470F-A951-B7FB8A3AFF55}"/>
    <cellStyle name="Normal 3 2 5 3" xfId="5538" xr:uid="{00000000-0005-0000-0000-0000D5110000}"/>
    <cellStyle name="Normal 3 2 5 3 2" xfId="13977" xr:uid="{B54EBD36-4D56-4888-8448-9DCFDE842A81}"/>
    <cellStyle name="Normal 3 2 5 4" xfId="9759" xr:uid="{1356AE44-738F-4519-BE04-7CDB3B7349DE}"/>
    <cellStyle name="Normal 3 2 6" xfId="1643" xr:uid="{00000000-0005-0000-0000-0000D6110000}"/>
    <cellStyle name="Normal 3 2 6 2" xfId="3873" xr:uid="{00000000-0005-0000-0000-0000D7110000}"/>
    <cellStyle name="Normal 3 2 6 2 2" xfId="8096" xr:uid="{00000000-0005-0000-0000-0000D8110000}"/>
    <cellStyle name="Normal 3 2 6 2 2 2" xfId="16535" xr:uid="{4C5D57C9-06DE-4250-8AF7-1864BD8684B2}"/>
    <cellStyle name="Normal 3 2 6 2 3" xfId="12317" xr:uid="{9026AFBC-3ECD-4BAF-B016-52EA4A2A996F}"/>
    <cellStyle name="Normal 3 2 6 3" xfId="5951" xr:uid="{00000000-0005-0000-0000-0000D9110000}"/>
    <cellStyle name="Normal 3 2 6 3 2" xfId="14390" xr:uid="{6DDE1A49-33AB-42E4-B6C3-D3FC77DD25BB}"/>
    <cellStyle name="Normal 3 2 6 4" xfId="10172" xr:uid="{C7F4C345-F684-4D31-B38D-F3EB2C841CCA}"/>
    <cellStyle name="Normal 3 2 7" xfId="2057" xr:uid="{00000000-0005-0000-0000-0000DA110000}"/>
    <cellStyle name="Normal 3 2 7 2" xfId="4286" xr:uid="{00000000-0005-0000-0000-0000DB110000}"/>
    <cellStyle name="Normal 3 2 7 2 2" xfId="8509" xr:uid="{00000000-0005-0000-0000-0000DC110000}"/>
    <cellStyle name="Normal 3 2 7 2 2 2" xfId="16948" xr:uid="{6BB7F4E7-47E2-40BB-A6FB-F6835B625EC8}"/>
    <cellStyle name="Normal 3 2 7 2 3" xfId="12730" xr:uid="{F81F6AC7-84DF-4BB6-BEA5-9245ACFB3F0B}"/>
    <cellStyle name="Normal 3 2 7 3" xfId="6364" xr:uid="{00000000-0005-0000-0000-0000DD110000}"/>
    <cellStyle name="Normal 3 2 7 3 2" xfId="14803" xr:uid="{30A7903D-3E39-4165-84DC-43699E4D9BF7}"/>
    <cellStyle name="Normal 3 2 7 4" xfId="10585" xr:uid="{33AD3B42-0F54-43F4-90B5-E543E48750C4}"/>
    <cellStyle name="Normal 3 2 8" xfId="2493" xr:uid="{00000000-0005-0000-0000-0000DE110000}"/>
    <cellStyle name="Normal 3 2 8 2" xfId="6777" xr:uid="{00000000-0005-0000-0000-0000DF110000}"/>
    <cellStyle name="Normal 3 2 8 2 2" xfId="15216" xr:uid="{A47989DC-7DFC-4868-87C6-504918D4A10A}"/>
    <cellStyle name="Normal 3 2 8 3" xfId="10998" xr:uid="{0B24EF85-E12F-40F1-B9D1-CD5FD1870328}"/>
    <cellStyle name="Normal 3 2 9" xfId="4711" xr:uid="{00000000-0005-0000-0000-0000E0110000}"/>
    <cellStyle name="Normal 3 2 9 2" xfId="13150" xr:uid="{0DE8FA6B-3D17-4DE4-ADF9-A6D0EDB78E79}"/>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D3973AC8-0521-4AF1-A156-323A8FED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8D489ED2-ABB0-4F9C-8118-ED2813AFDF63}"/>
    <cellStyle name="Normal 4 2 2 10 2 3" xfId="12735" xr:uid="{7789CEEF-8D30-4276-876E-8DFA80C3F175}"/>
    <cellStyle name="Normal 4 2 2 10 3" xfId="6369" xr:uid="{00000000-0005-0000-0000-0000ED110000}"/>
    <cellStyle name="Normal 4 2 2 10 3 2" xfId="14808" xr:uid="{3A54F01F-0DC3-4AAF-9A54-4FB03BA25AD5}"/>
    <cellStyle name="Normal 4 2 2 10 4" xfId="10590" xr:uid="{71AFC4B9-A99A-4820-8D19-F13624637362}"/>
    <cellStyle name="Normal 4 2 2 11" xfId="2498" xr:uid="{00000000-0005-0000-0000-0000EE110000}"/>
    <cellStyle name="Normal 4 2 2 11 2" xfId="6782" xr:uid="{00000000-0005-0000-0000-0000EF110000}"/>
    <cellStyle name="Normal 4 2 2 11 2 2" xfId="15221" xr:uid="{AD071D38-C689-4FB4-8995-05BB263E3F95}"/>
    <cellStyle name="Normal 4 2 2 11 3" xfId="11003" xr:uid="{204CFDCE-C451-4079-A892-F13C5D9BC45A}"/>
    <cellStyle name="Normal 4 2 2 12" xfId="4717" xr:uid="{00000000-0005-0000-0000-0000F0110000}"/>
    <cellStyle name="Normal 4 2 2 12 2" xfId="13156" xr:uid="{F1CF59EF-DE96-416C-BAE8-A7E1A789257B}"/>
    <cellStyle name="Normal 4 2 2 13" xfId="8938" xr:uid="{240D7B31-BAA2-48B7-8838-1531ECBFE3C9}"/>
    <cellStyle name="Normal 4 2 2 2" xfId="338" xr:uid="{00000000-0005-0000-0000-0000F1110000}"/>
    <cellStyle name="Normal 4 2 2 3" xfId="339" xr:uid="{00000000-0005-0000-0000-0000F2110000}"/>
    <cellStyle name="Normal 4 2 2 3 10" xfId="4718" xr:uid="{00000000-0005-0000-0000-0000F3110000}"/>
    <cellStyle name="Normal 4 2 2 3 10 2" xfId="13157" xr:uid="{0C4B1933-9CC2-4DF9-99FF-B5659583BDD0}"/>
    <cellStyle name="Normal 4 2 2 3 11" xfId="8939" xr:uid="{C4DA9E8E-4CB3-4BC5-815E-BC4FD47F0ED9}"/>
    <cellStyle name="Normal 4 2 2 3 2" xfId="340" xr:uid="{00000000-0005-0000-0000-0000F4110000}"/>
    <cellStyle name="Normal 4 2 2 3 2 10" xfId="8940" xr:uid="{CAE5B120-DE01-4B5E-ABB9-07B6502BD99F}"/>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71F14A19-433A-4CA1-8F37-7F6F78D78A44}"/>
    <cellStyle name="Normal 4 2 2 3 2 2 2 2 2 3" xfId="11500" xr:uid="{16C6602B-EB0A-4563-BD8F-142CED78213E}"/>
    <cellStyle name="Normal 4 2 2 3 2 2 2 2 3" xfId="5134" xr:uid="{00000000-0005-0000-0000-0000FA110000}"/>
    <cellStyle name="Normal 4 2 2 3 2 2 2 2 3 2" xfId="13573" xr:uid="{767BEF5F-0982-4EF6-95B1-C32F9047BF04}"/>
    <cellStyle name="Normal 4 2 2 3 2 2 2 2 4" xfId="9355" xr:uid="{C9FB4AD4-3765-4BFF-84EC-BED4B6D148F5}"/>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2CCAD83E-7BAF-40C2-807A-8B0D8D0E4111}"/>
    <cellStyle name="Normal 4 2 2 3 2 2 2 3 2 3" xfId="11913" xr:uid="{B0CB70CF-3B42-4D7F-A1CF-14C4F413F651}"/>
    <cellStyle name="Normal 4 2 2 3 2 2 2 3 3" xfId="5547" xr:uid="{00000000-0005-0000-0000-0000FE110000}"/>
    <cellStyle name="Normal 4 2 2 3 2 2 2 3 3 2" xfId="13986" xr:uid="{AAF659F7-47C1-4C11-B1BC-48E4D5B68DD6}"/>
    <cellStyle name="Normal 4 2 2 3 2 2 2 3 4" xfId="9768" xr:uid="{0E8E6796-BB4A-4F28-AC23-631EFF1F66A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1BC23C26-4702-4B03-8995-C3ACEA6890C4}"/>
    <cellStyle name="Normal 4 2 2 3 2 2 2 4 2 3" xfId="12326" xr:uid="{C9FC4703-48ED-415C-9405-E10FAF26B28B}"/>
    <cellStyle name="Normal 4 2 2 3 2 2 2 4 3" xfId="5960" xr:uid="{00000000-0005-0000-0000-000002120000}"/>
    <cellStyle name="Normal 4 2 2 3 2 2 2 4 3 2" xfId="14399" xr:uid="{8F257286-0DC4-40C9-A815-7551E90F602D}"/>
    <cellStyle name="Normal 4 2 2 3 2 2 2 4 4" xfId="10181" xr:uid="{CD8E4F16-F0F3-47FD-BB53-B2C4B3E7862F}"/>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50337932-ECEC-4478-BC48-9CEF72F5E7C0}"/>
    <cellStyle name="Normal 4 2 2 3 2 2 2 5 2 3" xfId="12739" xr:uid="{53A4DD64-3CAC-4198-9E00-5C1B4105C88D}"/>
    <cellStyle name="Normal 4 2 2 3 2 2 2 5 3" xfId="6373" xr:uid="{00000000-0005-0000-0000-000006120000}"/>
    <cellStyle name="Normal 4 2 2 3 2 2 2 5 3 2" xfId="14812" xr:uid="{D8C8C6A4-7AFF-49BC-890F-0BCBD74091F6}"/>
    <cellStyle name="Normal 4 2 2 3 2 2 2 5 4" xfId="10594" xr:uid="{DB121C07-3AB3-4472-B233-5DA6EAEE4614}"/>
    <cellStyle name="Normal 4 2 2 3 2 2 2 6" xfId="2502" xr:uid="{00000000-0005-0000-0000-000007120000}"/>
    <cellStyle name="Normal 4 2 2 3 2 2 2 6 2" xfId="6786" xr:uid="{00000000-0005-0000-0000-000008120000}"/>
    <cellStyle name="Normal 4 2 2 3 2 2 2 6 2 2" xfId="15225" xr:uid="{68F0D7C0-478E-44F9-8C63-6CD840E63C00}"/>
    <cellStyle name="Normal 4 2 2 3 2 2 2 6 3" xfId="11007" xr:uid="{AC9FD57E-6283-4B28-B6A4-368E8DA43AE1}"/>
    <cellStyle name="Normal 4 2 2 3 2 2 2 7" xfId="4721" xr:uid="{00000000-0005-0000-0000-000009120000}"/>
    <cellStyle name="Normal 4 2 2 3 2 2 2 7 2" xfId="13160" xr:uid="{0E22FF34-C1B3-4990-8983-8BE1380EDCF3}"/>
    <cellStyle name="Normal 4 2 2 3 2 2 2 8" xfId="8942" xr:uid="{496B9B7D-CF3A-474A-9CA3-DA48F3D24A6D}"/>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8223B8A5-20B7-40D2-A513-448176E444E4}"/>
    <cellStyle name="Normal 4 2 2 3 2 2 3 2 3" xfId="11499" xr:uid="{A439223C-003B-4FE9-A7CA-E817E6B1A276}"/>
    <cellStyle name="Normal 4 2 2 3 2 2 3 3" xfId="5133" xr:uid="{00000000-0005-0000-0000-00000D120000}"/>
    <cellStyle name="Normal 4 2 2 3 2 2 3 3 2" xfId="13572" xr:uid="{650F1EB0-AC32-4FE7-B440-AD23065682FC}"/>
    <cellStyle name="Normal 4 2 2 3 2 2 3 4" xfId="9354" xr:uid="{77908CA7-A502-44C5-861B-7220F6A4F609}"/>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D2F73F3F-AE80-40E0-80CA-756AC62A8DE6}"/>
    <cellStyle name="Normal 4 2 2 3 2 2 4 2 3" xfId="11912" xr:uid="{C5E12F47-6347-4CC1-A8E5-AA15CAE41720}"/>
    <cellStyle name="Normal 4 2 2 3 2 2 4 3" xfId="5546" xr:uid="{00000000-0005-0000-0000-000011120000}"/>
    <cellStyle name="Normal 4 2 2 3 2 2 4 3 2" xfId="13985" xr:uid="{EB59B9E8-23F4-468B-9594-9B5DB3135449}"/>
    <cellStyle name="Normal 4 2 2 3 2 2 4 4" xfId="9767" xr:uid="{E5C9CADE-5140-4C1B-BF0D-ECE30FCD5872}"/>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9BA8264A-9D33-4914-8C1F-626AA2E5C28A}"/>
    <cellStyle name="Normal 4 2 2 3 2 2 5 2 3" xfId="12325" xr:uid="{CBA0B32F-73F1-41FB-BEB1-1807AAEFE124}"/>
    <cellStyle name="Normal 4 2 2 3 2 2 5 3" xfId="5959" xr:uid="{00000000-0005-0000-0000-000015120000}"/>
    <cellStyle name="Normal 4 2 2 3 2 2 5 3 2" xfId="14398" xr:uid="{3954BACB-B23E-45F5-A728-4B0DD3150D80}"/>
    <cellStyle name="Normal 4 2 2 3 2 2 5 4" xfId="10180" xr:uid="{0675BDD3-71A9-4EC4-B830-34BE09ACD01D}"/>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D90111BB-F619-40A5-BFAE-69C2B76D4376}"/>
    <cellStyle name="Normal 4 2 2 3 2 2 6 2 3" xfId="12738" xr:uid="{6A548F8B-5385-4812-939F-C8909C005F1F}"/>
    <cellStyle name="Normal 4 2 2 3 2 2 6 3" xfId="6372" xr:uid="{00000000-0005-0000-0000-000019120000}"/>
    <cellStyle name="Normal 4 2 2 3 2 2 6 3 2" xfId="14811" xr:uid="{5F7AEE13-C59C-4961-837B-5445DB2EAB39}"/>
    <cellStyle name="Normal 4 2 2 3 2 2 6 4" xfId="10593" xr:uid="{EA873CDB-E56A-47A3-A87B-E1D8A947335D}"/>
    <cellStyle name="Normal 4 2 2 3 2 2 7" xfId="2501" xr:uid="{00000000-0005-0000-0000-00001A120000}"/>
    <cellStyle name="Normal 4 2 2 3 2 2 7 2" xfId="6785" xr:uid="{00000000-0005-0000-0000-00001B120000}"/>
    <cellStyle name="Normal 4 2 2 3 2 2 7 2 2" xfId="15224" xr:uid="{F87EA13A-4E03-4502-B780-531DB3859AD6}"/>
    <cellStyle name="Normal 4 2 2 3 2 2 7 3" xfId="11006" xr:uid="{5857E49E-C305-432F-90B4-993F7122BC39}"/>
    <cellStyle name="Normal 4 2 2 3 2 2 8" xfId="4720" xr:uid="{00000000-0005-0000-0000-00001C120000}"/>
    <cellStyle name="Normal 4 2 2 3 2 2 8 2" xfId="13159" xr:uid="{83F5088E-8FCB-427E-8CB8-033E2A263CB0}"/>
    <cellStyle name="Normal 4 2 2 3 2 2 9" xfId="8941" xr:uid="{A795B063-E71B-4EB3-B191-BCAC136CBBB4}"/>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507482CE-47ED-4715-A034-35A94753C0AF}"/>
    <cellStyle name="Normal 4 2 2 3 2 3 2 2 3" xfId="11501" xr:uid="{7670BF78-5A50-4E65-A89C-FE53FC672C25}"/>
    <cellStyle name="Normal 4 2 2 3 2 3 2 3" xfId="5135" xr:uid="{00000000-0005-0000-0000-000021120000}"/>
    <cellStyle name="Normal 4 2 2 3 2 3 2 3 2" xfId="13574" xr:uid="{F7625C2D-2869-48B6-B910-B9973A567E4E}"/>
    <cellStyle name="Normal 4 2 2 3 2 3 2 4" xfId="9356" xr:uid="{4F5E897A-0D71-4DCF-B83B-1BF4AE0E0A5D}"/>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318A0452-BA81-47C2-B11F-E993D0BA04EE}"/>
    <cellStyle name="Normal 4 2 2 3 2 3 3 2 3" xfId="11914" xr:uid="{1AF6B5DB-9F87-4DAB-8D7B-2213BF6382E0}"/>
    <cellStyle name="Normal 4 2 2 3 2 3 3 3" xfId="5548" xr:uid="{00000000-0005-0000-0000-000025120000}"/>
    <cellStyle name="Normal 4 2 2 3 2 3 3 3 2" xfId="13987" xr:uid="{AC900870-F04D-4359-8B26-3B9AE2192C13}"/>
    <cellStyle name="Normal 4 2 2 3 2 3 3 4" xfId="9769" xr:uid="{B144319E-79DA-4C4A-8C56-B68F71122BB9}"/>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2D33C49A-DA1D-4E3F-8E9E-C1045BD2A275}"/>
    <cellStyle name="Normal 4 2 2 3 2 3 4 2 3" xfId="12327" xr:uid="{AD1B7948-69B4-4D16-8B12-06B2E75C9D3B}"/>
    <cellStyle name="Normal 4 2 2 3 2 3 4 3" xfId="5961" xr:uid="{00000000-0005-0000-0000-000029120000}"/>
    <cellStyle name="Normal 4 2 2 3 2 3 4 3 2" xfId="14400" xr:uid="{A514C2FF-6D4F-453B-90D7-4FE7F6CEAC71}"/>
    <cellStyle name="Normal 4 2 2 3 2 3 4 4" xfId="10182" xr:uid="{20CAD943-2138-480E-98A5-0C98FA371226}"/>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DF98FA4C-7BCA-4422-9AA1-57CA0CE4E133}"/>
    <cellStyle name="Normal 4 2 2 3 2 3 5 2 3" xfId="12740" xr:uid="{8E0DED5F-52CF-4635-9C72-9E54A5A51380}"/>
    <cellStyle name="Normal 4 2 2 3 2 3 5 3" xfId="6374" xr:uid="{00000000-0005-0000-0000-00002D120000}"/>
    <cellStyle name="Normal 4 2 2 3 2 3 5 3 2" xfId="14813" xr:uid="{6B5409CF-A22E-482D-82C6-12146A607793}"/>
    <cellStyle name="Normal 4 2 2 3 2 3 5 4" xfId="10595" xr:uid="{94C1E5A5-C91C-45D2-ABBA-5AAF995FFFF1}"/>
    <cellStyle name="Normal 4 2 2 3 2 3 6" xfId="2503" xr:uid="{00000000-0005-0000-0000-00002E120000}"/>
    <cellStyle name="Normal 4 2 2 3 2 3 6 2" xfId="6787" xr:uid="{00000000-0005-0000-0000-00002F120000}"/>
    <cellStyle name="Normal 4 2 2 3 2 3 6 2 2" xfId="15226" xr:uid="{3E9F80B5-B519-484A-950B-3A8EA8DF36AC}"/>
    <cellStyle name="Normal 4 2 2 3 2 3 6 3" xfId="11008" xr:uid="{D1AE1978-23EF-44DF-A78E-A3F09DD5970B}"/>
    <cellStyle name="Normal 4 2 2 3 2 3 7" xfId="4722" xr:uid="{00000000-0005-0000-0000-000030120000}"/>
    <cellStyle name="Normal 4 2 2 3 2 3 7 2" xfId="13161" xr:uid="{6AEFFE82-9E2E-407D-811E-B76FF6514753}"/>
    <cellStyle name="Normal 4 2 2 3 2 3 8" xfId="8943" xr:uid="{8942E1CB-7461-40B6-90F2-655FD756AF41}"/>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95C5FD9B-D79B-47F9-A383-AF448275C08F}"/>
    <cellStyle name="Normal 4 2 2 3 2 4 2 3" xfId="11498" xr:uid="{0DE3194F-9D9C-40C2-8AFE-0753673E9D46}"/>
    <cellStyle name="Normal 4 2 2 3 2 4 3" xfId="5132" xr:uid="{00000000-0005-0000-0000-000034120000}"/>
    <cellStyle name="Normal 4 2 2 3 2 4 3 2" xfId="13571" xr:uid="{9059008E-BF01-4427-895E-BCE813D67CEB}"/>
    <cellStyle name="Normal 4 2 2 3 2 4 4" xfId="9353" xr:uid="{968A998D-62D6-421E-B1E8-7B044AF1D86F}"/>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C70CD1F0-5A03-4DE3-8729-DF0D25FBCAE8}"/>
    <cellStyle name="Normal 4 2 2 3 2 5 2 3" xfId="11911" xr:uid="{F80FFE20-84E2-4402-ADCF-7DEBA8F3FBFA}"/>
    <cellStyle name="Normal 4 2 2 3 2 5 3" xfId="5545" xr:uid="{00000000-0005-0000-0000-000038120000}"/>
    <cellStyle name="Normal 4 2 2 3 2 5 3 2" xfId="13984" xr:uid="{38350040-7D30-4BA1-A1AE-3776AB8B7D27}"/>
    <cellStyle name="Normal 4 2 2 3 2 5 4" xfId="9766" xr:uid="{B4EF816B-A61C-42AD-A247-AF4C923BD549}"/>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A5A328A3-89E1-4B8B-BC3F-0082CA28382F}"/>
    <cellStyle name="Normal 4 2 2 3 2 6 2 3" xfId="12324" xr:uid="{82036F79-2314-4915-BE99-F8FAAF0AF3DA}"/>
    <cellStyle name="Normal 4 2 2 3 2 6 3" xfId="5958" xr:uid="{00000000-0005-0000-0000-00003C120000}"/>
    <cellStyle name="Normal 4 2 2 3 2 6 3 2" xfId="14397" xr:uid="{A033AD0E-70C1-46F5-8E47-572EAE45F319}"/>
    <cellStyle name="Normal 4 2 2 3 2 6 4" xfId="10179" xr:uid="{58C41992-6B09-4A65-A31C-4374B0E0C026}"/>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7403F4EE-9D83-437C-87EF-BD42F717C67F}"/>
    <cellStyle name="Normal 4 2 2 3 2 7 2 3" xfId="12737" xr:uid="{4A18C967-E3BB-4442-90FA-2E50BF981D3E}"/>
    <cellStyle name="Normal 4 2 2 3 2 7 3" xfId="6371" xr:uid="{00000000-0005-0000-0000-000040120000}"/>
    <cellStyle name="Normal 4 2 2 3 2 7 3 2" xfId="14810" xr:uid="{B66173E3-176B-4700-90DB-86C5164350F8}"/>
    <cellStyle name="Normal 4 2 2 3 2 7 4" xfId="10592" xr:uid="{267B7C17-1644-4E15-9A9A-C52E2437E278}"/>
    <cellStyle name="Normal 4 2 2 3 2 8" xfId="2500" xr:uid="{00000000-0005-0000-0000-000041120000}"/>
    <cellStyle name="Normal 4 2 2 3 2 8 2" xfId="6784" xr:uid="{00000000-0005-0000-0000-000042120000}"/>
    <cellStyle name="Normal 4 2 2 3 2 8 2 2" xfId="15223" xr:uid="{B4EBCB03-BD9F-4E1E-8EBC-F4E0DEC7CC91}"/>
    <cellStyle name="Normal 4 2 2 3 2 8 3" xfId="11005" xr:uid="{8C10B7B6-F092-4CA3-B72B-CFB62B711828}"/>
    <cellStyle name="Normal 4 2 2 3 2 9" xfId="4719" xr:uid="{00000000-0005-0000-0000-000043120000}"/>
    <cellStyle name="Normal 4 2 2 3 2 9 2" xfId="13158" xr:uid="{D8EF02D0-5616-4EC7-A9A9-8047AE3F8EC4}"/>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994BB150-B9DC-4801-B233-0660141E32E4}"/>
    <cellStyle name="Normal 4 2 2 3 3 2 2 2 3" xfId="11503" xr:uid="{580AF3C6-678C-4BFE-B2B8-8E9D544E16FC}"/>
    <cellStyle name="Normal 4 2 2 3 3 2 2 3" xfId="5137" xr:uid="{00000000-0005-0000-0000-000049120000}"/>
    <cellStyle name="Normal 4 2 2 3 3 2 2 3 2" xfId="13576" xr:uid="{F2A9409F-E4DC-44F1-ACF1-2123DA7C78C4}"/>
    <cellStyle name="Normal 4 2 2 3 3 2 2 4" xfId="9358" xr:uid="{AF005526-0009-46C3-B22D-93B60A833443}"/>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2FC6B285-3A75-4E0C-B2E2-5F60E5B02C95}"/>
    <cellStyle name="Normal 4 2 2 3 3 2 3 2 3" xfId="11916" xr:uid="{4FEF3889-4D3E-414B-AC1C-F653E3463374}"/>
    <cellStyle name="Normal 4 2 2 3 3 2 3 3" xfId="5550" xr:uid="{00000000-0005-0000-0000-00004D120000}"/>
    <cellStyle name="Normal 4 2 2 3 3 2 3 3 2" xfId="13989" xr:uid="{4CDE5E90-E4DD-49FB-AA2E-ED057195EDB0}"/>
    <cellStyle name="Normal 4 2 2 3 3 2 3 4" xfId="9771" xr:uid="{83D30B08-BE11-446B-9D0A-D903794AFA4A}"/>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95639E0B-4C5B-49EE-B856-D75E4313EA0F}"/>
    <cellStyle name="Normal 4 2 2 3 3 2 4 2 3" xfId="12329" xr:uid="{25070767-5B7E-4915-B026-0566EE5BD2C2}"/>
    <cellStyle name="Normal 4 2 2 3 3 2 4 3" xfId="5963" xr:uid="{00000000-0005-0000-0000-000051120000}"/>
    <cellStyle name="Normal 4 2 2 3 3 2 4 3 2" xfId="14402" xr:uid="{BE8F549D-EA41-4A67-819B-C6B5A464B1EA}"/>
    <cellStyle name="Normal 4 2 2 3 3 2 4 4" xfId="10184" xr:uid="{4F0FAA13-BF24-46B1-8B43-7E62E132C4FC}"/>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61957530-421E-4F7B-A41E-5296A7B855EE}"/>
    <cellStyle name="Normal 4 2 2 3 3 2 5 2 3" xfId="12742" xr:uid="{98B07772-6662-444F-8A73-2AB82141E4E3}"/>
    <cellStyle name="Normal 4 2 2 3 3 2 5 3" xfId="6376" xr:uid="{00000000-0005-0000-0000-000055120000}"/>
    <cellStyle name="Normal 4 2 2 3 3 2 5 3 2" xfId="14815" xr:uid="{F28B82E3-B4C2-4DA7-AA5B-7CB0F8D986D0}"/>
    <cellStyle name="Normal 4 2 2 3 3 2 5 4" xfId="10597" xr:uid="{FCE04131-B870-4E23-8003-6E37BE7B4541}"/>
    <cellStyle name="Normal 4 2 2 3 3 2 6" xfId="2505" xr:uid="{00000000-0005-0000-0000-000056120000}"/>
    <cellStyle name="Normal 4 2 2 3 3 2 6 2" xfId="6789" xr:uid="{00000000-0005-0000-0000-000057120000}"/>
    <cellStyle name="Normal 4 2 2 3 3 2 6 2 2" xfId="15228" xr:uid="{2FDA18AB-3EB1-480E-8571-205616687EA5}"/>
    <cellStyle name="Normal 4 2 2 3 3 2 6 3" xfId="11010" xr:uid="{6C2C1350-95CD-484B-BAFA-CA5E91AB9417}"/>
    <cellStyle name="Normal 4 2 2 3 3 2 7" xfId="4724" xr:uid="{00000000-0005-0000-0000-000058120000}"/>
    <cellStyle name="Normal 4 2 2 3 3 2 7 2" xfId="13163" xr:uid="{DBB240C9-1B77-4B69-AA9F-CC7AF3689143}"/>
    <cellStyle name="Normal 4 2 2 3 3 2 8" xfId="8945" xr:uid="{8CED6C04-823F-4075-9CAC-E2237A3845EB}"/>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DDD109D3-DF44-4B12-9B0F-773C26F27BCE}"/>
    <cellStyle name="Normal 4 2 2 3 3 3 2 3" xfId="11502" xr:uid="{2BE8636B-BA9A-4FE7-B6E3-FBF5CACF1821}"/>
    <cellStyle name="Normal 4 2 2 3 3 3 3" xfId="5136" xr:uid="{00000000-0005-0000-0000-00005C120000}"/>
    <cellStyle name="Normal 4 2 2 3 3 3 3 2" xfId="13575" xr:uid="{BF351CB3-755B-4226-965E-A13B8E5A5BCF}"/>
    <cellStyle name="Normal 4 2 2 3 3 3 4" xfId="9357" xr:uid="{5AFB5FD1-C2A7-4481-961C-D8F7E67CD1C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75F4B569-BD2E-4F59-9F44-E57D1253DFDE}"/>
    <cellStyle name="Normal 4 2 2 3 3 4 2 3" xfId="11915" xr:uid="{C4E63174-C302-449E-8AF3-DE47551AEA1E}"/>
    <cellStyle name="Normal 4 2 2 3 3 4 3" xfId="5549" xr:uid="{00000000-0005-0000-0000-000060120000}"/>
    <cellStyle name="Normal 4 2 2 3 3 4 3 2" xfId="13988" xr:uid="{D798BE14-2523-4E8F-B8CD-F6649F29C3C9}"/>
    <cellStyle name="Normal 4 2 2 3 3 4 4" xfId="9770" xr:uid="{FA507935-7C23-4E57-ACDF-D3F07C0A1FD2}"/>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4C17EBAC-3492-40B0-8E46-375E5107671A}"/>
    <cellStyle name="Normal 4 2 2 3 3 5 2 3" xfId="12328" xr:uid="{7A7EF76E-1881-426D-9039-7F9D2051085D}"/>
    <cellStyle name="Normal 4 2 2 3 3 5 3" xfId="5962" xr:uid="{00000000-0005-0000-0000-000064120000}"/>
    <cellStyle name="Normal 4 2 2 3 3 5 3 2" xfId="14401" xr:uid="{8A4811C5-6804-43A0-ABF4-7FCF5B9E8205}"/>
    <cellStyle name="Normal 4 2 2 3 3 5 4" xfId="10183" xr:uid="{E957CE77-432E-4A23-829A-E9FA9062BF0A}"/>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14438E11-A144-4F0C-A78C-C25AA4C34BC2}"/>
    <cellStyle name="Normal 4 2 2 3 3 6 2 3" xfId="12741" xr:uid="{E45C674F-115E-489C-A5FD-F4DDB7B9BF32}"/>
    <cellStyle name="Normal 4 2 2 3 3 6 3" xfId="6375" xr:uid="{00000000-0005-0000-0000-000068120000}"/>
    <cellStyle name="Normal 4 2 2 3 3 6 3 2" xfId="14814" xr:uid="{153DEC2C-A7D5-453F-BDCE-F87D44CECECF}"/>
    <cellStyle name="Normal 4 2 2 3 3 6 4" xfId="10596" xr:uid="{A4FE4235-4E83-441C-8286-ED89EAD26767}"/>
    <cellStyle name="Normal 4 2 2 3 3 7" xfId="2504" xr:uid="{00000000-0005-0000-0000-000069120000}"/>
    <cellStyle name="Normal 4 2 2 3 3 7 2" xfId="6788" xr:uid="{00000000-0005-0000-0000-00006A120000}"/>
    <cellStyle name="Normal 4 2 2 3 3 7 2 2" xfId="15227" xr:uid="{E76D8E7F-5C62-4CBC-ADBA-1631F334D619}"/>
    <cellStyle name="Normal 4 2 2 3 3 7 3" xfId="11009" xr:uid="{C4947D26-F18B-4665-9745-56F3D71C6319}"/>
    <cellStyle name="Normal 4 2 2 3 3 8" xfId="4723" xr:uid="{00000000-0005-0000-0000-00006B120000}"/>
    <cellStyle name="Normal 4 2 2 3 3 8 2" xfId="13162" xr:uid="{02145DD8-8119-45BB-8465-6CD324771EF7}"/>
    <cellStyle name="Normal 4 2 2 3 3 9" xfId="8944" xr:uid="{9F7A636D-ACEC-4A13-8000-307727283D23}"/>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06A603FA-9A78-4167-BAF5-D6A0DD39A76E}"/>
    <cellStyle name="Normal 4 2 2 3 4 2 2 3" xfId="11504" xr:uid="{6E0B67DD-C85B-4B99-A448-B18A128CEF8A}"/>
    <cellStyle name="Normal 4 2 2 3 4 2 3" xfId="5138" xr:uid="{00000000-0005-0000-0000-000070120000}"/>
    <cellStyle name="Normal 4 2 2 3 4 2 3 2" xfId="13577" xr:uid="{AEBFB06F-E2E7-4A64-B7DD-EC7EC3F926E6}"/>
    <cellStyle name="Normal 4 2 2 3 4 2 4" xfId="9359" xr:uid="{1CEDF10D-64BE-4080-BA96-2621DB4ACE64}"/>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33591040-2367-48EE-9745-4809A94DA0AB}"/>
    <cellStyle name="Normal 4 2 2 3 4 3 2 3" xfId="11917" xr:uid="{55796D79-896E-414F-AF6D-F85D031B93F2}"/>
    <cellStyle name="Normal 4 2 2 3 4 3 3" xfId="5551" xr:uid="{00000000-0005-0000-0000-000074120000}"/>
    <cellStyle name="Normal 4 2 2 3 4 3 3 2" xfId="13990" xr:uid="{CA8AF38B-8BF3-4A80-98AD-BA7F79CF7A03}"/>
    <cellStyle name="Normal 4 2 2 3 4 3 4" xfId="9772" xr:uid="{472C31E2-8C03-4C2F-A1F3-8C5CA33E2CF8}"/>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D02D37F4-9FB7-46EE-A3AE-B07CEF28B246}"/>
    <cellStyle name="Normal 4 2 2 3 4 4 2 3" xfId="12330" xr:uid="{9473B19C-AFB7-48C8-94CE-5CA265AF218C}"/>
    <cellStyle name="Normal 4 2 2 3 4 4 3" xfId="5964" xr:uid="{00000000-0005-0000-0000-000078120000}"/>
    <cellStyle name="Normal 4 2 2 3 4 4 3 2" xfId="14403" xr:uid="{F2912CD6-D45B-453D-874D-4434A45741A1}"/>
    <cellStyle name="Normal 4 2 2 3 4 4 4" xfId="10185" xr:uid="{D313198D-7EFA-46B5-AEBA-33482715421D}"/>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8BE9B150-6067-4E2C-B6A5-5ED55079EE8A}"/>
    <cellStyle name="Normal 4 2 2 3 4 5 2 3" xfId="12743" xr:uid="{D9958087-2011-4A05-B727-B0E7A6E8EC96}"/>
    <cellStyle name="Normal 4 2 2 3 4 5 3" xfId="6377" xr:uid="{00000000-0005-0000-0000-00007C120000}"/>
    <cellStyle name="Normal 4 2 2 3 4 5 3 2" xfId="14816" xr:uid="{2CAF1ED1-A5CC-4000-8BF8-60DD31A360ED}"/>
    <cellStyle name="Normal 4 2 2 3 4 5 4" xfId="10598" xr:uid="{18FB353F-7843-49B3-844C-57517815A4B7}"/>
    <cellStyle name="Normal 4 2 2 3 4 6" xfId="2506" xr:uid="{00000000-0005-0000-0000-00007D120000}"/>
    <cellStyle name="Normal 4 2 2 3 4 6 2" xfId="6790" xr:uid="{00000000-0005-0000-0000-00007E120000}"/>
    <cellStyle name="Normal 4 2 2 3 4 6 2 2" xfId="15229" xr:uid="{83F90A12-391C-4320-AFFB-B9EB6F9FF118}"/>
    <cellStyle name="Normal 4 2 2 3 4 6 3" xfId="11011" xr:uid="{9B651533-4435-4CBE-AFA2-E8D6E8493C2A}"/>
    <cellStyle name="Normal 4 2 2 3 4 7" xfId="4725" xr:uid="{00000000-0005-0000-0000-00007F120000}"/>
    <cellStyle name="Normal 4 2 2 3 4 7 2" xfId="13164" xr:uid="{AA4BF1B6-241E-4A37-B9D0-A81EC3F4CF3F}"/>
    <cellStyle name="Normal 4 2 2 3 4 8" xfId="8946" xr:uid="{8B7F4519-8D8F-43F8-9300-D35781D670BA}"/>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103136E8-618B-4840-9673-21920C8D8F40}"/>
    <cellStyle name="Normal 4 2 2 3 5 2 3" xfId="11497" xr:uid="{8BB86F5B-AD0A-425F-8F64-8351283B9329}"/>
    <cellStyle name="Normal 4 2 2 3 5 3" xfId="5131" xr:uid="{00000000-0005-0000-0000-000083120000}"/>
    <cellStyle name="Normal 4 2 2 3 5 3 2" xfId="13570" xr:uid="{8E0125A4-D909-40B4-BD7C-D2CB7D354642}"/>
    <cellStyle name="Normal 4 2 2 3 5 4" xfId="9352" xr:uid="{EAE3F814-3C75-4A0C-A628-D009190A9689}"/>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6246C10B-7580-4FEA-B8B7-89C6552D022A}"/>
    <cellStyle name="Normal 4 2 2 3 6 2 3" xfId="11910" xr:uid="{5AD56014-0ADE-4CE5-A56F-23131C799D5B}"/>
    <cellStyle name="Normal 4 2 2 3 6 3" xfId="5544" xr:uid="{00000000-0005-0000-0000-000087120000}"/>
    <cellStyle name="Normal 4 2 2 3 6 3 2" xfId="13983" xr:uid="{059F5E18-3D2E-4326-AA25-D2A925C20766}"/>
    <cellStyle name="Normal 4 2 2 3 6 4" xfId="9765" xr:uid="{6130308D-E02B-4026-A3E5-5B068F3D95B4}"/>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7439C905-11D0-4FB3-9A0A-4AF02EEA7284}"/>
    <cellStyle name="Normal 4 2 2 3 7 2 3" xfId="12323" xr:uid="{E3378B21-43EF-461F-A22E-A52401AA3916}"/>
    <cellStyle name="Normal 4 2 2 3 7 3" xfId="5957" xr:uid="{00000000-0005-0000-0000-00008B120000}"/>
    <cellStyle name="Normal 4 2 2 3 7 3 2" xfId="14396" xr:uid="{F38FAAAB-810B-4FF7-9420-BE8D02AAFB79}"/>
    <cellStyle name="Normal 4 2 2 3 7 4" xfId="10178" xr:uid="{9ABCCE5D-04B7-4E85-8819-8372E57015E9}"/>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FBABDAD6-C87E-45D5-889E-5E872372D99D}"/>
    <cellStyle name="Normal 4 2 2 3 8 2 3" xfId="12736" xr:uid="{EC471DBC-9999-462C-A149-EFF1A5613323}"/>
    <cellStyle name="Normal 4 2 2 3 8 3" xfId="6370" xr:uid="{00000000-0005-0000-0000-00008F120000}"/>
    <cellStyle name="Normal 4 2 2 3 8 3 2" xfId="14809" xr:uid="{FF93461A-E471-447C-8EE0-B2BA6EC79A39}"/>
    <cellStyle name="Normal 4 2 2 3 8 4" xfId="10591" xr:uid="{39C5C2C5-A79A-4C7A-9D87-BE7402795C0C}"/>
    <cellStyle name="Normal 4 2 2 3 9" xfId="2499" xr:uid="{00000000-0005-0000-0000-000090120000}"/>
    <cellStyle name="Normal 4 2 2 3 9 2" xfId="6783" xr:uid="{00000000-0005-0000-0000-000091120000}"/>
    <cellStyle name="Normal 4 2 2 3 9 2 2" xfId="15222" xr:uid="{0434617C-E250-4F7A-926A-AEF9EF215ACD}"/>
    <cellStyle name="Normal 4 2 2 3 9 3" xfId="11004" xr:uid="{202474BD-E20F-46F0-AB2B-6DE52A4A8510}"/>
    <cellStyle name="Normal 4 2 2 4" xfId="347" xr:uid="{00000000-0005-0000-0000-000092120000}"/>
    <cellStyle name="Normal 4 2 2 4 10" xfId="8947" xr:uid="{F584E438-9D03-46C3-A0CC-6CBCE98A06A5}"/>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FFF95246-BFE9-41D9-8FAC-02CABDAD60C9}"/>
    <cellStyle name="Normal 4 2 2 4 2 2 2 2 3" xfId="11507" xr:uid="{4A0534EA-49FD-4C7B-9600-BA65DEB7AA35}"/>
    <cellStyle name="Normal 4 2 2 4 2 2 2 3" xfId="5141" xr:uid="{00000000-0005-0000-0000-000098120000}"/>
    <cellStyle name="Normal 4 2 2 4 2 2 2 3 2" xfId="13580" xr:uid="{219CE97E-543F-46E4-B370-9FEBC2B6EE2C}"/>
    <cellStyle name="Normal 4 2 2 4 2 2 2 4" xfId="9362" xr:uid="{92279DD3-78C8-43AB-B470-4558D95841EE}"/>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F4329CAC-2906-44A5-B1D0-90AD60940518}"/>
    <cellStyle name="Normal 4 2 2 4 2 2 3 2 3" xfId="11920" xr:uid="{FDAFB4B9-265A-47E2-A053-60206D492BE6}"/>
    <cellStyle name="Normal 4 2 2 4 2 2 3 3" xfId="5554" xr:uid="{00000000-0005-0000-0000-00009C120000}"/>
    <cellStyle name="Normal 4 2 2 4 2 2 3 3 2" xfId="13993" xr:uid="{BD87D73D-5EDA-4E6D-AB62-A257D772CBB9}"/>
    <cellStyle name="Normal 4 2 2 4 2 2 3 4" xfId="9775" xr:uid="{961CBBCF-CF02-407C-B40E-8864CFA0FC11}"/>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3E8B1901-F62C-401C-BACD-BE6CFED3252C}"/>
    <cellStyle name="Normal 4 2 2 4 2 2 4 2 3" xfId="12333" xr:uid="{7F72560A-F9F9-4174-8551-B72123D7666F}"/>
    <cellStyle name="Normal 4 2 2 4 2 2 4 3" xfId="5967" xr:uid="{00000000-0005-0000-0000-0000A0120000}"/>
    <cellStyle name="Normal 4 2 2 4 2 2 4 3 2" xfId="14406" xr:uid="{EB30385F-B4C2-468A-BD3C-43F5571B5AF3}"/>
    <cellStyle name="Normal 4 2 2 4 2 2 4 4" xfId="10188" xr:uid="{2B713EAC-F570-41A4-B580-F83C8A24E66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5DD35A12-2453-4F18-B584-47F455DD67AD}"/>
    <cellStyle name="Normal 4 2 2 4 2 2 5 2 3" xfId="12746" xr:uid="{F7B9BC09-E142-4DA9-8C2E-E32C63A99A0A}"/>
    <cellStyle name="Normal 4 2 2 4 2 2 5 3" xfId="6380" xr:uid="{00000000-0005-0000-0000-0000A4120000}"/>
    <cellStyle name="Normal 4 2 2 4 2 2 5 3 2" xfId="14819" xr:uid="{F4C87BAC-0659-4D9B-A2C4-55ED6DD1256B}"/>
    <cellStyle name="Normal 4 2 2 4 2 2 5 4" xfId="10601" xr:uid="{AC89DCE6-CE80-4697-A824-535C1E34E9D2}"/>
    <cellStyle name="Normal 4 2 2 4 2 2 6" xfId="2509" xr:uid="{00000000-0005-0000-0000-0000A5120000}"/>
    <cellStyle name="Normal 4 2 2 4 2 2 6 2" xfId="6793" xr:uid="{00000000-0005-0000-0000-0000A6120000}"/>
    <cellStyle name="Normal 4 2 2 4 2 2 6 2 2" xfId="15232" xr:uid="{52EBD21D-A93A-46D4-AEEB-DD137D443A60}"/>
    <cellStyle name="Normal 4 2 2 4 2 2 6 3" xfId="11014" xr:uid="{EBCF735E-4F3D-40C4-9875-66CBD4E790ED}"/>
    <cellStyle name="Normal 4 2 2 4 2 2 7" xfId="4728" xr:uid="{00000000-0005-0000-0000-0000A7120000}"/>
    <cellStyle name="Normal 4 2 2 4 2 2 7 2" xfId="13167" xr:uid="{43A1CA6D-E5B1-476B-B1BA-CF37F15F2E66}"/>
    <cellStyle name="Normal 4 2 2 4 2 2 8" xfId="8949" xr:uid="{D0C5B125-4137-4DE0-844A-C7CBF61B9B8A}"/>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F2902C1A-74B2-4E6B-8A92-D9F2882C01A6}"/>
    <cellStyle name="Normal 4 2 2 4 2 3 2 3" xfId="11506" xr:uid="{D220BAA8-17C5-43F6-B9AF-280A129BAA5D}"/>
    <cellStyle name="Normal 4 2 2 4 2 3 3" xfId="5140" xr:uid="{00000000-0005-0000-0000-0000AB120000}"/>
    <cellStyle name="Normal 4 2 2 4 2 3 3 2" xfId="13579" xr:uid="{FEAA41A4-BBAB-42F0-8E99-A80D287CFBA3}"/>
    <cellStyle name="Normal 4 2 2 4 2 3 4" xfId="9361" xr:uid="{FAB90F58-0FA0-4421-B361-7C1D1907B89B}"/>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864E3A9B-63A0-415C-85C2-3BC1FC949350}"/>
    <cellStyle name="Normal 4 2 2 4 2 4 2 3" xfId="11919" xr:uid="{1D36E558-7BF4-48D7-9DD4-E6A9068E3A6C}"/>
    <cellStyle name="Normal 4 2 2 4 2 4 3" xfId="5553" xr:uid="{00000000-0005-0000-0000-0000AF120000}"/>
    <cellStyle name="Normal 4 2 2 4 2 4 3 2" xfId="13992" xr:uid="{9343DE88-B94A-428B-ABEF-FE666C650A1F}"/>
    <cellStyle name="Normal 4 2 2 4 2 4 4" xfId="9774" xr:uid="{6970C457-2292-478A-8078-CD49AA78560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4BB31E87-CB25-4AFF-A8C3-7249EEDA581C}"/>
    <cellStyle name="Normal 4 2 2 4 2 5 2 3" xfId="12332" xr:uid="{470E22A8-C532-476D-9662-78568463DEC8}"/>
    <cellStyle name="Normal 4 2 2 4 2 5 3" xfId="5966" xr:uid="{00000000-0005-0000-0000-0000B3120000}"/>
    <cellStyle name="Normal 4 2 2 4 2 5 3 2" xfId="14405" xr:uid="{D7CCB384-31D2-48C6-A7A3-E00145EBADD4}"/>
    <cellStyle name="Normal 4 2 2 4 2 5 4" xfId="10187" xr:uid="{3C8E28D0-7752-4A2E-9C43-8755EA436F86}"/>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99AFF805-3670-411A-AC5E-2FBA56AD6D3A}"/>
    <cellStyle name="Normal 4 2 2 4 2 6 2 3" xfId="12745" xr:uid="{4D94BF34-01EB-4793-A051-476717F88010}"/>
    <cellStyle name="Normal 4 2 2 4 2 6 3" xfId="6379" xr:uid="{00000000-0005-0000-0000-0000B7120000}"/>
    <cellStyle name="Normal 4 2 2 4 2 6 3 2" xfId="14818" xr:uid="{F6B682D2-E2FE-4AA9-BD3C-F369D3B9EB8A}"/>
    <cellStyle name="Normal 4 2 2 4 2 6 4" xfId="10600" xr:uid="{6304EF28-CBC8-42A4-B583-9AAAB3B17E44}"/>
    <cellStyle name="Normal 4 2 2 4 2 7" xfId="2508" xr:uid="{00000000-0005-0000-0000-0000B8120000}"/>
    <cellStyle name="Normal 4 2 2 4 2 7 2" xfId="6792" xr:uid="{00000000-0005-0000-0000-0000B9120000}"/>
    <cellStyle name="Normal 4 2 2 4 2 7 2 2" xfId="15231" xr:uid="{E84AE301-E6C7-4C6D-B32C-C0FED53C7449}"/>
    <cellStyle name="Normal 4 2 2 4 2 7 3" xfId="11013" xr:uid="{39C7B8B2-DEBC-464F-89B1-9087BAD1AC12}"/>
    <cellStyle name="Normal 4 2 2 4 2 8" xfId="4727" xr:uid="{00000000-0005-0000-0000-0000BA120000}"/>
    <cellStyle name="Normal 4 2 2 4 2 8 2" xfId="13166" xr:uid="{E5F349C4-B095-474B-ABE9-FA7F5611B177}"/>
    <cellStyle name="Normal 4 2 2 4 2 9" xfId="8948" xr:uid="{F41806D1-8A90-4243-98AE-DA43257B98A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7DCC0954-425F-4C0B-8C29-2F41B49CBC06}"/>
    <cellStyle name="Normal 4 2 2 4 3 2 2 3" xfId="11508" xr:uid="{50CE6B35-ED0D-4E15-812B-546AB128F7AE}"/>
    <cellStyle name="Normal 4 2 2 4 3 2 3" xfId="5142" xr:uid="{00000000-0005-0000-0000-0000BF120000}"/>
    <cellStyle name="Normal 4 2 2 4 3 2 3 2" xfId="13581" xr:uid="{45054D58-0C9E-4917-B1A8-1BC5EC68F641}"/>
    <cellStyle name="Normal 4 2 2 4 3 2 4" xfId="9363" xr:uid="{A9EBFFAE-D24F-41CF-B9FC-36CFFD88042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D4E45B8E-9D1A-4DDC-A66E-A97D6F1130E2}"/>
    <cellStyle name="Normal 4 2 2 4 3 3 2 3" xfId="11921" xr:uid="{C2C4F285-1450-4C40-AABA-5A7FA254D5AC}"/>
    <cellStyle name="Normal 4 2 2 4 3 3 3" xfId="5555" xr:uid="{00000000-0005-0000-0000-0000C3120000}"/>
    <cellStyle name="Normal 4 2 2 4 3 3 3 2" xfId="13994" xr:uid="{7839C555-59AA-40FF-A12D-B284CEAE52E5}"/>
    <cellStyle name="Normal 4 2 2 4 3 3 4" xfId="9776" xr:uid="{29A494BA-B65C-483F-85A0-EB821BCF1C88}"/>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B07C4320-BF9F-4AD5-B9A2-B299F074B4DA}"/>
    <cellStyle name="Normal 4 2 2 4 3 4 2 3" xfId="12334" xr:uid="{B3E69C5B-F730-4381-82FA-5542273F964D}"/>
    <cellStyle name="Normal 4 2 2 4 3 4 3" xfId="5968" xr:uid="{00000000-0005-0000-0000-0000C7120000}"/>
    <cellStyle name="Normal 4 2 2 4 3 4 3 2" xfId="14407" xr:uid="{85B482F7-D780-4C8C-BA11-59643E2EFFC8}"/>
    <cellStyle name="Normal 4 2 2 4 3 4 4" xfId="10189" xr:uid="{2A9E07EB-0305-408A-BA46-42FE2673E5EB}"/>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A42E6447-AA98-49F4-81CC-96B6D927CF4A}"/>
    <cellStyle name="Normal 4 2 2 4 3 5 2 3" xfId="12747" xr:uid="{559F7B56-26CD-4B72-81A6-959A40044478}"/>
    <cellStyle name="Normal 4 2 2 4 3 5 3" xfId="6381" xr:uid="{00000000-0005-0000-0000-0000CB120000}"/>
    <cellStyle name="Normal 4 2 2 4 3 5 3 2" xfId="14820" xr:uid="{B3329768-07E2-4296-971B-1CC91A28AA76}"/>
    <cellStyle name="Normal 4 2 2 4 3 5 4" xfId="10602" xr:uid="{6EDABC79-66C6-48DE-B1D4-DE6D9B801487}"/>
    <cellStyle name="Normal 4 2 2 4 3 6" xfId="2510" xr:uid="{00000000-0005-0000-0000-0000CC120000}"/>
    <cellStyle name="Normal 4 2 2 4 3 6 2" xfId="6794" xr:uid="{00000000-0005-0000-0000-0000CD120000}"/>
    <cellStyle name="Normal 4 2 2 4 3 6 2 2" xfId="15233" xr:uid="{B0F0896A-6E2D-4F7C-986E-39E52FFFB7EC}"/>
    <cellStyle name="Normal 4 2 2 4 3 6 3" xfId="11015" xr:uid="{DF6143C5-6353-47BE-92A3-C490B02EB7BE}"/>
    <cellStyle name="Normal 4 2 2 4 3 7" xfId="4729" xr:uid="{00000000-0005-0000-0000-0000CE120000}"/>
    <cellStyle name="Normal 4 2 2 4 3 7 2" xfId="13168" xr:uid="{046E6B09-A37E-4EDF-9B90-FC72168473D0}"/>
    <cellStyle name="Normal 4 2 2 4 3 8" xfId="8950" xr:uid="{144BA724-A93D-477E-BAE0-991B8C63EAA3}"/>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5B48C8D4-1152-42EF-8D46-87BCC4140D47}"/>
    <cellStyle name="Normal 4 2 2 4 4 2 3" xfId="11505" xr:uid="{7266E5B8-DE05-4C54-8A97-50B955C1573B}"/>
    <cellStyle name="Normal 4 2 2 4 4 3" xfId="5139" xr:uid="{00000000-0005-0000-0000-0000D2120000}"/>
    <cellStyle name="Normal 4 2 2 4 4 3 2" xfId="13578" xr:uid="{69A877C4-18B4-4DE2-826A-89D38A7BBC3B}"/>
    <cellStyle name="Normal 4 2 2 4 4 4" xfId="9360" xr:uid="{41037641-9DA0-4072-AF26-722C6586E6D5}"/>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AED92878-A445-4F62-A10D-457182797ADF}"/>
    <cellStyle name="Normal 4 2 2 4 5 2 3" xfId="11918" xr:uid="{F2D50539-0E9F-4288-A853-B422685CD42D}"/>
    <cellStyle name="Normal 4 2 2 4 5 3" xfId="5552" xr:uid="{00000000-0005-0000-0000-0000D6120000}"/>
    <cellStyle name="Normal 4 2 2 4 5 3 2" xfId="13991" xr:uid="{02822040-AA10-4E49-B7DB-24964C2EACEC}"/>
    <cellStyle name="Normal 4 2 2 4 5 4" xfId="9773" xr:uid="{D07FBA58-32E8-427A-9BCD-0ACBBDA5F81D}"/>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E02F86CC-C4D8-46D0-B9A4-090C5733301E}"/>
    <cellStyle name="Normal 4 2 2 4 6 2 3" xfId="12331" xr:uid="{F4304EFD-577C-4055-A997-C7B65D87FAA1}"/>
    <cellStyle name="Normal 4 2 2 4 6 3" xfId="5965" xr:uid="{00000000-0005-0000-0000-0000DA120000}"/>
    <cellStyle name="Normal 4 2 2 4 6 3 2" xfId="14404" xr:uid="{91B445FD-0331-45E5-BD12-405096D02EC4}"/>
    <cellStyle name="Normal 4 2 2 4 6 4" xfId="10186" xr:uid="{D2A0FE67-BAFA-424C-818A-9CBF04A6BE99}"/>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4B9EB2D5-8E2B-4B12-ACBE-AA2BC43B0C62}"/>
    <cellStyle name="Normal 4 2 2 4 7 2 3" xfId="12744" xr:uid="{2C7A88F2-1192-44D7-80F5-443C87D2857A}"/>
    <cellStyle name="Normal 4 2 2 4 7 3" xfId="6378" xr:uid="{00000000-0005-0000-0000-0000DE120000}"/>
    <cellStyle name="Normal 4 2 2 4 7 3 2" xfId="14817" xr:uid="{217DA208-9080-447C-A4B1-7ACBB64CE16A}"/>
    <cellStyle name="Normal 4 2 2 4 7 4" xfId="10599" xr:uid="{8955CA7D-8287-4E53-8D7E-8F8A1E28A715}"/>
    <cellStyle name="Normal 4 2 2 4 8" xfId="2507" xr:uid="{00000000-0005-0000-0000-0000DF120000}"/>
    <cellStyle name="Normal 4 2 2 4 8 2" xfId="6791" xr:uid="{00000000-0005-0000-0000-0000E0120000}"/>
    <cellStyle name="Normal 4 2 2 4 8 2 2" xfId="15230" xr:uid="{23600FA5-178A-4285-B7CD-41E63A182E8C}"/>
    <cellStyle name="Normal 4 2 2 4 8 3" xfId="11012" xr:uid="{6B4DA7BE-0CAA-4D7B-BFDF-3BB3AA2A1600}"/>
    <cellStyle name="Normal 4 2 2 4 9" xfId="4726" xr:uid="{00000000-0005-0000-0000-0000E1120000}"/>
    <cellStyle name="Normal 4 2 2 4 9 2" xfId="13165" xr:uid="{3C4126D9-08FD-4B69-9094-47C3A55F8BD3}"/>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43739CDC-4AC4-4717-BEEB-4A1B43D9A3A1}"/>
    <cellStyle name="Normal 4 2 2 5 2 2 2 3" xfId="11510" xr:uid="{7CAE1D75-A783-40FD-A036-720FC829AFE5}"/>
    <cellStyle name="Normal 4 2 2 5 2 2 3" xfId="5144" xr:uid="{00000000-0005-0000-0000-0000E7120000}"/>
    <cellStyle name="Normal 4 2 2 5 2 2 3 2" xfId="13583" xr:uid="{470A54B5-645E-4B3A-B1F9-0547028462D5}"/>
    <cellStyle name="Normal 4 2 2 5 2 2 4" xfId="9365" xr:uid="{6B61B8D1-45B0-4EB2-8AE2-7D7FEE53832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3ADEF4D0-2F84-483D-97CB-2AD3B2498F9A}"/>
    <cellStyle name="Normal 4 2 2 5 2 3 2 3" xfId="11923" xr:uid="{A8F7CD2A-DDCC-4F5E-B31B-7781F36E0886}"/>
    <cellStyle name="Normal 4 2 2 5 2 3 3" xfId="5557" xr:uid="{00000000-0005-0000-0000-0000EB120000}"/>
    <cellStyle name="Normal 4 2 2 5 2 3 3 2" xfId="13996" xr:uid="{2738A67D-7D8F-4822-A222-9EE4CF1A60A1}"/>
    <cellStyle name="Normal 4 2 2 5 2 3 4" xfId="9778" xr:uid="{E0436C62-3813-4334-93FC-6DE101E141B1}"/>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4B81F2B8-9115-46C0-AC6B-BE7112E99CAE}"/>
    <cellStyle name="Normal 4 2 2 5 2 4 2 3" xfId="12336" xr:uid="{C86F2743-AD34-42FD-BC84-481B03A50253}"/>
    <cellStyle name="Normal 4 2 2 5 2 4 3" xfId="5970" xr:uid="{00000000-0005-0000-0000-0000EF120000}"/>
    <cellStyle name="Normal 4 2 2 5 2 4 3 2" xfId="14409" xr:uid="{519FCE2C-EEDE-41A8-AD52-37B19E84B481}"/>
    <cellStyle name="Normal 4 2 2 5 2 4 4" xfId="10191" xr:uid="{2E87E4E7-A36F-45AB-93D2-2724723917E9}"/>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991E43FC-C874-4666-93AE-8ADC3C8A6CBA}"/>
    <cellStyle name="Normal 4 2 2 5 2 5 2 3" xfId="12749" xr:uid="{1A7B0107-C5B1-44B3-83D8-9BA170829A6B}"/>
    <cellStyle name="Normal 4 2 2 5 2 5 3" xfId="6383" xr:uid="{00000000-0005-0000-0000-0000F3120000}"/>
    <cellStyle name="Normal 4 2 2 5 2 5 3 2" xfId="14822" xr:uid="{78D43539-170E-4B60-8EE8-CB858B077A0E}"/>
    <cellStyle name="Normal 4 2 2 5 2 5 4" xfId="10604" xr:uid="{6944A32B-5A42-4C14-8FFD-C37142E5CDA2}"/>
    <cellStyle name="Normal 4 2 2 5 2 6" xfId="2512" xr:uid="{00000000-0005-0000-0000-0000F4120000}"/>
    <cellStyle name="Normal 4 2 2 5 2 6 2" xfId="6796" xr:uid="{00000000-0005-0000-0000-0000F5120000}"/>
    <cellStyle name="Normal 4 2 2 5 2 6 2 2" xfId="15235" xr:uid="{E8F1E660-1190-4616-8491-42F6C12DA793}"/>
    <cellStyle name="Normal 4 2 2 5 2 6 3" xfId="11017" xr:uid="{8E892627-0EB0-4359-B69A-84AB848F8FAF}"/>
    <cellStyle name="Normal 4 2 2 5 2 7" xfId="4731" xr:uid="{00000000-0005-0000-0000-0000F6120000}"/>
    <cellStyle name="Normal 4 2 2 5 2 7 2" xfId="13170" xr:uid="{3B55D22C-FAA4-44BE-804D-9C50E1467EA0}"/>
    <cellStyle name="Normal 4 2 2 5 2 8" xfId="8952" xr:uid="{FF0FC498-29E4-49A7-9927-AA83B05CCF9B}"/>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46C5479B-C568-44E4-8568-06CBDC559C90}"/>
    <cellStyle name="Normal 4 2 2 5 3 2 3" xfId="11509" xr:uid="{F73A38B0-F69F-441E-82BE-A1DFE7E114C9}"/>
    <cellStyle name="Normal 4 2 2 5 3 3" xfId="5143" xr:uid="{00000000-0005-0000-0000-0000FA120000}"/>
    <cellStyle name="Normal 4 2 2 5 3 3 2" xfId="13582" xr:uid="{6E7BF9F6-BB40-4FF9-9F6F-3EFBD5A65DFF}"/>
    <cellStyle name="Normal 4 2 2 5 3 4" xfId="9364" xr:uid="{23824EA4-47ED-4D28-9D3F-29B1FE499963}"/>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D9785345-D5C7-49C5-868E-437C4F1EFDE6}"/>
    <cellStyle name="Normal 4 2 2 5 4 2 3" xfId="11922" xr:uid="{395655DB-E051-4CCD-AB32-52162F7D7F88}"/>
    <cellStyle name="Normal 4 2 2 5 4 3" xfId="5556" xr:uid="{00000000-0005-0000-0000-0000FE120000}"/>
    <cellStyle name="Normal 4 2 2 5 4 3 2" xfId="13995" xr:uid="{6C9C6FE4-EE0B-4051-B043-690485E3196F}"/>
    <cellStyle name="Normal 4 2 2 5 4 4" xfId="9777" xr:uid="{C1ED4221-449F-4560-B977-1C8900EF5F33}"/>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F6704A38-97CC-4AB7-919C-8A1AE309E1F7}"/>
    <cellStyle name="Normal 4 2 2 5 5 2 3" xfId="12335" xr:uid="{2995DF21-0F93-42FB-9342-7D58EA130505}"/>
    <cellStyle name="Normal 4 2 2 5 5 3" xfId="5969" xr:uid="{00000000-0005-0000-0000-000002130000}"/>
    <cellStyle name="Normal 4 2 2 5 5 3 2" xfId="14408" xr:uid="{77994B8F-D3B1-4334-B4BA-773AA62B5710}"/>
    <cellStyle name="Normal 4 2 2 5 5 4" xfId="10190" xr:uid="{2A7DE610-638D-45AB-BB41-3CF062AF58ED}"/>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91C7A266-7897-4B41-851A-1B0D26EC7C77}"/>
    <cellStyle name="Normal 4 2 2 5 6 2 3" xfId="12748" xr:uid="{B3F44237-9C0D-4604-A0EE-BA68D1DF7FE6}"/>
    <cellStyle name="Normal 4 2 2 5 6 3" xfId="6382" xr:uid="{00000000-0005-0000-0000-000006130000}"/>
    <cellStyle name="Normal 4 2 2 5 6 3 2" xfId="14821" xr:uid="{8AF9A780-8D16-47BA-96CF-2A2C33542643}"/>
    <cellStyle name="Normal 4 2 2 5 6 4" xfId="10603" xr:uid="{3B01F048-72D2-4CA3-BF39-E3E80A983832}"/>
    <cellStyle name="Normal 4 2 2 5 7" xfId="2511" xr:uid="{00000000-0005-0000-0000-000007130000}"/>
    <cellStyle name="Normal 4 2 2 5 7 2" xfId="6795" xr:uid="{00000000-0005-0000-0000-000008130000}"/>
    <cellStyle name="Normal 4 2 2 5 7 2 2" xfId="15234" xr:uid="{3912A676-A288-4156-952E-C2448FAA1910}"/>
    <cellStyle name="Normal 4 2 2 5 7 3" xfId="11016" xr:uid="{76B685CF-A244-4E27-9776-2B40A5128AF5}"/>
    <cellStyle name="Normal 4 2 2 5 8" xfId="4730" xr:uid="{00000000-0005-0000-0000-000009130000}"/>
    <cellStyle name="Normal 4 2 2 5 8 2" xfId="13169" xr:uid="{0BF55BB3-6E06-40D3-B39D-9512A122B8FE}"/>
    <cellStyle name="Normal 4 2 2 5 9" xfId="8951" xr:uid="{58826AD6-98D9-4ACC-A816-B40CC6AA7E7D}"/>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9E2FBD84-295A-4621-810D-8A69E4AA3E53}"/>
    <cellStyle name="Normal 4 2 2 6 2 2 3" xfId="11511" xr:uid="{98957501-D835-41CA-95D3-35F0112DC17D}"/>
    <cellStyle name="Normal 4 2 2 6 2 3" xfId="5145" xr:uid="{00000000-0005-0000-0000-00000E130000}"/>
    <cellStyle name="Normal 4 2 2 6 2 3 2" xfId="13584" xr:uid="{E130C88C-4B62-4587-A933-7C10074A8CCC}"/>
    <cellStyle name="Normal 4 2 2 6 2 4" xfId="9366" xr:uid="{7A45BD0B-449F-4858-BEAC-2C460446D6CE}"/>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134429B8-44C7-4FCF-9F54-C57DD963A961}"/>
    <cellStyle name="Normal 4 2 2 6 3 2 3" xfId="11924" xr:uid="{05B7810A-252C-431C-BEEB-A5E70FC0EA41}"/>
    <cellStyle name="Normal 4 2 2 6 3 3" xfId="5558" xr:uid="{00000000-0005-0000-0000-000012130000}"/>
    <cellStyle name="Normal 4 2 2 6 3 3 2" xfId="13997" xr:uid="{C3E76A2E-3992-47CE-8940-BCAB959A75DE}"/>
    <cellStyle name="Normal 4 2 2 6 3 4" xfId="9779" xr:uid="{C2197A24-0F93-47F0-B779-FE3374BCDBFF}"/>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2274939F-4FAB-4D60-BB24-3187A9C109F2}"/>
    <cellStyle name="Normal 4 2 2 6 4 2 3" xfId="12337" xr:uid="{162EB788-C345-4F73-9828-BE8E973F06D4}"/>
    <cellStyle name="Normal 4 2 2 6 4 3" xfId="5971" xr:uid="{00000000-0005-0000-0000-000016130000}"/>
    <cellStyle name="Normal 4 2 2 6 4 3 2" xfId="14410" xr:uid="{864FCBCF-B012-44B6-BC4F-4E9420C8B172}"/>
    <cellStyle name="Normal 4 2 2 6 4 4" xfId="10192" xr:uid="{35648548-FD7E-4BD4-94EC-716FA2C007EE}"/>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320055CF-12FA-4464-BB1E-04DD5B6F96F1}"/>
    <cellStyle name="Normal 4 2 2 6 5 2 3" xfId="12750" xr:uid="{B59E592D-6D12-40C5-9A9E-7B86F6D878F6}"/>
    <cellStyle name="Normal 4 2 2 6 5 3" xfId="6384" xr:uid="{00000000-0005-0000-0000-00001A130000}"/>
    <cellStyle name="Normal 4 2 2 6 5 3 2" xfId="14823" xr:uid="{F5ED4B93-9F0A-491B-B0CD-C5A2A8D52053}"/>
    <cellStyle name="Normal 4 2 2 6 5 4" xfId="10605" xr:uid="{6C183CA9-7698-4E69-B35F-507E93204A78}"/>
    <cellStyle name="Normal 4 2 2 6 6" xfId="2513" xr:uid="{00000000-0005-0000-0000-00001B130000}"/>
    <cellStyle name="Normal 4 2 2 6 6 2" xfId="6797" xr:uid="{00000000-0005-0000-0000-00001C130000}"/>
    <cellStyle name="Normal 4 2 2 6 6 2 2" xfId="15236" xr:uid="{DEFCF11F-A7E8-4043-A2C6-64D571C70A31}"/>
    <cellStyle name="Normal 4 2 2 6 6 3" xfId="11018" xr:uid="{5D16C654-59FC-4B74-B7A8-711B7C860177}"/>
    <cellStyle name="Normal 4 2 2 6 7" xfId="4732" xr:uid="{00000000-0005-0000-0000-00001D130000}"/>
    <cellStyle name="Normal 4 2 2 6 7 2" xfId="13171" xr:uid="{39D93123-8085-477C-A9A9-72110F1554CD}"/>
    <cellStyle name="Normal 4 2 2 6 8" xfId="8953" xr:uid="{9CD84AE6-6A8F-4C89-A922-8A332BAFF011}"/>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C92AA59C-6D38-4814-879E-14F853B3C7A9}"/>
    <cellStyle name="Normal 4 2 2 7 2 3" xfId="11496" xr:uid="{721A603C-00ED-4CC5-A7A6-F11CBC19D511}"/>
    <cellStyle name="Normal 4 2 2 7 3" xfId="5130" xr:uid="{00000000-0005-0000-0000-000021130000}"/>
    <cellStyle name="Normal 4 2 2 7 3 2" xfId="13569" xr:uid="{AB762812-DDA6-45BA-B4F2-5ED7581BAD43}"/>
    <cellStyle name="Normal 4 2 2 7 4" xfId="9351" xr:uid="{144F51BE-B274-4EAA-851A-AB430E7CC634}"/>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E1CFC25E-E707-42A4-8A23-57A6D735138B}"/>
    <cellStyle name="Normal 4 2 2 8 2 3" xfId="11909" xr:uid="{41217E20-705A-4D40-AAAD-C77DDE53A6C1}"/>
    <cellStyle name="Normal 4 2 2 8 3" xfId="5543" xr:uid="{00000000-0005-0000-0000-000025130000}"/>
    <cellStyle name="Normal 4 2 2 8 3 2" xfId="13982" xr:uid="{0CA175F2-83D0-4566-89FE-715F03FD9D62}"/>
    <cellStyle name="Normal 4 2 2 8 4" xfId="9764" xr:uid="{F740235E-C06D-4D7D-B1C6-A982CAE55AAE}"/>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14F81C1F-81C3-4B95-9EE5-57EF9F8C6635}"/>
    <cellStyle name="Normal 4 2 2 9 2 3" xfId="12322" xr:uid="{5320BC95-6B40-4EAE-B3BC-E4C19D20B0A8}"/>
    <cellStyle name="Normal 4 2 2 9 3" xfId="5956" xr:uid="{00000000-0005-0000-0000-000029130000}"/>
    <cellStyle name="Normal 4 2 2 9 3 2" xfId="14395" xr:uid="{4D842ABE-626E-427F-830C-A9DC056CB67C}"/>
    <cellStyle name="Normal 4 2 2 9 4" xfId="10177" xr:uid="{89DF0FFC-CDF7-41EE-A14B-3CD761089CCF}"/>
    <cellStyle name="Normal 4 2 3" xfId="354" xr:uid="{00000000-0005-0000-0000-00002A130000}"/>
    <cellStyle name="Normal 4 2 4" xfId="355" xr:uid="{00000000-0005-0000-0000-00002B130000}"/>
    <cellStyle name="Normal 4 2 4 10" xfId="4733" xr:uid="{00000000-0005-0000-0000-00002C130000}"/>
    <cellStyle name="Normal 4 2 4 10 2" xfId="13172" xr:uid="{DA762F00-317A-44AA-875F-6B7F47D4A787}"/>
    <cellStyle name="Normal 4 2 4 11" xfId="8954" xr:uid="{6995AF52-F3FD-4A1F-8692-AC9BB54596B7}"/>
    <cellStyle name="Normal 4 2 4 2" xfId="356" xr:uid="{00000000-0005-0000-0000-00002D130000}"/>
    <cellStyle name="Normal 4 2 4 2 10" xfId="8955" xr:uid="{A1446093-DCD0-4E70-AC54-2BA546B704C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6159E2AA-7D8C-4481-9E19-0F2215B390CB}"/>
    <cellStyle name="Normal 4 2 4 2 2 2 2 2 3" xfId="11515" xr:uid="{E9FFA613-0E21-4353-B9E5-952C8A267B5D}"/>
    <cellStyle name="Normal 4 2 4 2 2 2 2 3" xfId="5149" xr:uid="{00000000-0005-0000-0000-000033130000}"/>
    <cellStyle name="Normal 4 2 4 2 2 2 2 3 2" xfId="13588" xr:uid="{60816423-6BFC-4A2B-AEB2-E35CC81684C0}"/>
    <cellStyle name="Normal 4 2 4 2 2 2 2 4" xfId="9370" xr:uid="{7147631E-E083-4021-BE22-5E84BE26272E}"/>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C98EFBF9-6A38-4D3C-8209-C12B57BA601D}"/>
    <cellStyle name="Normal 4 2 4 2 2 2 3 2 3" xfId="11928" xr:uid="{D7C42EA6-681A-4E58-99E0-2941A8F0FB5A}"/>
    <cellStyle name="Normal 4 2 4 2 2 2 3 3" xfId="5562" xr:uid="{00000000-0005-0000-0000-000037130000}"/>
    <cellStyle name="Normal 4 2 4 2 2 2 3 3 2" xfId="14001" xr:uid="{CE924A09-EED2-41F6-B090-4B5A78A98444}"/>
    <cellStyle name="Normal 4 2 4 2 2 2 3 4" xfId="9783" xr:uid="{62820DF3-4E62-41B7-AF88-6966E742F921}"/>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0BD70460-34AB-41E6-AFFC-18E515720747}"/>
    <cellStyle name="Normal 4 2 4 2 2 2 4 2 3" xfId="12341" xr:uid="{11045F91-0C89-4D85-A849-3B744F7D6E7F}"/>
    <cellStyle name="Normal 4 2 4 2 2 2 4 3" xfId="5975" xr:uid="{00000000-0005-0000-0000-00003B130000}"/>
    <cellStyle name="Normal 4 2 4 2 2 2 4 3 2" xfId="14414" xr:uid="{62CAD8EE-483D-4886-A303-95012B77127D}"/>
    <cellStyle name="Normal 4 2 4 2 2 2 4 4" xfId="10196" xr:uid="{38F9ADB4-7515-4FCE-9E1A-FA2AA0434975}"/>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FEEB6D1D-D3BD-480D-8C95-13B6DF255C3D}"/>
    <cellStyle name="Normal 4 2 4 2 2 2 5 2 3" xfId="12754" xr:uid="{3A929762-EDB4-47C5-B1BF-3A8105AD8C17}"/>
    <cellStyle name="Normal 4 2 4 2 2 2 5 3" xfId="6388" xr:uid="{00000000-0005-0000-0000-00003F130000}"/>
    <cellStyle name="Normal 4 2 4 2 2 2 5 3 2" xfId="14827" xr:uid="{C64FDED4-E9E9-450B-B911-F0864C4DD1EC}"/>
    <cellStyle name="Normal 4 2 4 2 2 2 5 4" xfId="10609" xr:uid="{C0EC37A5-803E-4A37-BEF1-51DFF426F2E7}"/>
    <cellStyle name="Normal 4 2 4 2 2 2 6" xfId="2517" xr:uid="{00000000-0005-0000-0000-000040130000}"/>
    <cellStyle name="Normal 4 2 4 2 2 2 6 2" xfId="6801" xr:uid="{00000000-0005-0000-0000-000041130000}"/>
    <cellStyle name="Normal 4 2 4 2 2 2 6 2 2" xfId="15240" xr:uid="{B010C5AF-0E24-449A-A4F0-CF50DC840816}"/>
    <cellStyle name="Normal 4 2 4 2 2 2 6 3" xfId="11022" xr:uid="{46976A06-09B4-47BC-970D-F98428A401AE}"/>
    <cellStyle name="Normal 4 2 4 2 2 2 7" xfId="4736" xr:uid="{00000000-0005-0000-0000-000042130000}"/>
    <cellStyle name="Normal 4 2 4 2 2 2 7 2" xfId="13175" xr:uid="{64AC2897-49FA-44AE-8FED-B715E9FEABB9}"/>
    <cellStyle name="Normal 4 2 4 2 2 2 8" xfId="8957" xr:uid="{08C223FE-E7D2-4584-AC61-467EAA4605F4}"/>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53725F52-0F6C-4565-9C90-030B2CE5CE1A}"/>
    <cellStyle name="Normal 4 2 4 2 2 3 2 3" xfId="11514" xr:uid="{D592252E-225A-4DF8-B3DF-9AD3211BFA00}"/>
    <cellStyle name="Normal 4 2 4 2 2 3 3" xfId="5148" xr:uid="{00000000-0005-0000-0000-000046130000}"/>
    <cellStyle name="Normal 4 2 4 2 2 3 3 2" xfId="13587" xr:uid="{0617509E-A68F-4055-8698-999E38F7ACA9}"/>
    <cellStyle name="Normal 4 2 4 2 2 3 4" xfId="9369" xr:uid="{C0F170DA-9C36-4EB9-AE6C-F0941418A21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DFCC1195-F59A-4780-9296-D91A76D1CD35}"/>
    <cellStyle name="Normal 4 2 4 2 2 4 2 3" xfId="11927" xr:uid="{AEB54172-8FFC-4065-AA19-BA9595F05B41}"/>
    <cellStyle name="Normal 4 2 4 2 2 4 3" xfId="5561" xr:uid="{00000000-0005-0000-0000-00004A130000}"/>
    <cellStyle name="Normal 4 2 4 2 2 4 3 2" xfId="14000" xr:uid="{4470FCF5-033A-44C1-BF21-D01B573204D0}"/>
    <cellStyle name="Normal 4 2 4 2 2 4 4" xfId="9782" xr:uid="{F6ADF182-309C-4459-8698-833962B93BB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97D3A852-CC77-4B5D-82BE-1902F2710D34}"/>
    <cellStyle name="Normal 4 2 4 2 2 5 2 3" xfId="12340" xr:uid="{71A740BE-A944-4AE0-912D-E3E0FA272549}"/>
    <cellStyle name="Normal 4 2 4 2 2 5 3" xfId="5974" xr:uid="{00000000-0005-0000-0000-00004E130000}"/>
    <cellStyle name="Normal 4 2 4 2 2 5 3 2" xfId="14413" xr:uid="{B6228035-6328-40D8-AF41-A0878F5092F2}"/>
    <cellStyle name="Normal 4 2 4 2 2 5 4" xfId="10195" xr:uid="{3EDFB90E-7E7B-42E8-8709-05199876BBAF}"/>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C1AB5EE9-CF88-4F95-A140-FED5854F4916}"/>
    <cellStyle name="Normal 4 2 4 2 2 6 2 3" xfId="12753" xr:uid="{593FA3AD-FB3A-4D8C-924D-5F68BDD93299}"/>
    <cellStyle name="Normal 4 2 4 2 2 6 3" xfId="6387" xr:uid="{00000000-0005-0000-0000-000052130000}"/>
    <cellStyle name="Normal 4 2 4 2 2 6 3 2" xfId="14826" xr:uid="{8DED86B6-DB92-4722-9239-CC1C0EA32416}"/>
    <cellStyle name="Normal 4 2 4 2 2 6 4" xfId="10608" xr:uid="{454831C6-ED39-42CF-A044-A3F6603430FE}"/>
    <cellStyle name="Normal 4 2 4 2 2 7" xfId="2516" xr:uid="{00000000-0005-0000-0000-000053130000}"/>
    <cellStyle name="Normal 4 2 4 2 2 7 2" xfId="6800" xr:uid="{00000000-0005-0000-0000-000054130000}"/>
    <cellStyle name="Normal 4 2 4 2 2 7 2 2" xfId="15239" xr:uid="{B035728B-9D2F-410D-9A17-A258396F76F9}"/>
    <cellStyle name="Normal 4 2 4 2 2 7 3" xfId="11021" xr:uid="{76A60E04-17FC-45A6-A44B-7D6D16053245}"/>
    <cellStyle name="Normal 4 2 4 2 2 8" xfId="4735" xr:uid="{00000000-0005-0000-0000-000055130000}"/>
    <cellStyle name="Normal 4 2 4 2 2 8 2" xfId="13174" xr:uid="{8F3EC66E-EF5C-4D05-B04C-FA988FBCDF29}"/>
    <cellStyle name="Normal 4 2 4 2 2 9" xfId="8956" xr:uid="{330917EA-AF72-4366-871E-4FA598B1EFDA}"/>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EFB8471B-673E-4307-B174-6958FACC02E7}"/>
    <cellStyle name="Normal 4 2 4 2 3 2 2 3" xfId="11516" xr:uid="{E404D79B-B1B1-455F-8E2F-468B08CD5950}"/>
    <cellStyle name="Normal 4 2 4 2 3 2 3" xfId="5150" xr:uid="{00000000-0005-0000-0000-00005A130000}"/>
    <cellStyle name="Normal 4 2 4 2 3 2 3 2" xfId="13589" xr:uid="{2CFB08A3-D54D-4D01-AFCF-EA746F78D4E2}"/>
    <cellStyle name="Normal 4 2 4 2 3 2 4" xfId="9371" xr:uid="{2856C061-A88C-420D-AA3B-13885C91664A}"/>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F2E57EC9-131F-4C5E-8524-C30E3D27B334}"/>
    <cellStyle name="Normal 4 2 4 2 3 3 2 3" xfId="11929" xr:uid="{45D92FFC-2FAD-400B-B001-BC97F0239321}"/>
    <cellStyle name="Normal 4 2 4 2 3 3 3" xfId="5563" xr:uid="{00000000-0005-0000-0000-00005E130000}"/>
    <cellStyle name="Normal 4 2 4 2 3 3 3 2" xfId="14002" xr:uid="{9268A50C-7CA5-4C13-8BC2-98D5BCD574E9}"/>
    <cellStyle name="Normal 4 2 4 2 3 3 4" xfId="9784" xr:uid="{342BE4A4-85EA-405A-B7F6-EA1D1912188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51F7D1FB-595A-4470-9F1B-6A22A81D0E92}"/>
    <cellStyle name="Normal 4 2 4 2 3 4 2 3" xfId="12342" xr:uid="{9BB28630-1E55-4F8F-B354-124CCB7B0F9A}"/>
    <cellStyle name="Normal 4 2 4 2 3 4 3" xfId="5976" xr:uid="{00000000-0005-0000-0000-000062130000}"/>
    <cellStyle name="Normal 4 2 4 2 3 4 3 2" xfId="14415" xr:uid="{4F1F517F-5FBC-47E7-9789-07F69EF6A300}"/>
    <cellStyle name="Normal 4 2 4 2 3 4 4" xfId="10197" xr:uid="{C46E013B-D352-4C0F-80FE-1A7FC3C1A07A}"/>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E321775D-1B53-474A-AD93-824D8C460C50}"/>
    <cellStyle name="Normal 4 2 4 2 3 5 2 3" xfId="12755" xr:uid="{809CBF8D-0D1C-4178-ADDE-23C069BF4210}"/>
    <cellStyle name="Normal 4 2 4 2 3 5 3" xfId="6389" xr:uid="{00000000-0005-0000-0000-000066130000}"/>
    <cellStyle name="Normal 4 2 4 2 3 5 3 2" xfId="14828" xr:uid="{0B26944B-4BF4-4313-8172-7CD048E68C6F}"/>
    <cellStyle name="Normal 4 2 4 2 3 5 4" xfId="10610" xr:uid="{5F92A3CF-98CA-45CF-83AD-F3C836AA6711}"/>
    <cellStyle name="Normal 4 2 4 2 3 6" xfId="2518" xr:uid="{00000000-0005-0000-0000-000067130000}"/>
    <cellStyle name="Normal 4 2 4 2 3 6 2" xfId="6802" xr:uid="{00000000-0005-0000-0000-000068130000}"/>
    <cellStyle name="Normal 4 2 4 2 3 6 2 2" xfId="15241" xr:uid="{146AE517-E71C-4828-B459-DAC15EDD83B7}"/>
    <cellStyle name="Normal 4 2 4 2 3 6 3" xfId="11023" xr:uid="{C6FE12E0-167F-4DC5-B388-F41B4814552B}"/>
    <cellStyle name="Normal 4 2 4 2 3 7" xfId="4737" xr:uid="{00000000-0005-0000-0000-000069130000}"/>
    <cellStyle name="Normal 4 2 4 2 3 7 2" xfId="13176" xr:uid="{03EF7A78-9143-4A3C-842E-97C36EC1C7BF}"/>
    <cellStyle name="Normal 4 2 4 2 3 8" xfId="8958" xr:uid="{84652F5E-7692-47FF-AA31-9E35E5F66C28}"/>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E2F2153B-6199-4A02-A2D0-A1EC6598BED4}"/>
    <cellStyle name="Normal 4 2 4 2 4 2 3" xfId="11513" xr:uid="{3F45063F-E967-4E37-87CA-6BBE644B51CC}"/>
    <cellStyle name="Normal 4 2 4 2 4 3" xfId="5147" xr:uid="{00000000-0005-0000-0000-00006D130000}"/>
    <cellStyle name="Normal 4 2 4 2 4 3 2" xfId="13586" xr:uid="{8B2E3351-F0F0-4F6E-9E6C-139360A426F4}"/>
    <cellStyle name="Normal 4 2 4 2 4 4" xfId="9368" xr:uid="{234A8BA4-F5A9-4615-B58A-2B15C291CC5A}"/>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63AB97FE-91FD-41E5-946C-85AF671F1EAE}"/>
    <cellStyle name="Normal 4 2 4 2 5 2 3" xfId="11926" xr:uid="{7A54DFC8-DAC6-41B6-8744-56EE6286A2CD}"/>
    <cellStyle name="Normal 4 2 4 2 5 3" xfId="5560" xr:uid="{00000000-0005-0000-0000-000071130000}"/>
    <cellStyle name="Normal 4 2 4 2 5 3 2" xfId="13999" xr:uid="{7B9976CF-D929-4028-A930-AD8AFD57127A}"/>
    <cellStyle name="Normal 4 2 4 2 5 4" xfId="9781" xr:uid="{74C6F1BD-709B-4EF7-9CEB-DFA16D15C79F}"/>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11CEDF77-42C6-46F9-AA6D-C8C0FC7C969A}"/>
    <cellStyle name="Normal 4 2 4 2 6 2 3" xfId="12339" xr:uid="{592DF462-2D82-4080-8B0C-2D61E7A26A97}"/>
    <cellStyle name="Normal 4 2 4 2 6 3" xfId="5973" xr:uid="{00000000-0005-0000-0000-000075130000}"/>
    <cellStyle name="Normal 4 2 4 2 6 3 2" xfId="14412" xr:uid="{63014554-7EC5-408C-AD76-D814BC67856C}"/>
    <cellStyle name="Normal 4 2 4 2 6 4" xfId="10194" xr:uid="{19E90ECB-2175-4A33-AF42-4E063E3F8ADF}"/>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91ED052A-BEBA-4FAF-9CE2-8DD105926F3C}"/>
    <cellStyle name="Normal 4 2 4 2 7 2 3" xfId="12752" xr:uid="{98969F10-FA4A-4F59-9E77-AE7DF41A4317}"/>
    <cellStyle name="Normal 4 2 4 2 7 3" xfId="6386" xr:uid="{00000000-0005-0000-0000-000079130000}"/>
    <cellStyle name="Normal 4 2 4 2 7 3 2" xfId="14825" xr:uid="{9462D239-E806-43EC-85FC-0E10AC189B7E}"/>
    <cellStyle name="Normal 4 2 4 2 7 4" xfId="10607" xr:uid="{A508EC16-A046-478B-87FB-7850529E5905}"/>
    <cellStyle name="Normal 4 2 4 2 8" xfId="2515" xr:uid="{00000000-0005-0000-0000-00007A130000}"/>
    <cellStyle name="Normal 4 2 4 2 8 2" xfId="6799" xr:uid="{00000000-0005-0000-0000-00007B130000}"/>
    <cellStyle name="Normal 4 2 4 2 8 2 2" xfId="15238" xr:uid="{43FE0E6A-4D3B-49C2-B33C-3EE70BAF5ADA}"/>
    <cellStyle name="Normal 4 2 4 2 8 3" xfId="11020" xr:uid="{9E234D62-3BBB-438C-A021-83830A2AB246}"/>
    <cellStyle name="Normal 4 2 4 2 9" xfId="4734" xr:uid="{00000000-0005-0000-0000-00007C130000}"/>
    <cellStyle name="Normal 4 2 4 2 9 2" xfId="13173" xr:uid="{6C6AC16D-247E-4CDD-AD79-8169FEB1821E}"/>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26B113CF-4245-4F50-A4F1-9EC912146DAD}"/>
    <cellStyle name="Normal 4 2 4 3 2 2 2 3" xfId="11518" xr:uid="{7521F8AD-5F96-4EAA-82D8-7C0DEF618194}"/>
    <cellStyle name="Normal 4 2 4 3 2 2 3" xfId="5152" xr:uid="{00000000-0005-0000-0000-000082130000}"/>
    <cellStyle name="Normal 4 2 4 3 2 2 3 2" xfId="13591" xr:uid="{95480513-26E5-49A8-8BC0-2319B46A976C}"/>
    <cellStyle name="Normal 4 2 4 3 2 2 4" xfId="9373" xr:uid="{D977BA51-3C7C-472E-8C69-CE7EFF729F74}"/>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EC67828B-E176-4CEB-B067-01A0CB3AE845}"/>
    <cellStyle name="Normal 4 2 4 3 2 3 2 3" xfId="11931" xr:uid="{FDDAFC04-594A-49CE-9552-A9114D9B9464}"/>
    <cellStyle name="Normal 4 2 4 3 2 3 3" xfId="5565" xr:uid="{00000000-0005-0000-0000-000086130000}"/>
    <cellStyle name="Normal 4 2 4 3 2 3 3 2" xfId="14004" xr:uid="{5A4A1951-86AF-4AD8-92A9-9865C62DC90F}"/>
    <cellStyle name="Normal 4 2 4 3 2 3 4" xfId="9786" xr:uid="{7A0B11C9-6D5B-40FD-8471-C6C3433898AE}"/>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A0C5C9B4-6D9E-4CA2-B2E3-5453F22C6D0D}"/>
    <cellStyle name="Normal 4 2 4 3 2 4 2 3" xfId="12344" xr:uid="{C6C28ABF-907C-40E0-AAF0-120F029B3BAF}"/>
    <cellStyle name="Normal 4 2 4 3 2 4 3" xfId="5978" xr:uid="{00000000-0005-0000-0000-00008A130000}"/>
    <cellStyle name="Normal 4 2 4 3 2 4 3 2" xfId="14417" xr:uid="{3EC187F1-C1DF-4DAB-AC16-94D0394A44E2}"/>
    <cellStyle name="Normal 4 2 4 3 2 4 4" xfId="10199" xr:uid="{5A569C12-C209-47E3-820C-CA17DD2730C7}"/>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45B26680-4303-4A5E-9AC5-61F24F5EE478}"/>
    <cellStyle name="Normal 4 2 4 3 2 5 2 3" xfId="12757" xr:uid="{992C86DD-5436-41BF-8A6F-39461BEE310F}"/>
    <cellStyle name="Normal 4 2 4 3 2 5 3" xfId="6391" xr:uid="{00000000-0005-0000-0000-00008E130000}"/>
    <cellStyle name="Normal 4 2 4 3 2 5 3 2" xfId="14830" xr:uid="{A8BC2569-536A-43E8-B97F-EE4954DACD13}"/>
    <cellStyle name="Normal 4 2 4 3 2 5 4" xfId="10612" xr:uid="{786C88DF-DD67-4251-9F47-E791C84CFFAB}"/>
    <cellStyle name="Normal 4 2 4 3 2 6" xfId="2520" xr:uid="{00000000-0005-0000-0000-00008F130000}"/>
    <cellStyle name="Normal 4 2 4 3 2 6 2" xfId="6804" xr:uid="{00000000-0005-0000-0000-000090130000}"/>
    <cellStyle name="Normal 4 2 4 3 2 6 2 2" xfId="15243" xr:uid="{BD592BB6-F2FC-44A0-B3A8-3217683D800F}"/>
    <cellStyle name="Normal 4 2 4 3 2 6 3" xfId="11025" xr:uid="{9DFBD7A5-9323-45EF-B78F-37D740B59C59}"/>
    <cellStyle name="Normal 4 2 4 3 2 7" xfId="4739" xr:uid="{00000000-0005-0000-0000-000091130000}"/>
    <cellStyle name="Normal 4 2 4 3 2 7 2" xfId="13178" xr:uid="{B4089641-20EF-48A7-8EEE-5CB05494A3FF}"/>
    <cellStyle name="Normal 4 2 4 3 2 8" xfId="8960" xr:uid="{B72ABCEB-2EAC-4CDD-B32D-844A0E0BAC7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7DEA890D-E9F0-4EA6-BCD8-FDCC9EBE0FF4}"/>
    <cellStyle name="Normal 4 2 4 3 3 2 3" xfId="11517" xr:uid="{8548BF60-D300-43D5-9A20-F2A805C3A415}"/>
    <cellStyle name="Normal 4 2 4 3 3 3" xfId="5151" xr:uid="{00000000-0005-0000-0000-000095130000}"/>
    <cellStyle name="Normal 4 2 4 3 3 3 2" xfId="13590" xr:uid="{D2F12831-C3BD-44FB-A132-88F615160CA4}"/>
    <cellStyle name="Normal 4 2 4 3 3 4" xfId="9372" xr:uid="{BFC5BAE2-5ACD-4445-A3AC-B15367AB805E}"/>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EE5160DC-BD97-4252-8797-43D924C904C0}"/>
    <cellStyle name="Normal 4 2 4 3 4 2 3" xfId="11930" xr:uid="{CE845343-ED6C-4796-AE00-3BC55E0423BC}"/>
    <cellStyle name="Normal 4 2 4 3 4 3" xfId="5564" xr:uid="{00000000-0005-0000-0000-000099130000}"/>
    <cellStyle name="Normal 4 2 4 3 4 3 2" xfId="14003" xr:uid="{234A8B88-E251-436E-A97D-89AB886EBE0A}"/>
    <cellStyle name="Normal 4 2 4 3 4 4" xfId="9785" xr:uid="{5B4CA1E5-FD21-4275-A30F-DFABE1AF5E9F}"/>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2AAAD8DF-C68D-441A-952E-6BA587084436}"/>
    <cellStyle name="Normal 4 2 4 3 5 2 3" xfId="12343" xr:uid="{DDB375C1-6698-483C-8163-BD2F265D65B9}"/>
    <cellStyle name="Normal 4 2 4 3 5 3" xfId="5977" xr:uid="{00000000-0005-0000-0000-00009D130000}"/>
    <cellStyle name="Normal 4 2 4 3 5 3 2" xfId="14416" xr:uid="{3F796E52-8A6E-4E03-9D90-549039BBEA34}"/>
    <cellStyle name="Normal 4 2 4 3 5 4" xfId="10198" xr:uid="{109406B2-98B6-4339-ACE4-B3145B25AC0B}"/>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18619237-C10A-428A-8C28-A6CA4A0233AE}"/>
    <cellStyle name="Normal 4 2 4 3 6 2 3" xfId="12756" xr:uid="{482D6F63-5F98-4C77-A31A-CB6F7B1E90B8}"/>
    <cellStyle name="Normal 4 2 4 3 6 3" xfId="6390" xr:uid="{00000000-0005-0000-0000-0000A1130000}"/>
    <cellStyle name="Normal 4 2 4 3 6 3 2" xfId="14829" xr:uid="{EA45C806-B112-476F-9B87-F0AA5C7280AE}"/>
    <cellStyle name="Normal 4 2 4 3 6 4" xfId="10611" xr:uid="{02D5D4BD-072B-4C1E-AE0C-ADBCFA584C30}"/>
    <cellStyle name="Normal 4 2 4 3 7" xfId="2519" xr:uid="{00000000-0005-0000-0000-0000A2130000}"/>
    <cellStyle name="Normal 4 2 4 3 7 2" xfId="6803" xr:uid="{00000000-0005-0000-0000-0000A3130000}"/>
    <cellStyle name="Normal 4 2 4 3 7 2 2" xfId="15242" xr:uid="{A1344014-D948-4C22-B460-A2AAFDF095BF}"/>
    <cellStyle name="Normal 4 2 4 3 7 3" xfId="11024" xr:uid="{D7476264-7EBC-4B0B-81F0-99D154F3AB21}"/>
    <cellStyle name="Normal 4 2 4 3 8" xfId="4738" xr:uid="{00000000-0005-0000-0000-0000A4130000}"/>
    <cellStyle name="Normal 4 2 4 3 8 2" xfId="13177" xr:uid="{ACB960B2-2B9A-4F93-BB43-5E24572F3C4B}"/>
    <cellStyle name="Normal 4 2 4 3 9" xfId="8959" xr:uid="{12D6ABD4-6546-4441-AD50-80DBB7E7653B}"/>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E9DC94C2-EC42-4D5F-9FFD-C40F3F00E38F}"/>
    <cellStyle name="Normal 4 2 4 4 2 2 3" xfId="11519" xr:uid="{06B4ADCA-802D-49CA-981B-6A40E2B63570}"/>
    <cellStyle name="Normal 4 2 4 4 2 3" xfId="5153" xr:uid="{00000000-0005-0000-0000-0000A9130000}"/>
    <cellStyle name="Normal 4 2 4 4 2 3 2" xfId="13592" xr:uid="{2C570CC4-E175-4615-A696-96362C26B312}"/>
    <cellStyle name="Normal 4 2 4 4 2 4" xfId="9374" xr:uid="{359A3881-065D-4525-B070-4F72FC6E3242}"/>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A302531F-2EB8-4AAD-8A9A-08B854F24DCF}"/>
    <cellStyle name="Normal 4 2 4 4 3 2 3" xfId="11932" xr:uid="{19026BB0-CCCB-45F5-9763-E36024752523}"/>
    <cellStyle name="Normal 4 2 4 4 3 3" xfId="5566" xr:uid="{00000000-0005-0000-0000-0000AD130000}"/>
    <cellStyle name="Normal 4 2 4 4 3 3 2" xfId="14005" xr:uid="{B5B6E7AB-A4B1-4018-88F3-39407B847E28}"/>
    <cellStyle name="Normal 4 2 4 4 3 4" xfId="9787" xr:uid="{2496E7F5-2F22-4A77-9023-2C85AA37DB1D}"/>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A9146FB7-A8CF-40AF-92C8-EF29601F31A8}"/>
    <cellStyle name="Normal 4 2 4 4 4 2 3" xfId="12345" xr:uid="{1FF410DD-2B3C-47F7-8AA2-3085707A71A7}"/>
    <cellStyle name="Normal 4 2 4 4 4 3" xfId="5979" xr:uid="{00000000-0005-0000-0000-0000B1130000}"/>
    <cellStyle name="Normal 4 2 4 4 4 3 2" xfId="14418" xr:uid="{FE991575-77C2-44A7-AE96-E4F0C1B2990E}"/>
    <cellStyle name="Normal 4 2 4 4 4 4" xfId="10200" xr:uid="{3EE8311D-F8CA-403C-835E-EEB0878BD98F}"/>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614BBF36-7BE6-4738-9303-92F9C1CA59C9}"/>
    <cellStyle name="Normal 4 2 4 4 5 2 3" xfId="12758" xr:uid="{4DB05C4A-B4EE-4258-B76F-D72799FC799F}"/>
    <cellStyle name="Normal 4 2 4 4 5 3" xfId="6392" xr:uid="{00000000-0005-0000-0000-0000B5130000}"/>
    <cellStyle name="Normal 4 2 4 4 5 3 2" xfId="14831" xr:uid="{47E9F1ED-B74D-4DFE-9F70-F8570D9E226B}"/>
    <cellStyle name="Normal 4 2 4 4 5 4" xfId="10613" xr:uid="{985441E7-6CB1-440E-85FB-E53DEBE4EAFD}"/>
    <cellStyle name="Normal 4 2 4 4 6" xfId="2521" xr:uid="{00000000-0005-0000-0000-0000B6130000}"/>
    <cellStyle name="Normal 4 2 4 4 6 2" xfId="6805" xr:uid="{00000000-0005-0000-0000-0000B7130000}"/>
    <cellStyle name="Normal 4 2 4 4 6 2 2" xfId="15244" xr:uid="{042AFB5A-3002-48D8-89A1-18A729D0EBEA}"/>
    <cellStyle name="Normal 4 2 4 4 6 3" xfId="11026" xr:uid="{EBDEBD2D-4B4B-4430-A034-2CE6FE1686CB}"/>
    <cellStyle name="Normal 4 2 4 4 7" xfId="4740" xr:uid="{00000000-0005-0000-0000-0000B8130000}"/>
    <cellStyle name="Normal 4 2 4 4 7 2" xfId="13179" xr:uid="{A9F96D6C-E661-455C-839B-3ED05FBD0BB4}"/>
    <cellStyle name="Normal 4 2 4 4 8" xfId="8961" xr:uid="{50138BF5-C498-41F6-B0EE-75B0FA0490F3}"/>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51BB7F30-E666-4C10-A93E-8C443B18CF0E}"/>
    <cellStyle name="Normal 4 2 4 5 2 3" xfId="11512" xr:uid="{A3AFDDD2-B288-4D2F-84DA-2D1D4241665A}"/>
    <cellStyle name="Normal 4 2 4 5 3" xfId="5146" xr:uid="{00000000-0005-0000-0000-0000BC130000}"/>
    <cellStyle name="Normal 4 2 4 5 3 2" xfId="13585" xr:uid="{537F830E-49CB-4B37-A7C1-F5C4AE3D6635}"/>
    <cellStyle name="Normal 4 2 4 5 4" xfId="9367" xr:uid="{E287CFA3-728F-4AE2-BA8B-FBA5B7D734F9}"/>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FA48D55C-6373-4CF5-ACB0-70C313589407}"/>
    <cellStyle name="Normal 4 2 4 6 2 3" xfId="11925" xr:uid="{F11E4A5F-21E9-49C1-B47C-504724BC289B}"/>
    <cellStyle name="Normal 4 2 4 6 3" xfId="5559" xr:uid="{00000000-0005-0000-0000-0000C0130000}"/>
    <cellStyle name="Normal 4 2 4 6 3 2" xfId="13998" xr:uid="{FFB18306-9DF6-4993-94C4-29CF398912C2}"/>
    <cellStyle name="Normal 4 2 4 6 4" xfId="9780" xr:uid="{54AD9E12-9D97-42CA-A17A-3B5ACE083447}"/>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7FEE8113-9920-4A5E-962C-F0FDA19AAFFC}"/>
    <cellStyle name="Normal 4 2 4 7 2 3" xfId="12338" xr:uid="{4391F33E-EAA9-44F5-80BA-CA1C493F20DB}"/>
    <cellStyle name="Normal 4 2 4 7 3" xfId="5972" xr:uid="{00000000-0005-0000-0000-0000C4130000}"/>
    <cellStyle name="Normal 4 2 4 7 3 2" xfId="14411" xr:uid="{2836A334-11AA-4F5C-9C22-D5DE57C2EC73}"/>
    <cellStyle name="Normal 4 2 4 7 4" xfId="10193" xr:uid="{D219C700-3B18-468B-92A3-4354A8445C10}"/>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4401101F-2709-45F7-B7A6-67E695AB460E}"/>
    <cellStyle name="Normal 4 2 4 8 2 3" xfId="12751" xr:uid="{58AD2056-8059-4A73-A503-B87C58FCA8D5}"/>
    <cellStyle name="Normal 4 2 4 8 3" xfId="6385" xr:uid="{00000000-0005-0000-0000-0000C8130000}"/>
    <cellStyle name="Normal 4 2 4 8 3 2" xfId="14824" xr:uid="{E5A1A428-A1DF-4BA5-A268-A76B54B0C1E2}"/>
    <cellStyle name="Normal 4 2 4 8 4" xfId="10606" xr:uid="{1D825D9E-B378-4E5E-9B51-9F67E9F283FA}"/>
    <cellStyle name="Normal 4 2 4 9" xfId="2514" xr:uid="{00000000-0005-0000-0000-0000C9130000}"/>
    <cellStyle name="Normal 4 2 4 9 2" xfId="6798" xr:uid="{00000000-0005-0000-0000-0000CA130000}"/>
    <cellStyle name="Normal 4 2 4 9 2 2" xfId="15237" xr:uid="{D3CBB0C8-EAED-45F5-B71F-18DC8B392BBC}"/>
    <cellStyle name="Normal 4 2 4 9 3" xfId="11019" xr:uid="{43A6A344-CAB8-4FF4-BE31-F1C9405D9055}"/>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4E7869F9-4006-41E6-ABEB-BEDF77FDFE10}"/>
    <cellStyle name="Normal 4 2 5 2 2 2 3" xfId="11521" xr:uid="{A864D58E-C679-43C2-9F79-CB9D1B5FDC12}"/>
    <cellStyle name="Normal 4 2 5 2 2 3" xfId="5155" xr:uid="{00000000-0005-0000-0000-0000D0130000}"/>
    <cellStyle name="Normal 4 2 5 2 2 3 2" xfId="13594" xr:uid="{2BC7D501-A93D-4F0E-8323-46175681EA5C}"/>
    <cellStyle name="Normal 4 2 5 2 2 4" xfId="9376" xr:uid="{B064E0B0-4585-4F14-8998-805018E7F7EA}"/>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A2EC5D78-12FC-4375-A1EB-5AA8AFBB42ED}"/>
    <cellStyle name="Normal 4 2 5 2 3 2 3" xfId="11934" xr:uid="{939FE801-791C-4C50-A057-DB445EF4FAC1}"/>
    <cellStyle name="Normal 4 2 5 2 3 3" xfId="5568" xr:uid="{00000000-0005-0000-0000-0000D4130000}"/>
    <cellStyle name="Normal 4 2 5 2 3 3 2" xfId="14007" xr:uid="{C5F31FFE-AAE0-4977-9722-5F5EA1DA0484}"/>
    <cellStyle name="Normal 4 2 5 2 3 4" xfId="9789" xr:uid="{3DD18346-ADE3-4EF7-89AD-01AB96ABC576}"/>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E4CEE4E5-CABA-45D4-9C5F-E911DFD3F467}"/>
    <cellStyle name="Normal 4 2 5 2 4 2 3" xfId="12347" xr:uid="{CBC1D7A7-83AC-48BF-8563-06DB662A308F}"/>
    <cellStyle name="Normal 4 2 5 2 4 3" xfId="5981" xr:uid="{00000000-0005-0000-0000-0000D8130000}"/>
    <cellStyle name="Normal 4 2 5 2 4 3 2" xfId="14420" xr:uid="{022639FE-F4A4-4BBB-94E3-9081128D4BC9}"/>
    <cellStyle name="Normal 4 2 5 2 4 4" xfId="10202" xr:uid="{D27877E9-B4AF-4C3B-A17D-09DC57D575D1}"/>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85C60524-07B4-495B-AD3D-BC3F14CA3E16}"/>
    <cellStyle name="Normal 4 2 5 2 5 2 3" xfId="12760" xr:uid="{DBF3611F-2E23-4CD7-AB90-3AECF6CC3DEF}"/>
    <cellStyle name="Normal 4 2 5 2 5 3" xfId="6394" xr:uid="{00000000-0005-0000-0000-0000DC130000}"/>
    <cellStyle name="Normal 4 2 5 2 5 3 2" xfId="14833" xr:uid="{5A57D6FD-FA1C-41F7-B984-2D8AFA0ACEEC}"/>
    <cellStyle name="Normal 4 2 5 2 5 4" xfId="10615" xr:uid="{04F8E658-5DD8-4223-8D0C-FEB35805C2DD}"/>
    <cellStyle name="Normal 4 2 5 2 6" xfId="2523" xr:uid="{00000000-0005-0000-0000-0000DD130000}"/>
    <cellStyle name="Normal 4 2 5 2 6 2" xfId="6807" xr:uid="{00000000-0005-0000-0000-0000DE130000}"/>
    <cellStyle name="Normal 4 2 5 2 6 2 2" xfId="15246" xr:uid="{B3157529-28BB-43AF-B1D6-834373165AE6}"/>
    <cellStyle name="Normal 4 2 5 2 6 3" xfId="11028" xr:uid="{B924890B-B349-4847-AB62-09B57EE6723C}"/>
    <cellStyle name="Normal 4 2 5 2 7" xfId="4742" xr:uid="{00000000-0005-0000-0000-0000DF130000}"/>
    <cellStyle name="Normal 4 2 5 2 7 2" xfId="13181" xr:uid="{572D6374-E0A1-42F0-8F4D-2B0F68538C62}"/>
    <cellStyle name="Normal 4 2 5 2 8" xfId="8963" xr:uid="{179B2234-F168-4F8D-8996-28450742566C}"/>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1F0DF951-CEF0-4218-9E72-CD967DA4B912}"/>
    <cellStyle name="Normal 4 2 5 3 2 3" xfId="11520" xr:uid="{6AA37DD3-EFC1-4673-8FB0-391A659EC0CA}"/>
    <cellStyle name="Normal 4 2 5 3 3" xfId="5154" xr:uid="{00000000-0005-0000-0000-0000E3130000}"/>
    <cellStyle name="Normal 4 2 5 3 3 2" xfId="13593" xr:uid="{55271EF8-D09E-4D78-957A-4815D9B22428}"/>
    <cellStyle name="Normal 4 2 5 3 4" xfId="9375" xr:uid="{FC3C2CB7-DAD0-4B68-9A82-F8E58DE524C3}"/>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119DA6BC-CF9D-4D35-9690-85313CCC7331}"/>
    <cellStyle name="Normal 4 2 5 4 2 3" xfId="11933" xr:uid="{3D86FB22-C2E4-4BBF-94A5-6539E451EC54}"/>
    <cellStyle name="Normal 4 2 5 4 3" xfId="5567" xr:uid="{00000000-0005-0000-0000-0000E7130000}"/>
    <cellStyle name="Normal 4 2 5 4 3 2" xfId="14006" xr:uid="{15B5C644-4C7F-4136-B63D-569CD507F856}"/>
    <cellStyle name="Normal 4 2 5 4 4" xfId="9788" xr:uid="{7CFD4A4A-0AD0-482E-A693-061521292822}"/>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D9D62734-26D3-490C-ACFB-FB7A990FC453}"/>
    <cellStyle name="Normal 4 2 5 5 2 3" xfId="12346" xr:uid="{E102D728-47E2-4129-9CA8-C4B38B7EE92A}"/>
    <cellStyle name="Normal 4 2 5 5 3" xfId="5980" xr:uid="{00000000-0005-0000-0000-0000EB130000}"/>
    <cellStyle name="Normal 4 2 5 5 3 2" xfId="14419" xr:uid="{ED979489-2904-425B-9044-3CCCD9DD3D53}"/>
    <cellStyle name="Normal 4 2 5 5 4" xfId="10201" xr:uid="{F4719A5E-9604-4063-9732-3B765040B8DF}"/>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80CAF8B4-19F2-42BE-B0A7-632B00E4A29A}"/>
    <cellStyle name="Normal 4 2 5 6 2 3" xfId="12759" xr:uid="{422E7BDE-A6AF-43A9-B5FF-99531F6146EA}"/>
    <cellStyle name="Normal 4 2 5 6 3" xfId="6393" xr:uid="{00000000-0005-0000-0000-0000EF130000}"/>
    <cellStyle name="Normal 4 2 5 6 3 2" xfId="14832" xr:uid="{10326FD1-3ACF-4403-8EAF-F5087728ACE6}"/>
    <cellStyle name="Normal 4 2 5 6 4" xfId="10614" xr:uid="{24CC8E22-0B77-4256-A1C6-2194EE45FB8D}"/>
    <cellStyle name="Normal 4 2 5 7" xfId="2522" xr:uid="{00000000-0005-0000-0000-0000F0130000}"/>
    <cellStyle name="Normal 4 2 5 7 2" xfId="6806" xr:uid="{00000000-0005-0000-0000-0000F1130000}"/>
    <cellStyle name="Normal 4 2 5 7 2 2" xfId="15245" xr:uid="{0753A3F6-FC40-4FE1-9008-14AA415F5B64}"/>
    <cellStyle name="Normal 4 2 5 7 3" xfId="11027" xr:uid="{CFAEA484-964A-4966-ACED-8EDFCA20B3E6}"/>
    <cellStyle name="Normal 4 2 5 8" xfId="4741" xr:uid="{00000000-0005-0000-0000-0000F2130000}"/>
    <cellStyle name="Normal 4 2 5 8 2" xfId="13180" xr:uid="{ABBAC0EC-200C-4F28-AB25-2548998383C2}"/>
    <cellStyle name="Normal 4 2 5 9" xfId="8962" xr:uid="{69FB471D-E2B7-4804-8DFE-63D01B2F59FD}"/>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37BBAE86-AE72-4076-97B3-3F0B8DFAC622}"/>
    <cellStyle name="Normal 4 2 6 2 2 3" xfId="11522" xr:uid="{E330FDFE-6FEC-4125-8523-2A3A0A03A64B}"/>
    <cellStyle name="Normal 4 2 6 2 3" xfId="5156" xr:uid="{00000000-0005-0000-0000-0000F7130000}"/>
    <cellStyle name="Normal 4 2 6 2 3 2" xfId="13595" xr:uid="{C8641EDD-A761-4B44-9A0C-EEEFF4642471}"/>
    <cellStyle name="Normal 4 2 6 2 4" xfId="9377" xr:uid="{13B02BAE-1744-4858-A12D-FDA547BC49F6}"/>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0B8C36A8-02E6-40B1-A3DA-D785C3686C95}"/>
    <cellStyle name="Normal 4 2 6 3 2 3" xfId="11935" xr:uid="{09A02890-6E3A-4339-B3F9-956F4B2C8A43}"/>
    <cellStyle name="Normal 4 2 6 3 3" xfId="5569" xr:uid="{00000000-0005-0000-0000-0000FB130000}"/>
    <cellStyle name="Normal 4 2 6 3 3 2" xfId="14008" xr:uid="{0AE4509A-106D-47DF-92A0-0A0B86784FF3}"/>
    <cellStyle name="Normal 4 2 6 3 4" xfId="9790" xr:uid="{E2F2D3D9-AF88-47F3-8072-7D3234787863}"/>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7C297270-CE0C-4155-BF4F-0669E8B1590E}"/>
    <cellStyle name="Normal 4 2 6 4 2 3" xfId="12348" xr:uid="{9FA82466-FE21-45E6-8429-5F4DE7FC3874}"/>
    <cellStyle name="Normal 4 2 6 4 3" xfId="5982" xr:uid="{00000000-0005-0000-0000-0000FF130000}"/>
    <cellStyle name="Normal 4 2 6 4 3 2" xfId="14421" xr:uid="{2F655682-46C7-47B7-AB40-5FE1A2E9F0C5}"/>
    <cellStyle name="Normal 4 2 6 4 4" xfId="10203" xr:uid="{B89724E3-B60F-444D-A91D-0266193C2773}"/>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B874E974-FE55-4C3A-BF05-B9BAEF283282}"/>
    <cellStyle name="Normal 4 2 6 5 2 3" xfId="12761" xr:uid="{DCC10A22-865D-4E95-8176-84679E7F39E3}"/>
    <cellStyle name="Normal 4 2 6 5 3" xfId="6395" xr:uid="{00000000-0005-0000-0000-000003140000}"/>
    <cellStyle name="Normal 4 2 6 5 3 2" xfId="14834" xr:uid="{AE31CA65-95FE-4501-AB51-6C04262099CC}"/>
    <cellStyle name="Normal 4 2 6 5 4" xfId="10616" xr:uid="{7922FC48-5776-4D29-AE77-35B97684BB81}"/>
    <cellStyle name="Normal 4 2 6 6" xfId="2524" xr:uid="{00000000-0005-0000-0000-000004140000}"/>
    <cellStyle name="Normal 4 2 6 6 2" xfId="6808" xr:uid="{00000000-0005-0000-0000-000005140000}"/>
    <cellStyle name="Normal 4 2 6 6 2 2" xfId="15247" xr:uid="{2334FFF3-03A8-4122-A84B-A1A470E865FF}"/>
    <cellStyle name="Normal 4 2 6 6 3" xfId="11029" xr:uid="{A30BBE61-C3D1-4DDB-B368-137BA587D049}"/>
    <cellStyle name="Normal 4 2 6 7" xfId="4743" xr:uid="{00000000-0005-0000-0000-000006140000}"/>
    <cellStyle name="Normal 4 2 6 7 2" xfId="13182" xr:uid="{C9E87E0D-1CD1-42B9-95BF-136255C6B0D3}"/>
    <cellStyle name="Normal 4 2 6 8" xfId="8964" xr:uid="{7BD787CB-3AF7-47F5-924D-5BF292B53836}"/>
    <cellStyle name="Normal 4 3" xfId="366" xr:uid="{00000000-0005-0000-0000-000007140000}"/>
    <cellStyle name="Normal 4 3 10" xfId="8965" xr:uid="{3F624445-3CD8-4F45-A154-CB416043C364}"/>
    <cellStyle name="Normal 4 3 2" xfId="367" xr:uid="{00000000-0005-0000-0000-000008140000}"/>
    <cellStyle name="Normal 4 3 2 2" xfId="368" xr:uid="{00000000-0005-0000-0000-000009140000}"/>
    <cellStyle name="Normal 4 3 2 2 2" xfId="369" xr:uid="{00000000-0005-0000-0000-00000A140000}"/>
    <cellStyle name="Normal 4 3 2 2 2 10" xfId="8966" xr:uid="{8AF2D038-7041-44B1-975A-40183149DCA7}"/>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E92818E5-41C9-45CD-B94B-C1432696E409}"/>
    <cellStyle name="Normal 4 3 2 2 2 2 2 2 2 3" xfId="11526" xr:uid="{338F5C81-D12B-43ED-9498-E9D045620B9C}"/>
    <cellStyle name="Normal 4 3 2 2 2 2 2 2 3" xfId="5160" xr:uid="{00000000-0005-0000-0000-000010140000}"/>
    <cellStyle name="Normal 4 3 2 2 2 2 2 2 3 2" xfId="13599" xr:uid="{ECD8A8EE-28B6-4604-BF6F-C049EEFF403D}"/>
    <cellStyle name="Normal 4 3 2 2 2 2 2 2 4" xfId="9381" xr:uid="{6CB567E1-CBA5-4579-9189-44B94BCDE262}"/>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D5F49F3F-4F50-4E04-9212-FD8FD56C5773}"/>
    <cellStyle name="Normal 4 3 2 2 2 2 2 3 2 3" xfId="11939" xr:uid="{F6A48C09-2008-4CB4-82F8-CC6777FF43A4}"/>
    <cellStyle name="Normal 4 3 2 2 2 2 2 3 3" xfId="5573" xr:uid="{00000000-0005-0000-0000-000014140000}"/>
    <cellStyle name="Normal 4 3 2 2 2 2 2 3 3 2" xfId="14012" xr:uid="{259F78B5-80AE-473A-8CD0-79BF03D8E644}"/>
    <cellStyle name="Normal 4 3 2 2 2 2 2 3 4" xfId="9794" xr:uid="{E1CADFF8-DCBF-43A6-9622-7348126F84AA}"/>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9A016F66-9BA0-4583-A1FE-B7CE0840A86A}"/>
    <cellStyle name="Normal 4 3 2 2 2 2 2 4 2 3" xfId="12352" xr:uid="{88CD65FB-0713-46C7-9C1F-D665442B08AB}"/>
    <cellStyle name="Normal 4 3 2 2 2 2 2 4 3" xfId="5986" xr:uid="{00000000-0005-0000-0000-000018140000}"/>
    <cellStyle name="Normal 4 3 2 2 2 2 2 4 3 2" xfId="14425" xr:uid="{BD405768-52DC-43AF-B20E-F475803E642C}"/>
    <cellStyle name="Normal 4 3 2 2 2 2 2 4 4" xfId="10207" xr:uid="{CE350010-16E4-4EB2-BC9C-F4194F9D3CC1}"/>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1FFC9222-94D3-4B7D-817E-B36C05FD3739}"/>
    <cellStyle name="Normal 4 3 2 2 2 2 2 5 2 3" xfId="12765" xr:uid="{DD2394DE-5055-4D8F-B76C-AF153810E683}"/>
    <cellStyle name="Normal 4 3 2 2 2 2 2 5 3" xfId="6399" xr:uid="{00000000-0005-0000-0000-00001C140000}"/>
    <cellStyle name="Normal 4 3 2 2 2 2 2 5 3 2" xfId="14838" xr:uid="{E64A33E5-1BDC-42DE-889F-56016EF16F6E}"/>
    <cellStyle name="Normal 4 3 2 2 2 2 2 5 4" xfId="10620" xr:uid="{C3E21246-0DC8-4481-85A2-47556979CFB9}"/>
    <cellStyle name="Normal 4 3 2 2 2 2 2 6" xfId="2528" xr:uid="{00000000-0005-0000-0000-00001D140000}"/>
    <cellStyle name="Normal 4 3 2 2 2 2 2 6 2" xfId="6812" xr:uid="{00000000-0005-0000-0000-00001E140000}"/>
    <cellStyle name="Normal 4 3 2 2 2 2 2 6 2 2" xfId="15251" xr:uid="{5212FE87-A101-4D42-8127-C0E147512443}"/>
    <cellStyle name="Normal 4 3 2 2 2 2 2 6 3" xfId="11033" xr:uid="{6D7206EA-5D50-4615-BE26-B381F27C86E7}"/>
    <cellStyle name="Normal 4 3 2 2 2 2 2 7" xfId="4747" xr:uid="{00000000-0005-0000-0000-00001F140000}"/>
    <cellStyle name="Normal 4 3 2 2 2 2 2 7 2" xfId="13186" xr:uid="{7E4D5A80-EF36-46F0-9B0F-12F39B84E3C6}"/>
    <cellStyle name="Normal 4 3 2 2 2 2 2 8" xfId="8968" xr:uid="{FF9B8329-0328-4A14-8391-F37B93BA3B7F}"/>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8836B2BF-A05F-4FFE-A83D-60D87BCE5960}"/>
    <cellStyle name="Normal 4 3 2 2 2 2 3 2 3" xfId="11525" xr:uid="{4BB2A364-63EF-4363-A0AC-3E4F5D3E53B2}"/>
    <cellStyle name="Normal 4 3 2 2 2 2 3 3" xfId="5159" xr:uid="{00000000-0005-0000-0000-000023140000}"/>
    <cellStyle name="Normal 4 3 2 2 2 2 3 3 2" xfId="13598" xr:uid="{AA5F88BE-11E6-4858-AE62-77559F6D6C10}"/>
    <cellStyle name="Normal 4 3 2 2 2 2 3 4" xfId="9380" xr:uid="{936F4622-C336-40DA-9E1A-7F4413D4D8A7}"/>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77317E51-9116-41B6-87B3-D6C7649EAEA2}"/>
    <cellStyle name="Normal 4 3 2 2 2 2 4 2 3" xfId="11938" xr:uid="{404CCAB9-0FC3-4845-AF6E-45B27563B8B7}"/>
    <cellStyle name="Normal 4 3 2 2 2 2 4 3" xfId="5572" xr:uid="{00000000-0005-0000-0000-000027140000}"/>
    <cellStyle name="Normal 4 3 2 2 2 2 4 3 2" xfId="14011" xr:uid="{F53B1EFD-A618-4D66-99CC-9E878F0F9543}"/>
    <cellStyle name="Normal 4 3 2 2 2 2 4 4" xfId="9793" xr:uid="{B56452D2-43C6-42D5-85EA-3427E5951AB4}"/>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5926E2D3-5946-4A30-9BAF-DB396C06433C}"/>
    <cellStyle name="Normal 4 3 2 2 2 2 5 2 3" xfId="12351" xr:uid="{03207B70-8F3C-4A27-B74E-047DA86C53F5}"/>
    <cellStyle name="Normal 4 3 2 2 2 2 5 3" xfId="5985" xr:uid="{00000000-0005-0000-0000-00002B140000}"/>
    <cellStyle name="Normal 4 3 2 2 2 2 5 3 2" xfId="14424" xr:uid="{B9EE0E39-EF54-4280-9FD7-4C6636EE057C}"/>
    <cellStyle name="Normal 4 3 2 2 2 2 5 4" xfId="10206" xr:uid="{B3691977-28EC-43C3-84A1-A77FEB02CFF4}"/>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F79BB847-D02F-4C0D-83A5-FE70E57AAAC4}"/>
    <cellStyle name="Normal 4 3 2 2 2 2 6 2 3" xfId="12764" xr:uid="{67B61C2A-D745-4EDD-83EC-BDEA44CF25E1}"/>
    <cellStyle name="Normal 4 3 2 2 2 2 6 3" xfId="6398" xr:uid="{00000000-0005-0000-0000-00002F140000}"/>
    <cellStyle name="Normal 4 3 2 2 2 2 6 3 2" xfId="14837" xr:uid="{AC9DB097-98BC-4766-8A9F-A392553BE72B}"/>
    <cellStyle name="Normal 4 3 2 2 2 2 6 4" xfId="10619" xr:uid="{B9F99C50-7AC6-47E0-B9F3-17B41238D560}"/>
    <cellStyle name="Normal 4 3 2 2 2 2 7" xfId="2527" xr:uid="{00000000-0005-0000-0000-000030140000}"/>
    <cellStyle name="Normal 4 3 2 2 2 2 7 2" xfId="6811" xr:uid="{00000000-0005-0000-0000-000031140000}"/>
    <cellStyle name="Normal 4 3 2 2 2 2 7 2 2" xfId="15250" xr:uid="{C7B9917D-117A-49C5-BD56-F8063C0CE35D}"/>
    <cellStyle name="Normal 4 3 2 2 2 2 7 3" xfId="11032" xr:uid="{EC93BA54-3137-4FF6-BF7A-D2D19E283B73}"/>
    <cellStyle name="Normal 4 3 2 2 2 2 8" xfId="4746" xr:uid="{00000000-0005-0000-0000-000032140000}"/>
    <cellStyle name="Normal 4 3 2 2 2 2 8 2" xfId="13185" xr:uid="{193DDED9-4339-4EB8-9DC1-CBF0F86ADD5C}"/>
    <cellStyle name="Normal 4 3 2 2 2 2 9" xfId="8967" xr:uid="{921AA0BB-15CC-41E2-9157-EF3C8DF7D4AA}"/>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7FB38DA2-EDBB-4728-8140-BBB88D21F6BF}"/>
    <cellStyle name="Normal 4 3 2 2 2 3 2 2 3" xfId="11527" xr:uid="{2E798378-325C-42E5-B8C1-C76050F53E9B}"/>
    <cellStyle name="Normal 4 3 2 2 2 3 2 3" xfId="5161" xr:uid="{00000000-0005-0000-0000-000037140000}"/>
    <cellStyle name="Normal 4 3 2 2 2 3 2 3 2" xfId="13600" xr:uid="{F0297DD5-4921-4DD4-B811-267A8DB3D403}"/>
    <cellStyle name="Normal 4 3 2 2 2 3 2 4" xfId="9382" xr:uid="{D627E3F8-A7E6-44AB-B655-E45972C8CA1F}"/>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244AED48-1CBA-48BF-B15E-2EA770E35701}"/>
    <cellStyle name="Normal 4 3 2 2 2 3 3 2 3" xfId="11940" xr:uid="{E160F9BC-DB75-4D2A-AFFC-3E09EF9342A4}"/>
    <cellStyle name="Normal 4 3 2 2 2 3 3 3" xfId="5574" xr:uid="{00000000-0005-0000-0000-00003B140000}"/>
    <cellStyle name="Normal 4 3 2 2 2 3 3 3 2" xfId="14013" xr:uid="{9448EC3C-8BEC-48A4-94F9-9C5DAEDA425D}"/>
    <cellStyle name="Normal 4 3 2 2 2 3 3 4" xfId="9795" xr:uid="{C495793C-94EB-4B13-8F5D-A4552800C75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0EB7B553-F33E-45BE-A35C-4B5FD3A2CE13}"/>
    <cellStyle name="Normal 4 3 2 2 2 3 4 2 3" xfId="12353" xr:uid="{47BFA43A-DF80-4918-916F-DB6BC39FE5C9}"/>
    <cellStyle name="Normal 4 3 2 2 2 3 4 3" xfId="5987" xr:uid="{00000000-0005-0000-0000-00003F140000}"/>
    <cellStyle name="Normal 4 3 2 2 2 3 4 3 2" xfId="14426" xr:uid="{E510DEBF-0A06-4506-8A7E-A9817B58D43F}"/>
    <cellStyle name="Normal 4 3 2 2 2 3 4 4" xfId="10208" xr:uid="{64CA9070-6692-4847-B0F6-B8980875FE2B}"/>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60B19CA1-0C94-44C8-ABC9-D075119DCBDF}"/>
    <cellStyle name="Normal 4 3 2 2 2 3 5 2 3" xfId="12766" xr:uid="{A42A12C8-4062-42BE-9421-592FDFDFAB5F}"/>
    <cellStyle name="Normal 4 3 2 2 2 3 5 3" xfId="6400" xr:uid="{00000000-0005-0000-0000-000043140000}"/>
    <cellStyle name="Normal 4 3 2 2 2 3 5 3 2" xfId="14839" xr:uid="{105786C3-5B7E-4104-8A36-3661852050AB}"/>
    <cellStyle name="Normal 4 3 2 2 2 3 5 4" xfId="10621" xr:uid="{B198E2E5-330D-4272-9CE8-494426634D22}"/>
    <cellStyle name="Normal 4 3 2 2 2 3 6" xfId="2529" xr:uid="{00000000-0005-0000-0000-000044140000}"/>
    <cellStyle name="Normal 4 3 2 2 2 3 6 2" xfId="6813" xr:uid="{00000000-0005-0000-0000-000045140000}"/>
    <cellStyle name="Normal 4 3 2 2 2 3 6 2 2" xfId="15252" xr:uid="{01CB6E32-18D2-4E6C-9D1C-2C31AA2BD454}"/>
    <cellStyle name="Normal 4 3 2 2 2 3 6 3" xfId="11034" xr:uid="{F3BB1B27-6BE8-4E2E-A776-61B749F4ADB7}"/>
    <cellStyle name="Normal 4 3 2 2 2 3 7" xfId="4748" xr:uid="{00000000-0005-0000-0000-000046140000}"/>
    <cellStyle name="Normal 4 3 2 2 2 3 7 2" xfId="13187" xr:uid="{E53C2312-369E-451A-BDD1-6731A5C81601}"/>
    <cellStyle name="Normal 4 3 2 2 2 3 8" xfId="8969" xr:uid="{55935FFB-E8DD-4E05-A1E5-25A83990F9B3}"/>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D9382F61-DF03-42E9-AF26-39122DBCFC1C}"/>
    <cellStyle name="Normal 4 3 2 2 2 4 2 3" xfId="11524" xr:uid="{D5936AA3-353E-4E6B-8208-459B11D0E5D6}"/>
    <cellStyle name="Normal 4 3 2 2 2 4 3" xfId="5158" xr:uid="{00000000-0005-0000-0000-00004A140000}"/>
    <cellStyle name="Normal 4 3 2 2 2 4 3 2" xfId="13597" xr:uid="{7353D5D1-656E-49F8-AD8A-F56BC3D203DB}"/>
    <cellStyle name="Normal 4 3 2 2 2 4 4" xfId="9379" xr:uid="{9C36B2AD-C061-4EA2-9AC0-04A15A4B61C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301F97ED-038B-4726-B839-5FB163CB805F}"/>
    <cellStyle name="Normal 4 3 2 2 2 5 2 3" xfId="11937" xr:uid="{F76BA38D-6F3D-4445-9F3A-BFA27F3532C4}"/>
    <cellStyle name="Normal 4 3 2 2 2 5 3" xfId="5571" xr:uid="{00000000-0005-0000-0000-00004E140000}"/>
    <cellStyle name="Normal 4 3 2 2 2 5 3 2" xfId="14010" xr:uid="{7323F8DB-8A79-47E7-923A-F782F9C74233}"/>
    <cellStyle name="Normal 4 3 2 2 2 5 4" xfId="9792" xr:uid="{E9E6C1FD-EB55-41CC-9FE6-CD12B8F1318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830309A5-9ED6-4BC5-AF79-D9711F904EA4}"/>
    <cellStyle name="Normal 4 3 2 2 2 6 2 3" xfId="12350" xr:uid="{9747CBAA-7895-4F88-9933-29F7EB9CF0D8}"/>
    <cellStyle name="Normal 4 3 2 2 2 6 3" xfId="5984" xr:uid="{00000000-0005-0000-0000-000052140000}"/>
    <cellStyle name="Normal 4 3 2 2 2 6 3 2" xfId="14423" xr:uid="{238CF8C9-DAC0-4F08-9F1B-71339A929764}"/>
    <cellStyle name="Normal 4 3 2 2 2 6 4" xfId="10205" xr:uid="{24FFEA05-C0AA-4D2F-A4AD-E81DA57E0E2A}"/>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3B0B4C1C-6425-4EA4-91C1-D6C1EE11F912}"/>
    <cellStyle name="Normal 4 3 2 2 2 7 2 3" xfId="12763" xr:uid="{58C9A338-D566-435B-9E2D-32E924924A2B}"/>
    <cellStyle name="Normal 4 3 2 2 2 7 3" xfId="6397" xr:uid="{00000000-0005-0000-0000-000056140000}"/>
    <cellStyle name="Normal 4 3 2 2 2 7 3 2" xfId="14836" xr:uid="{47C632C3-8697-414B-9B4A-EB9839AED3B7}"/>
    <cellStyle name="Normal 4 3 2 2 2 7 4" xfId="10618" xr:uid="{A797293A-6C6D-45FA-AEC0-64832D8D2BF3}"/>
    <cellStyle name="Normal 4 3 2 2 2 8" xfId="2526" xr:uid="{00000000-0005-0000-0000-000057140000}"/>
    <cellStyle name="Normal 4 3 2 2 2 8 2" xfId="6810" xr:uid="{00000000-0005-0000-0000-000058140000}"/>
    <cellStyle name="Normal 4 3 2 2 2 8 2 2" xfId="15249" xr:uid="{EBDED128-2E4A-41EE-9E2D-CF9C1A3E3796}"/>
    <cellStyle name="Normal 4 3 2 2 2 8 3" xfId="11031" xr:uid="{99C2C386-519B-4FD8-8E3E-EDC4DDFBC832}"/>
    <cellStyle name="Normal 4 3 2 2 2 9" xfId="4745" xr:uid="{00000000-0005-0000-0000-000059140000}"/>
    <cellStyle name="Normal 4 3 2 2 2 9 2" xfId="13184" xr:uid="{FC806B0F-0EB8-44A2-A4F6-6D1BD5346F5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F11E5C12-094F-44DB-954B-785DF24B844A}"/>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5647C4EF-5B03-43F2-938A-A9DD914993ED}"/>
    <cellStyle name="Normal 4 3 3 2 2 2 2 3" xfId="11530" xr:uid="{D13EEE02-53F0-47F2-B3DE-E0D57C5A1912}"/>
    <cellStyle name="Normal 4 3 3 2 2 2 3" xfId="5164" xr:uid="{00000000-0005-0000-0000-000063140000}"/>
    <cellStyle name="Normal 4 3 3 2 2 2 3 2" xfId="13603" xr:uid="{6D32AE04-0A25-4557-880A-024A36B3BF60}"/>
    <cellStyle name="Normal 4 3 3 2 2 2 4" xfId="9385" xr:uid="{954F790C-51A8-4141-939C-83B10C21A984}"/>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36D93356-FFC5-4E1F-84E9-0E77C33D8552}"/>
    <cellStyle name="Normal 4 3 3 2 2 3 2 3" xfId="11943" xr:uid="{BB6CB346-8D9F-44E1-AFCE-CD4A8F145400}"/>
    <cellStyle name="Normal 4 3 3 2 2 3 3" xfId="5577" xr:uid="{00000000-0005-0000-0000-000067140000}"/>
    <cellStyle name="Normal 4 3 3 2 2 3 3 2" xfId="14016" xr:uid="{2FE8DD99-44CA-48BD-B0BA-2E35E1FB711C}"/>
    <cellStyle name="Normal 4 3 3 2 2 3 4" xfId="9798" xr:uid="{94087602-7982-48BD-93BD-7BCC00A6B53A}"/>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4006E60E-45FF-436F-8589-6E5F79D742C8}"/>
    <cellStyle name="Normal 4 3 3 2 2 4 2 3" xfId="12356" xr:uid="{F03F1FE5-FD10-4C17-A28C-BBCEC5EAAE7F}"/>
    <cellStyle name="Normal 4 3 3 2 2 4 3" xfId="5990" xr:uid="{00000000-0005-0000-0000-00006B140000}"/>
    <cellStyle name="Normal 4 3 3 2 2 4 3 2" xfId="14429" xr:uid="{D13BC49F-845C-48D8-AA6D-E3C898565645}"/>
    <cellStyle name="Normal 4 3 3 2 2 4 4" xfId="10211" xr:uid="{F6995DCB-625D-49DC-97B0-4878A1B4E88A}"/>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E482B8F4-93DC-4770-BCFB-6AAAC272C9A9}"/>
    <cellStyle name="Normal 4 3 3 2 2 5 2 3" xfId="12769" xr:uid="{C1B5386A-C1BA-4B73-BF54-A545AF67C96C}"/>
    <cellStyle name="Normal 4 3 3 2 2 5 3" xfId="6403" xr:uid="{00000000-0005-0000-0000-00006F140000}"/>
    <cellStyle name="Normal 4 3 3 2 2 5 3 2" xfId="14842" xr:uid="{A58E3AC5-FB0F-4809-B463-B2969C588BB5}"/>
    <cellStyle name="Normal 4 3 3 2 2 5 4" xfId="10624" xr:uid="{6E8B90C0-56DB-4671-B8AB-30994011C046}"/>
    <cellStyle name="Normal 4 3 3 2 2 6" xfId="2532" xr:uid="{00000000-0005-0000-0000-000070140000}"/>
    <cellStyle name="Normal 4 3 3 2 2 6 2" xfId="6816" xr:uid="{00000000-0005-0000-0000-000071140000}"/>
    <cellStyle name="Normal 4 3 3 2 2 6 2 2" xfId="15255" xr:uid="{277F4DF3-C8BD-4560-8751-BC0D4E3F9D80}"/>
    <cellStyle name="Normal 4 3 3 2 2 6 3" xfId="11037" xr:uid="{AAC8BB46-C4C8-47E9-A1A2-3275C4FE8B02}"/>
    <cellStyle name="Normal 4 3 3 2 2 7" xfId="4751" xr:uid="{00000000-0005-0000-0000-000072140000}"/>
    <cellStyle name="Normal 4 3 3 2 2 7 2" xfId="13190" xr:uid="{86236F00-D7DB-44B5-8080-80C5184D5AA5}"/>
    <cellStyle name="Normal 4 3 3 2 2 8" xfId="8972" xr:uid="{917D821C-BB7A-41D9-8929-85DDE959F37A}"/>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5069FD8B-BB1B-49D3-A69B-8F1ADDBC43B1}"/>
    <cellStyle name="Normal 4 3 3 2 3 2 3" xfId="11529" xr:uid="{BA4C5F6B-0362-4A63-8BDB-01A7E3EBC817}"/>
    <cellStyle name="Normal 4 3 3 2 3 3" xfId="5163" xr:uid="{00000000-0005-0000-0000-000076140000}"/>
    <cellStyle name="Normal 4 3 3 2 3 3 2" xfId="13602" xr:uid="{303F50BC-FE6A-47A2-8CD1-616EEF0E04F8}"/>
    <cellStyle name="Normal 4 3 3 2 3 4" xfId="9384" xr:uid="{98BFDA04-8BB8-44FF-BB85-C6A325F80C0D}"/>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E7883928-C1C7-4737-BB92-F27F79C5B0D3}"/>
    <cellStyle name="Normal 4 3 3 2 4 2 3" xfId="11942" xr:uid="{398C8233-E5A2-4512-8B55-478DD715F9C6}"/>
    <cellStyle name="Normal 4 3 3 2 4 3" xfId="5576" xr:uid="{00000000-0005-0000-0000-00007A140000}"/>
    <cellStyle name="Normal 4 3 3 2 4 3 2" xfId="14015" xr:uid="{EBD764DB-0301-4A98-B7A9-2DBEF6AF95B9}"/>
    <cellStyle name="Normal 4 3 3 2 4 4" xfId="9797" xr:uid="{BE8B4F9B-A0B5-4FF9-B294-78A4CA34B8E5}"/>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5FCF1AB9-AF87-4A09-9E5E-4BAE181FDB45}"/>
    <cellStyle name="Normal 4 3 3 2 5 2 3" xfId="12355" xr:uid="{BE1E1DE2-D2F0-4932-B636-8584E9A5362B}"/>
    <cellStyle name="Normal 4 3 3 2 5 3" xfId="5989" xr:uid="{00000000-0005-0000-0000-00007E140000}"/>
    <cellStyle name="Normal 4 3 3 2 5 3 2" xfId="14428" xr:uid="{8D49454E-03D5-42A7-A80F-9BAEDA6B1685}"/>
    <cellStyle name="Normal 4 3 3 2 5 4" xfId="10210" xr:uid="{4006E76D-6B7F-4DA3-8BE9-A7861967E0D1}"/>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A8C67FF7-82E1-4D17-805D-6C014930D5E5}"/>
    <cellStyle name="Normal 4 3 3 2 6 2 3" xfId="12768" xr:uid="{3DACBC46-4FC5-4FAC-B960-36A0E1B84EA9}"/>
    <cellStyle name="Normal 4 3 3 2 6 3" xfId="6402" xr:uid="{00000000-0005-0000-0000-000082140000}"/>
    <cellStyle name="Normal 4 3 3 2 6 3 2" xfId="14841" xr:uid="{3EF2B4F6-127F-4203-AAB1-A852CDA7270D}"/>
    <cellStyle name="Normal 4 3 3 2 6 4" xfId="10623" xr:uid="{3FA1E083-62EA-44A2-A7F0-633C655C18F4}"/>
    <cellStyle name="Normal 4 3 3 2 7" xfId="2531" xr:uid="{00000000-0005-0000-0000-000083140000}"/>
    <cellStyle name="Normal 4 3 3 2 7 2" xfId="6815" xr:uid="{00000000-0005-0000-0000-000084140000}"/>
    <cellStyle name="Normal 4 3 3 2 7 2 2" xfId="15254" xr:uid="{7020363B-DB51-4A32-8281-BAE158BA66F9}"/>
    <cellStyle name="Normal 4 3 3 2 7 3" xfId="11036" xr:uid="{10B26C65-0019-4E23-8886-0745467592F7}"/>
    <cellStyle name="Normal 4 3 3 2 8" xfId="4750" xr:uid="{00000000-0005-0000-0000-000085140000}"/>
    <cellStyle name="Normal 4 3 3 2 8 2" xfId="13189" xr:uid="{C3845A0D-10FC-4A85-830F-0B702C666258}"/>
    <cellStyle name="Normal 4 3 3 2 9" xfId="8971" xr:uid="{AAA29881-EDEB-4E35-830E-89A64F2CCFDF}"/>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1A523E11-F5B4-4E33-9BAC-AAF622B46925}"/>
    <cellStyle name="Normal 4 3 3 3 2 2 3" xfId="11531" xr:uid="{CAB30F55-4D6F-4914-96EB-172173131449}"/>
    <cellStyle name="Normal 4 3 3 3 2 3" xfId="5165" xr:uid="{00000000-0005-0000-0000-00008A140000}"/>
    <cellStyle name="Normal 4 3 3 3 2 3 2" xfId="13604" xr:uid="{290D260E-B444-4D9A-AC74-B42B84325372}"/>
    <cellStyle name="Normal 4 3 3 3 2 4" xfId="9386" xr:uid="{01281EAE-E0E4-49B6-A236-0B0F119D406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900F8E08-16DE-4601-AE6A-7E48F0D3D4A5}"/>
    <cellStyle name="Normal 4 3 3 3 3 2 3" xfId="11944" xr:uid="{DE7F7C0C-A40B-499A-B65D-03C4188C36AA}"/>
    <cellStyle name="Normal 4 3 3 3 3 3" xfId="5578" xr:uid="{00000000-0005-0000-0000-00008E140000}"/>
    <cellStyle name="Normal 4 3 3 3 3 3 2" xfId="14017" xr:uid="{3B79292B-D6A9-43CF-A4E7-217FBBFCEB6D}"/>
    <cellStyle name="Normal 4 3 3 3 3 4" xfId="9799" xr:uid="{8DFF061B-5C89-4D42-9DA3-FBEB37E1979D}"/>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1AC1012B-EAA3-4F8C-93A4-613882E8F67B}"/>
    <cellStyle name="Normal 4 3 3 3 4 2 3" xfId="12357" xr:uid="{58B65AF5-4E6C-42CE-BF09-62C901C91C06}"/>
    <cellStyle name="Normal 4 3 3 3 4 3" xfId="5991" xr:uid="{00000000-0005-0000-0000-000092140000}"/>
    <cellStyle name="Normal 4 3 3 3 4 3 2" xfId="14430" xr:uid="{C3ED777D-0378-4D55-B66F-FC0863C4446B}"/>
    <cellStyle name="Normal 4 3 3 3 4 4" xfId="10212" xr:uid="{05C12DD8-2291-4D8F-B23C-0D01727B2F0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0E7E0B73-7EC1-4B4E-AEA3-852235BAD4A6}"/>
    <cellStyle name="Normal 4 3 3 3 5 2 3" xfId="12770" xr:uid="{11400710-C32D-49CE-8EAA-B57FFDCC1B98}"/>
    <cellStyle name="Normal 4 3 3 3 5 3" xfId="6404" xr:uid="{00000000-0005-0000-0000-000096140000}"/>
    <cellStyle name="Normal 4 3 3 3 5 3 2" xfId="14843" xr:uid="{39B3F779-8ACA-4705-BE1A-D7C66F055A92}"/>
    <cellStyle name="Normal 4 3 3 3 5 4" xfId="10625" xr:uid="{8D0328C5-7BA1-41D1-9FCC-68ED035D285B}"/>
    <cellStyle name="Normal 4 3 3 3 6" xfId="2533" xr:uid="{00000000-0005-0000-0000-000097140000}"/>
    <cellStyle name="Normal 4 3 3 3 6 2" xfId="6817" xr:uid="{00000000-0005-0000-0000-000098140000}"/>
    <cellStyle name="Normal 4 3 3 3 6 2 2" xfId="15256" xr:uid="{041D9E4E-BCEE-46A5-A2CF-BC678D0DCD85}"/>
    <cellStyle name="Normal 4 3 3 3 6 3" xfId="11038" xr:uid="{CC936D9B-BA19-45A7-BCCB-681A27537136}"/>
    <cellStyle name="Normal 4 3 3 3 7" xfId="4752" xr:uid="{00000000-0005-0000-0000-000099140000}"/>
    <cellStyle name="Normal 4 3 3 3 7 2" xfId="13191" xr:uid="{8A8FF481-B475-4D45-95B4-1948542C76BC}"/>
    <cellStyle name="Normal 4 3 3 3 8" xfId="8973" xr:uid="{8EA18858-CB35-4CBB-AF6F-B0F32DD62A25}"/>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F7818635-4C0C-4AA6-9156-1C79D2A53325}"/>
    <cellStyle name="Normal 4 3 3 4 2 3" xfId="11528" xr:uid="{74B354B1-C601-409E-8994-149FBFDCD096}"/>
    <cellStyle name="Normal 4 3 3 4 3" xfId="5162" xr:uid="{00000000-0005-0000-0000-00009D140000}"/>
    <cellStyle name="Normal 4 3 3 4 3 2" xfId="13601" xr:uid="{93C5BF7A-A851-43C1-9A98-77FDB81A6CBF}"/>
    <cellStyle name="Normal 4 3 3 4 4" xfId="9383" xr:uid="{1B95F63C-53B3-48DE-9026-A3F916F4D0EA}"/>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A3075902-8BAA-4157-BF83-C45A1A45D412}"/>
    <cellStyle name="Normal 4 3 3 5 2 3" xfId="11941" xr:uid="{0325186D-47AA-4071-9B0D-ED93F1A6203B}"/>
    <cellStyle name="Normal 4 3 3 5 3" xfId="5575" xr:uid="{00000000-0005-0000-0000-0000A1140000}"/>
    <cellStyle name="Normal 4 3 3 5 3 2" xfId="14014" xr:uid="{6D4252FD-E212-4092-AA05-AC57636686F9}"/>
    <cellStyle name="Normal 4 3 3 5 4" xfId="9796" xr:uid="{2C22E3C8-3874-42D8-915C-3D0E766961F2}"/>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FB6D0409-064B-46C1-AF4D-C8134E45B51A}"/>
    <cellStyle name="Normal 4 3 3 6 2 3" xfId="12354" xr:uid="{7F140DA3-CFF7-4348-AB14-269F3B26FE57}"/>
    <cellStyle name="Normal 4 3 3 6 3" xfId="5988" xr:uid="{00000000-0005-0000-0000-0000A5140000}"/>
    <cellStyle name="Normal 4 3 3 6 3 2" xfId="14427" xr:uid="{8C02465C-085A-43C5-BEA4-428F7956023F}"/>
    <cellStyle name="Normal 4 3 3 6 4" xfId="10209" xr:uid="{26B06526-3D56-431B-9C31-8225DE3EF724}"/>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742BA311-C76B-4D8B-84F7-619D6B9C5F7A}"/>
    <cellStyle name="Normal 4 3 3 7 2 3" xfId="12767" xr:uid="{6C35AF72-D99F-4477-9DD8-CFCF14E8C536}"/>
    <cellStyle name="Normal 4 3 3 7 3" xfId="6401" xr:uid="{00000000-0005-0000-0000-0000A9140000}"/>
    <cellStyle name="Normal 4 3 3 7 3 2" xfId="14840" xr:uid="{F97B0F25-489E-4C76-AE15-A51A57CD0DA5}"/>
    <cellStyle name="Normal 4 3 3 7 4" xfId="10622" xr:uid="{9798C384-C96B-45FB-AA5C-63F4B09F96E8}"/>
    <cellStyle name="Normal 4 3 3 8" xfId="2530" xr:uid="{00000000-0005-0000-0000-0000AA140000}"/>
    <cellStyle name="Normal 4 3 3 8 2" xfId="6814" xr:uid="{00000000-0005-0000-0000-0000AB140000}"/>
    <cellStyle name="Normal 4 3 3 8 2 2" xfId="15253" xr:uid="{D442686E-802A-49EC-9A3C-1600FECE283D}"/>
    <cellStyle name="Normal 4 3 3 8 3" xfId="11035" xr:uid="{0CC50203-8327-44C5-A85B-94CDF9D99282}"/>
    <cellStyle name="Normal 4 3 3 9" xfId="4749" xr:uid="{00000000-0005-0000-0000-0000AC140000}"/>
    <cellStyle name="Normal 4 3 3 9 2" xfId="13188" xr:uid="{C4735A4E-1D14-44D3-A07B-40BC2E15E0EF}"/>
    <cellStyle name="Normal 4 3 4" xfId="842" xr:uid="{00000000-0005-0000-0000-0000AD140000}"/>
    <cellStyle name="Normal 4 3 4 2" xfId="3079" xr:uid="{00000000-0005-0000-0000-0000AE140000}"/>
    <cellStyle name="Normal 4 3 4 2 2" xfId="7302" xr:uid="{00000000-0005-0000-0000-0000AF140000}"/>
    <cellStyle name="Normal 4 3 4 2 2 2" xfId="15741" xr:uid="{91DB1374-FC61-49E0-B878-1D9F4EEC8807}"/>
    <cellStyle name="Normal 4 3 4 2 3" xfId="11523" xr:uid="{73CAC71A-E066-4A3C-82B7-7C4C9A25B76A}"/>
    <cellStyle name="Normal 4 3 4 3" xfId="5157" xr:uid="{00000000-0005-0000-0000-0000B0140000}"/>
    <cellStyle name="Normal 4 3 4 3 2" xfId="13596" xr:uid="{E74C4BEF-45D9-435B-ACFF-2FA3D4E8C533}"/>
    <cellStyle name="Normal 4 3 4 4" xfId="9378" xr:uid="{5EF06466-E5F7-47DB-BFE6-0EEAF89EE967}"/>
    <cellStyle name="Normal 4 3 5" xfId="1262" xr:uid="{00000000-0005-0000-0000-0000B1140000}"/>
    <cellStyle name="Normal 4 3 5 2" xfId="3492" xr:uid="{00000000-0005-0000-0000-0000B2140000}"/>
    <cellStyle name="Normal 4 3 5 2 2" xfId="7715" xr:uid="{00000000-0005-0000-0000-0000B3140000}"/>
    <cellStyle name="Normal 4 3 5 2 2 2" xfId="16154" xr:uid="{0A26CA47-08E4-488C-AC5D-03799DD44090}"/>
    <cellStyle name="Normal 4 3 5 2 3" xfId="11936" xr:uid="{8C6D6A17-1077-40BF-A557-4301F232CD9C}"/>
    <cellStyle name="Normal 4 3 5 3" xfId="5570" xr:uid="{00000000-0005-0000-0000-0000B4140000}"/>
    <cellStyle name="Normal 4 3 5 3 2" xfId="14009" xr:uid="{027BF3F3-AD6B-414E-ABE1-58C65846E8FE}"/>
    <cellStyle name="Normal 4 3 5 4" xfId="9791" xr:uid="{A0938F68-C7F0-4D62-89F8-FA3884849422}"/>
    <cellStyle name="Normal 4 3 6" xfId="1675" xr:uid="{00000000-0005-0000-0000-0000B5140000}"/>
    <cellStyle name="Normal 4 3 6 2" xfId="3905" xr:uid="{00000000-0005-0000-0000-0000B6140000}"/>
    <cellStyle name="Normal 4 3 6 2 2" xfId="8128" xr:uid="{00000000-0005-0000-0000-0000B7140000}"/>
    <cellStyle name="Normal 4 3 6 2 2 2" xfId="16567" xr:uid="{5BECBFB8-0A21-4694-A8C2-292298F913B6}"/>
    <cellStyle name="Normal 4 3 6 2 3" xfId="12349" xr:uid="{CF6B074E-29D2-43EE-AC64-6D2ABE5DED8F}"/>
    <cellStyle name="Normal 4 3 6 3" xfId="5983" xr:uid="{00000000-0005-0000-0000-0000B8140000}"/>
    <cellStyle name="Normal 4 3 6 3 2" xfId="14422" xr:uid="{ACB3C99F-4E75-4939-8527-60D65812E8A5}"/>
    <cellStyle name="Normal 4 3 6 4" xfId="10204" xr:uid="{88160167-E389-4AEF-9EC0-100F1CBC6E26}"/>
    <cellStyle name="Normal 4 3 7" xfId="2089" xr:uid="{00000000-0005-0000-0000-0000B9140000}"/>
    <cellStyle name="Normal 4 3 7 2" xfId="4318" xr:uid="{00000000-0005-0000-0000-0000BA140000}"/>
    <cellStyle name="Normal 4 3 7 2 2" xfId="8541" xr:uid="{00000000-0005-0000-0000-0000BB140000}"/>
    <cellStyle name="Normal 4 3 7 2 2 2" xfId="16980" xr:uid="{A31810E9-33CA-426A-9977-D24B3CD59578}"/>
    <cellStyle name="Normal 4 3 7 2 3" xfId="12762" xr:uid="{09117913-6B92-423A-B2FE-49F6FCED9C49}"/>
    <cellStyle name="Normal 4 3 7 3" xfId="6396" xr:uid="{00000000-0005-0000-0000-0000BC140000}"/>
    <cellStyle name="Normal 4 3 7 3 2" xfId="14835" xr:uid="{A3E27AF9-5056-41B5-9B20-558F0D40E1E0}"/>
    <cellStyle name="Normal 4 3 7 4" xfId="10617" xr:uid="{5FF9157E-2B23-4D36-ABE9-21B8614A3555}"/>
    <cellStyle name="Normal 4 3 8" xfId="2525" xr:uid="{00000000-0005-0000-0000-0000BD140000}"/>
    <cellStyle name="Normal 4 3 8 2" xfId="6809" xr:uid="{00000000-0005-0000-0000-0000BE140000}"/>
    <cellStyle name="Normal 4 3 8 2 2" xfId="15248" xr:uid="{277724C2-7265-4647-A855-E1E1A2E30F52}"/>
    <cellStyle name="Normal 4 3 8 3" xfId="11030" xr:uid="{F3DE5F1D-FDFC-4183-9F65-5962829319B1}"/>
    <cellStyle name="Normal 4 3 9" xfId="4744" xr:uid="{00000000-0005-0000-0000-0000BF140000}"/>
    <cellStyle name="Normal 4 3 9 2" xfId="13183" xr:uid="{D24A0BB2-AF6E-4C21-988A-F0798A00FEDA}"/>
    <cellStyle name="Normal 4 4" xfId="378" xr:uid="{00000000-0005-0000-0000-0000C0140000}"/>
    <cellStyle name="Normal 4 4 10" xfId="2534" xr:uid="{00000000-0005-0000-0000-0000C1140000}"/>
    <cellStyle name="Normal 4 4 10 2" xfId="6818" xr:uid="{00000000-0005-0000-0000-0000C2140000}"/>
    <cellStyle name="Normal 4 4 10 2 2" xfId="15257" xr:uid="{3F1980DC-A6C1-4D9E-BDA2-44BD0E2E69B5}"/>
    <cellStyle name="Normal 4 4 10 3" xfId="11039" xr:uid="{E9D3568A-1BFD-4476-85CE-F0FB266BEF41}"/>
    <cellStyle name="Normal 4 4 11" xfId="4753" xr:uid="{00000000-0005-0000-0000-0000C3140000}"/>
    <cellStyle name="Normal 4 4 11 2" xfId="13192" xr:uid="{FEF2B629-70CA-474C-867F-5F1ADA3C7365}"/>
    <cellStyle name="Normal 4 4 12" xfId="8974" xr:uid="{48CF0BFD-565F-45E8-ADDF-B5A16C53BC3F}"/>
    <cellStyle name="Normal 4 4 2" xfId="379" xr:uid="{00000000-0005-0000-0000-0000C4140000}"/>
    <cellStyle name="Normal 4 4 2 10" xfId="4754" xr:uid="{00000000-0005-0000-0000-0000C5140000}"/>
    <cellStyle name="Normal 4 4 2 10 2" xfId="13193" xr:uid="{885D3061-1BC2-44E4-ACF5-ED6123121258}"/>
    <cellStyle name="Normal 4 4 2 11" xfId="8975" xr:uid="{C6D86143-E9B2-4DCF-A73E-D01D78738C6B}"/>
    <cellStyle name="Normal 4 4 2 2" xfId="380" xr:uid="{00000000-0005-0000-0000-0000C6140000}"/>
    <cellStyle name="Normal 4 4 2 2 10" xfId="8976" xr:uid="{406358C5-E22B-4C9F-B271-015A7E9CD449}"/>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E7DE71C0-AE0C-4F97-81DD-C90B47A0CC24}"/>
    <cellStyle name="Normal 4 4 2 2 2 2 2 2 3" xfId="11536" xr:uid="{06273B45-5C1A-4AAB-ABEF-D262C2E0A24A}"/>
    <cellStyle name="Normal 4 4 2 2 2 2 2 3" xfId="5170" xr:uid="{00000000-0005-0000-0000-0000CC140000}"/>
    <cellStyle name="Normal 4 4 2 2 2 2 2 3 2" xfId="13609" xr:uid="{458C6028-17D4-49EE-9865-A7F0219DFF38}"/>
    <cellStyle name="Normal 4 4 2 2 2 2 2 4" xfId="9391" xr:uid="{C69D3610-D51E-412F-B06B-1D5B98705295}"/>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D8B4B980-CAE7-4022-9AB8-CA733A82F93B}"/>
    <cellStyle name="Normal 4 4 2 2 2 2 3 2 3" xfId="11949" xr:uid="{7FF9E23A-0BE1-4D93-87C8-E58F979F8E34}"/>
    <cellStyle name="Normal 4 4 2 2 2 2 3 3" xfId="5583" xr:uid="{00000000-0005-0000-0000-0000D0140000}"/>
    <cellStyle name="Normal 4 4 2 2 2 2 3 3 2" xfId="14022" xr:uid="{7054A5FC-C28B-4FAA-A49C-1D5847DED1F4}"/>
    <cellStyle name="Normal 4 4 2 2 2 2 3 4" xfId="9804" xr:uid="{A36DCF06-DA09-4073-8CD6-C44C7D1EECB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0798A6A9-2141-4D75-B315-DC9AEB2A90B1}"/>
    <cellStyle name="Normal 4 4 2 2 2 2 4 2 3" xfId="12362" xr:uid="{AF947752-ED84-4319-8CD8-34FB9A732384}"/>
    <cellStyle name="Normal 4 4 2 2 2 2 4 3" xfId="5996" xr:uid="{00000000-0005-0000-0000-0000D4140000}"/>
    <cellStyle name="Normal 4 4 2 2 2 2 4 3 2" xfId="14435" xr:uid="{CBDA8F2F-EB90-4657-B0DE-88E3C21869CE}"/>
    <cellStyle name="Normal 4 4 2 2 2 2 4 4" xfId="10217" xr:uid="{AD39C2AC-CC59-43D6-8A40-2B570B17044B}"/>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00A12A3F-9322-4FF7-9347-CADD99E196BB}"/>
    <cellStyle name="Normal 4 4 2 2 2 2 5 2 3" xfId="12775" xr:uid="{0717BEBE-C205-42BC-A25C-461E1DBE1FBB}"/>
    <cellStyle name="Normal 4 4 2 2 2 2 5 3" xfId="6409" xr:uid="{00000000-0005-0000-0000-0000D8140000}"/>
    <cellStyle name="Normal 4 4 2 2 2 2 5 3 2" xfId="14848" xr:uid="{611B66F2-5583-4262-89AF-8AC1759F2491}"/>
    <cellStyle name="Normal 4 4 2 2 2 2 5 4" xfId="10630" xr:uid="{88225D62-98AE-496B-BE88-3538C73CF4A9}"/>
    <cellStyle name="Normal 4 4 2 2 2 2 6" xfId="2538" xr:uid="{00000000-0005-0000-0000-0000D9140000}"/>
    <cellStyle name="Normal 4 4 2 2 2 2 6 2" xfId="6822" xr:uid="{00000000-0005-0000-0000-0000DA140000}"/>
    <cellStyle name="Normal 4 4 2 2 2 2 6 2 2" xfId="15261" xr:uid="{4A3EE22F-D826-49EB-853D-B2A3DAABF6ED}"/>
    <cellStyle name="Normal 4 4 2 2 2 2 6 3" xfId="11043" xr:uid="{BF2CAEBD-D2C7-4AEF-8DE4-86B329DA17AD}"/>
    <cellStyle name="Normal 4 4 2 2 2 2 7" xfId="4757" xr:uid="{00000000-0005-0000-0000-0000DB140000}"/>
    <cellStyle name="Normal 4 4 2 2 2 2 7 2" xfId="13196" xr:uid="{446EBF71-8FA0-469C-91A8-21EEB372A887}"/>
    <cellStyle name="Normal 4 4 2 2 2 2 8" xfId="8978" xr:uid="{5F3C432E-C0F4-4427-BC13-C757E3BFD46A}"/>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5C260EA2-A2A9-4B9B-9BAE-D8CE64A8B59A}"/>
    <cellStyle name="Normal 4 4 2 2 2 3 2 3" xfId="11535" xr:uid="{6E373D99-DFC4-4DCC-AE71-C043305A1AA8}"/>
    <cellStyle name="Normal 4 4 2 2 2 3 3" xfId="5169" xr:uid="{00000000-0005-0000-0000-0000DF140000}"/>
    <cellStyle name="Normal 4 4 2 2 2 3 3 2" xfId="13608" xr:uid="{FB2552D0-1BAC-4B59-B614-AC4F9D76D68E}"/>
    <cellStyle name="Normal 4 4 2 2 2 3 4" xfId="9390" xr:uid="{508E8EF4-B322-4119-90A7-EC51A8DEBD7A}"/>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90E5480C-6F7C-4246-8949-3FF96780F164}"/>
    <cellStyle name="Normal 4 4 2 2 2 4 2 3" xfId="11948" xr:uid="{9CDBB433-C5C7-4F42-BF78-D36300D3E28F}"/>
    <cellStyle name="Normal 4 4 2 2 2 4 3" xfId="5582" xr:uid="{00000000-0005-0000-0000-0000E3140000}"/>
    <cellStyle name="Normal 4 4 2 2 2 4 3 2" xfId="14021" xr:uid="{0A6A2B8B-36EE-4067-845C-DFF7219B9F7C}"/>
    <cellStyle name="Normal 4 4 2 2 2 4 4" xfId="9803" xr:uid="{327A378D-B011-4F9C-B517-78A71BF55889}"/>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954C3C26-38FD-487F-96CB-2A3E61E4D41B}"/>
    <cellStyle name="Normal 4 4 2 2 2 5 2 3" xfId="12361" xr:uid="{2524C45B-F3D0-459E-B50D-81C8F2D585C9}"/>
    <cellStyle name="Normal 4 4 2 2 2 5 3" xfId="5995" xr:uid="{00000000-0005-0000-0000-0000E7140000}"/>
    <cellStyle name="Normal 4 4 2 2 2 5 3 2" xfId="14434" xr:uid="{1E5D2750-C957-4977-987D-62ADBACFA780}"/>
    <cellStyle name="Normal 4 4 2 2 2 5 4" xfId="10216" xr:uid="{B93A1C14-B20A-4E4F-B1FE-EA3D149F7609}"/>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E8266F99-00F7-48B0-AAE9-1945D65159AA}"/>
    <cellStyle name="Normal 4 4 2 2 2 6 2 3" xfId="12774" xr:uid="{720DE05A-9BE5-4F75-9C9C-A435877B9300}"/>
    <cellStyle name="Normal 4 4 2 2 2 6 3" xfId="6408" xr:uid="{00000000-0005-0000-0000-0000EB140000}"/>
    <cellStyle name="Normal 4 4 2 2 2 6 3 2" xfId="14847" xr:uid="{18E26B10-E2E2-49B8-AC19-1BCF63F3A24B}"/>
    <cellStyle name="Normal 4 4 2 2 2 6 4" xfId="10629" xr:uid="{9601F97B-192E-48B3-A861-10CF5D2C395B}"/>
    <cellStyle name="Normal 4 4 2 2 2 7" xfId="2537" xr:uid="{00000000-0005-0000-0000-0000EC140000}"/>
    <cellStyle name="Normal 4 4 2 2 2 7 2" xfId="6821" xr:uid="{00000000-0005-0000-0000-0000ED140000}"/>
    <cellStyle name="Normal 4 4 2 2 2 7 2 2" xfId="15260" xr:uid="{A8F7F766-BFF3-4CE3-9114-D73FDBDA02FF}"/>
    <cellStyle name="Normal 4 4 2 2 2 7 3" xfId="11042" xr:uid="{88E2D44C-23CD-4AE4-83AA-F8553B2D3EBE}"/>
    <cellStyle name="Normal 4 4 2 2 2 8" xfId="4756" xr:uid="{00000000-0005-0000-0000-0000EE140000}"/>
    <cellStyle name="Normal 4 4 2 2 2 8 2" xfId="13195" xr:uid="{83206B75-A718-4266-B2FE-7300225166AE}"/>
    <cellStyle name="Normal 4 4 2 2 2 9" xfId="8977" xr:uid="{21346E79-2FA5-474D-AAF0-1FE72BE23291}"/>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D91A8133-EB6F-4228-998B-EEC4B33FCA21}"/>
    <cellStyle name="Normal 4 4 2 2 3 2 2 3" xfId="11537" xr:uid="{5624E70D-47C1-40AA-9B00-B2ECDBED871F}"/>
    <cellStyle name="Normal 4 4 2 2 3 2 3" xfId="5171" xr:uid="{00000000-0005-0000-0000-0000F3140000}"/>
    <cellStyle name="Normal 4 4 2 2 3 2 3 2" xfId="13610" xr:uid="{F59C83E4-450A-42F2-8BEC-16D83113ED52}"/>
    <cellStyle name="Normal 4 4 2 2 3 2 4" xfId="9392" xr:uid="{319830AE-3C13-4239-977E-1311F8C6A257}"/>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4910A857-0A58-4BFE-9CBF-92C27C561A4F}"/>
    <cellStyle name="Normal 4 4 2 2 3 3 2 3" xfId="11950" xr:uid="{463BC900-8D06-493A-BEA3-2D0D02FF8010}"/>
    <cellStyle name="Normal 4 4 2 2 3 3 3" xfId="5584" xr:uid="{00000000-0005-0000-0000-0000F7140000}"/>
    <cellStyle name="Normal 4 4 2 2 3 3 3 2" xfId="14023" xr:uid="{CCCCB963-22DC-441F-9192-76308C6CF02D}"/>
    <cellStyle name="Normal 4 4 2 2 3 3 4" xfId="9805" xr:uid="{1A3A209C-0AAF-4E04-A7A0-FE000EA1406A}"/>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9124D3A7-91A5-42B5-8B17-4036F059B590}"/>
    <cellStyle name="Normal 4 4 2 2 3 4 2 3" xfId="12363" xr:uid="{EA30E1DA-22AC-4D6E-AB91-C17785FCD991}"/>
    <cellStyle name="Normal 4 4 2 2 3 4 3" xfId="5997" xr:uid="{00000000-0005-0000-0000-0000FB140000}"/>
    <cellStyle name="Normal 4 4 2 2 3 4 3 2" xfId="14436" xr:uid="{D654CE17-DDDC-4D5A-AD73-3751010FC141}"/>
    <cellStyle name="Normal 4 4 2 2 3 4 4" xfId="10218" xr:uid="{5A4ED2D1-A356-42AE-A9FB-27F795EF477A}"/>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4E97050B-EBA7-45B5-B985-7DAE9A21AF53}"/>
    <cellStyle name="Normal 4 4 2 2 3 5 2 3" xfId="12776" xr:uid="{783217F8-EE32-412A-8E04-5BA1EB83DFA9}"/>
    <cellStyle name="Normal 4 4 2 2 3 5 3" xfId="6410" xr:uid="{00000000-0005-0000-0000-0000FF140000}"/>
    <cellStyle name="Normal 4 4 2 2 3 5 3 2" xfId="14849" xr:uid="{D19F1838-28B6-40E3-803E-3C4023EBB80F}"/>
    <cellStyle name="Normal 4 4 2 2 3 5 4" xfId="10631" xr:uid="{7038E5FE-979D-4D0B-BCD0-F0EA2E300C96}"/>
    <cellStyle name="Normal 4 4 2 2 3 6" xfId="2539" xr:uid="{00000000-0005-0000-0000-000000150000}"/>
    <cellStyle name="Normal 4 4 2 2 3 6 2" xfId="6823" xr:uid="{00000000-0005-0000-0000-000001150000}"/>
    <cellStyle name="Normal 4 4 2 2 3 6 2 2" xfId="15262" xr:uid="{FC5A4F6C-6015-4E73-BC3F-9BF1AD2771FB}"/>
    <cellStyle name="Normal 4 4 2 2 3 6 3" xfId="11044" xr:uid="{D743B700-017A-4688-9D85-8CCBF2D265B2}"/>
    <cellStyle name="Normal 4 4 2 2 3 7" xfId="4758" xr:uid="{00000000-0005-0000-0000-000002150000}"/>
    <cellStyle name="Normal 4 4 2 2 3 7 2" xfId="13197" xr:uid="{B157E22A-F22F-4A01-8DDF-6F30DD4248D4}"/>
    <cellStyle name="Normal 4 4 2 2 3 8" xfId="8979" xr:uid="{5B9F2AD2-3029-415D-BE20-FE24683EBA8A}"/>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81F3A530-8BBA-4505-ADAD-4798C63CAB64}"/>
    <cellStyle name="Normal 4 4 2 2 4 2 3" xfId="11534" xr:uid="{B4F80E97-C1C9-4E4C-B08D-940772748A80}"/>
    <cellStyle name="Normal 4 4 2 2 4 3" xfId="5168" xr:uid="{00000000-0005-0000-0000-000006150000}"/>
    <cellStyle name="Normal 4 4 2 2 4 3 2" xfId="13607" xr:uid="{6E2F06D5-6325-47F9-B3E2-0BBBE2865139}"/>
    <cellStyle name="Normal 4 4 2 2 4 4" xfId="9389" xr:uid="{BE4CBB26-E1C0-47BF-8CCC-8FC2038536E0}"/>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67B35255-3B9D-4B8E-AB3C-AFC286E3D648}"/>
    <cellStyle name="Normal 4 4 2 2 5 2 3" xfId="11947" xr:uid="{29890878-0883-4946-B550-E84BB8423E51}"/>
    <cellStyle name="Normal 4 4 2 2 5 3" xfId="5581" xr:uid="{00000000-0005-0000-0000-00000A150000}"/>
    <cellStyle name="Normal 4 4 2 2 5 3 2" xfId="14020" xr:uid="{93F31F34-FB6A-412F-A151-895679182A1C}"/>
    <cellStyle name="Normal 4 4 2 2 5 4" xfId="9802" xr:uid="{DD50C50A-40AE-408A-8141-7C6F3B4C7CFE}"/>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FB14DB13-A79E-41CE-A5EF-0881ECCD85C4}"/>
    <cellStyle name="Normal 4 4 2 2 6 2 3" xfId="12360" xr:uid="{41B2186F-6E19-4A4E-89D2-A8E071AC1EBE}"/>
    <cellStyle name="Normal 4 4 2 2 6 3" xfId="5994" xr:uid="{00000000-0005-0000-0000-00000E150000}"/>
    <cellStyle name="Normal 4 4 2 2 6 3 2" xfId="14433" xr:uid="{7B77CE41-EE98-4B03-8424-B6D86DEA661D}"/>
    <cellStyle name="Normal 4 4 2 2 6 4" xfId="10215" xr:uid="{DF9732AC-85DE-4472-8531-76F210084283}"/>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9911A361-5109-4D1A-993B-4CC7AAB9915D}"/>
    <cellStyle name="Normal 4 4 2 2 7 2 3" xfId="12773" xr:uid="{2C34DEBE-143D-4801-BA41-1E3966C52EB4}"/>
    <cellStyle name="Normal 4 4 2 2 7 3" xfId="6407" xr:uid="{00000000-0005-0000-0000-000012150000}"/>
    <cellStyle name="Normal 4 4 2 2 7 3 2" xfId="14846" xr:uid="{0579197E-A5CD-4990-B452-AA6C944C5A50}"/>
    <cellStyle name="Normal 4 4 2 2 7 4" xfId="10628" xr:uid="{5862FFA3-442A-4EE0-B8F8-BAD9F6A0936C}"/>
    <cellStyle name="Normal 4 4 2 2 8" xfId="2536" xr:uid="{00000000-0005-0000-0000-000013150000}"/>
    <cellStyle name="Normal 4 4 2 2 8 2" xfId="6820" xr:uid="{00000000-0005-0000-0000-000014150000}"/>
    <cellStyle name="Normal 4 4 2 2 8 2 2" xfId="15259" xr:uid="{A0F3A55D-2D78-4794-B363-E9CD0750A3CC}"/>
    <cellStyle name="Normal 4 4 2 2 8 3" xfId="11041" xr:uid="{00EB7BF7-290B-44E1-BEAC-874328415DD3}"/>
    <cellStyle name="Normal 4 4 2 2 9" xfId="4755" xr:uid="{00000000-0005-0000-0000-000015150000}"/>
    <cellStyle name="Normal 4 4 2 2 9 2" xfId="13194" xr:uid="{2E74A92C-7175-4DD9-B147-7241140C4E72}"/>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416F6AE8-C13F-44EA-AB85-D05622C88351}"/>
    <cellStyle name="Normal 4 4 2 3 2 2 2 3" xfId="11539" xr:uid="{05885B4A-8283-40F1-A322-F0BE03FD5C67}"/>
    <cellStyle name="Normal 4 4 2 3 2 2 3" xfId="5173" xr:uid="{00000000-0005-0000-0000-00001B150000}"/>
    <cellStyle name="Normal 4 4 2 3 2 2 3 2" xfId="13612" xr:uid="{B9C16311-7EAD-4CAD-B1F5-BF5F1F4E1D87}"/>
    <cellStyle name="Normal 4 4 2 3 2 2 4" xfId="9394" xr:uid="{F5D839C8-DD82-4D39-9B0E-52DF26270BFB}"/>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B96B6715-39C4-477E-943F-85020F8AD8BE}"/>
    <cellStyle name="Normal 4 4 2 3 2 3 2 3" xfId="11952" xr:uid="{CB140923-775E-4590-ABDB-EC724B2783EC}"/>
    <cellStyle name="Normal 4 4 2 3 2 3 3" xfId="5586" xr:uid="{00000000-0005-0000-0000-00001F150000}"/>
    <cellStyle name="Normal 4 4 2 3 2 3 3 2" xfId="14025" xr:uid="{B1E39CED-C090-40D4-A936-80A720D09923}"/>
    <cellStyle name="Normal 4 4 2 3 2 3 4" xfId="9807" xr:uid="{F8E9E1CB-0678-475B-A546-C353357135E6}"/>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33E096F8-0CC5-4273-8D64-0F252027F077}"/>
    <cellStyle name="Normal 4 4 2 3 2 4 2 3" xfId="12365" xr:uid="{5C41FD35-563E-4C51-A07F-33955C7080B1}"/>
    <cellStyle name="Normal 4 4 2 3 2 4 3" xfId="5999" xr:uid="{00000000-0005-0000-0000-000023150000}"/>
    <cellStyle name="Normal 4 4 2 3 2 4 3 2" xfId="14438" xr:uid="{5E5F9F37-FD75-4CF6-8089-F92E0B2A3D35}"/>
    <cellStyle name="Normal 4 4 2 3 2 4 4" xfId="10220" xr:uid="{0025AC9D-532E-4242-AC67-B346D5C9F3DE}"/>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43DA0708-AAA5-4815-A009-BAA65F40A16D}"/>
    <cellStyle name="Normal 4 4 2 3 2 5 2 3" xfId="12778" xr:uid="{49D25401-47A8-4E03-BDA3-72E608C3D2B3}"/>
    <cellStyle name="Normal 4 4 2 3 2 5 3" xfId="6412" xr:uid="{00000000-0005-0000-0000-000027150000}"/>
    <cellStyle name="Normal 4 4 2 3 2 5 3 2" xfId="14851" xr:uid="{3DCF9E62-87A4-46DC-94A6-E9443C91726B}"/>
    <cellStyle name="Normal 4 4 2 3 2 5 4" xfId="10633" xr:uid="{54AEFE53-5A23-4447-894B-7A697441D10D}"/>
    <cellStyle name="Normal 4 4 2 3 2 6" xfId="2541" xr:uid="{00000000-0005-0000-0000-000028150000}"/>
    <cellStyle name="Normal 4 4 2 3 2 6 2" xfId="6825" xr:uid="{00000000-0005-0000-0000-000029150000}"/>
    <cellStyle name="Normal 4 4 2 3 2 6 2 2" xfId="15264" xr:uid="{7198459D-7CDF-426F-89DC-249B86730E91}"/>
    <cellStyle name="Normal 4 4 2 3 2 6 3" xfId="11046" xr:uid="{4E471B9B-F741-4B88-AA86-CFADB84DF27C}"/>
    <cellStyle name="Normal 4 4 2 3 2 7" xfId="4760" xr:uid="{00000000-0005-0000-0000-00002A150000}"/>
    <cellStyle name="Normal 4 4 2 3 2 7 2" xfId="13199" xr:uid="{EC29B185-282E-4F85-A0CA-A4E318EAD5D3}"/>
    <cellStyle name="Normal 4 4 2 3 2 8" xfId="8981" xr:uid="{85097327-E1BA-4424-BA79-A1A29AB52DF1}"/>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26247F5E-410A-4F7A-935E-9D3EB8A87011}"/>
    <cellStyle name="Normal 4 4 2 3 3 2 3" xfId="11538" xr:uid="{B5506035-A938-4035-B5D2-672003B5669A}"/>
    <cellStyle name="Normal 4 4 2 3 3 3" xfId="5172" xr:uid="{00000000-0005-0000-0000-00002E150000}"/>
    <cellStyle name="Normal 4 4 2 3 3 3 2" xfId="13611" xr:uid="{8F297642-01C1-46CC-B831-F383C3D79466}"/>
    <cellStyle name="Normal 4 4 2 3 3 4" xfId="9393" xr:uid="{06D506F2-8FCC-4DD3-8EDB-499B131CE3DB}"/>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908019A7-DE57-4C0E-8CD7-03C401613E9D}"/>
    <cellStyle name="Normal 4 4 2 3 4 2 3" xfId="11951" xr:uid="{93801DA8-8141-4350-8F93-4CE23CA064BF}"/>
    <cellStyle name="Normal 4 4 2 3 4 3" xfId="5585" xr:uid="{00000000-0005-0000-0000-000032150000}"/>
    <cellStyle name="Normal 4 4 2 3 4 3 2" xfId="14024" xr:uid="{20CAA1CC-AC43-468A-B99C-E5C50091FBA7}"/>
    <cellStyle name="Normal 4 4 2 3 4 4" xfId="9806" xr:uid="{ABF667DF-414B-4C48-AD33-AFC4BA5106F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5D883105-17C8-4D92-A30A-13B36DB0E54F}"/>
    <cellStyle name="Normal 4 4 2 3 5 2 3" xfId="12364" xr:uid="{EA8FE68F-020E-4329-9E82-729412B57A1C}"/>
    <cellStyle name="Normal 4 4 2 3 5 3" xfId="5998" xr:uid="{00000000-0005-0000-0000-000036150000}"/>
    <cellStyle name="Normal 4 4 2 3 5 3 2" xfId="14437" xr:uid="{D52DD070-04D1-44F0-96CB-319063F9D219}"/>
    <cellStyle name="Normal 4 4 2 3 5 4" xfId="10219" xr:uid="{402E7B20-5354-43E7-910F-DDFD720E8DAD}"/>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F27F8BBD-E476-4CEC-90D4-B3E5975A5758}"/>
    <cellStyle name="Normal 4 4 2 3 6 2 3" xfId="12777" xr:uid="{3043FFBE-2983-4381-A278-BFBA25435F87}"/>
    <cellStyle name="Normal 4 4 2 3 6 3" xfId="6411" xr:uid="{00000000-0005-0000-0000-00003A150000}"/>
    <cellStyle name="Normal 4 4 2 3 6 3 2" xfId="14850" xr:uid="{0826245E-5023-4EAF-A70C-504BDB06FB03}"/>
    <cellStyle name="Normal 4 4 2 3 6 4" xfId="10632" xr:uid="{245443C5-8916-4BA4-BCBB-D72125AE7F91}"/>
    <cellStyle name="Normal 4 4 2 3 7" xfId="2540" xr:uid="{00000000-0005-0000-0000-00003B150000}"/>
    <cellStyle name="Normal 4 4 2 3 7 2" xfId="6824" xr:uid="{00000000-0005-0000-0000-00003C150000}"/>
    <cellStyle name="Normal 4 4 2 3 7 2 2" xfId="15263" xr:uid="{BE321CF4-029F-42BD-89C2-3F0D72878EEE}"/>
    <cellStyle name="Normal 4 4 2 3 7 3" xfId="11045" xr:uid="{5359D113-5B3B-4AC9-8775-A868D6C27C27}"/>
    <cellStyle name="Normal 4 4 2 3 8" xfId="4759" xr:uid="{00000000-0005-0000-0000-00003D150000}"/>
    <cellStyle name="Normal 4 4 2 3 8 2" xfId="13198" xr:uid="{82126E8C-9D59-4421-8EF7-591D617BE949}"/>
    <cellStyle name="Normal 4 4 2 3 9" xfId="8980" xr:uid="{26D82630-7080-49B1-A5B8-F071641204C2}"/>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9D1D4B5F-966C-4656-9194-BA92CA80650D}"/>
    <cellStyle name="Normal 4 4 2 4 2 2 3" xfId="11540" xr:uid="{8186B915-2ACB-4794-B0D8-3A85163060E0}"/>
    <cellStyle name="Normal 4 4 2 4 2 3" xfId="5174" xr:uid="{00000000-0005-0000-0000-000042150000}"/>
    <cellStyle name="Normal 4 4 2 4 2 3 2" xfId="13613" xr:uid="{7F32B0FE-07CA-49A4-BA18-D9C347D42ADD}"/>
    <cellStyle name="Normal 4 4 2 4 2 4" xfId="9395" xr:uid="{BF6E9327-0284-4BB0-B52B-D15BB0742C04}"/>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537EEADB-C697-4D1C-8212-FDA5C14F163A}"/>
    <cellStyle name="Normal 4 4 2 4 3 2 3" xfId="11953" xr:uid="{70FDD601-1895-4B81-AA05-58EC49EB78E9}"/>
    <cellStyle name="Normal 4 4 2 4 3 3" xfId="5587" xr:uid="{00000000-0005-0000-0000-000046150000}"/>
    <cellStyle name="Normal 4 4 2 4 3 3 2" xfId="14026" xr:uid="{B259759B-49E0-49AF-A935-4224CCD50C65}"/>
    <cellStyle name="Normal 4 4 2 4 3 4" xfId="9808" xr:uid="{9EB8F7FF-E803-46A6-8FB3-CF22CAFAC6CE}"/>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900F535E-51AF-4A23-92C1-3DDA3135BDAF}"/>
    <cellStyle name="Normal 4 4 2 4 4 2 3" xfId="12366" xr:uid="{3F749C10-AE64-4C57-AFCA-96403D64C58B}"/>
    <cellStyle name="Normal 4 4 2 4 4 3" xfId="6000" xr:uid="{00000000-0005-0000-0000-00004A150000}"/>
    <cellStyle name="Normal 4 4 2 4 4 3 2" xfId="14439" xr:uid="{777B91D9-CE89-4C37-BE76-85408705784C}"/>
    <cellStyle name="Normal 4 4 2 4 4 4" xfId="10221" xr:uid="{28755AC1-61C8-493D-BAC1-5DA63388EF4E}"/>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AB7CDFBE-F08D-4E9E-BF40-AB956F81C597}"/>
    <cellStyle name="Normal 4 4 2 4 5 2 3" xfId="12779" xr:uid="{341330F6-6EDB-45E4-90F4-7F5BC522ADC1}"/>
    <cellStyle name="Normal 4 4 2 4 5 3" xfId="6413" xr:uid="{00000000-0005-0000-0000-00004E150000}"/>
    <cellStyle name="Normal 4 4 2 4 5 3 2" xfId="14852" xr:uid="{0C31ACD8-B083-409F-A77E-B8DF9656ECB1}"/>
    <cellStyle name="Normal 4 4 2 4 5 4" xfId="10634" xr:uid="{C9CB50E2-F42E-4230-AC94-E5C7F12C7F85}"/>
    <cellStyle name="Normal 4 4 2 4 6" xfId="2542" xr:uid="{00000000-0005-0000-0000-00004F150000}"/>
    <cellStyle name="Normal 4 4 2 4 6 2" xfId="6826" xr:uid="{00000000-0005-0000-0000-000050150000}"/>
    <cellStyle name="Normal 4 4 2 4 6 2 2" xfId="15265" xr:uid="{0C9041F0-0A1E-4685-868A-C8758203D3A1}"/>
    <cellStyle name="Normal 4 4 2 4 6 3" xfId="11047" xr:uid="{E2BDF07C-0C8B-4957-9098-75E10FA2BF62}"/>
    <cellStyle name="Normal 4 4 2 4 7" xfId="4761" xr:uid="{00000000-0005-0000-0000-000051150000}"/>
    <cellStyle name="Normal 4 4 2 4 7 2" xfId="13200" xr:uid="{07872563-2B51-446B-AF14-9A06B6268404}"/>
    <cellStyle name="Normal 4 4 2 4 8" xfId="8982" xr:uid="{C226C3F1-5E1D-4D69-9C35-A02C817E900A}"/>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69D464D2-66C7-4952-A752-31C447F35585}"/>
    <cellStyle name="Normal 4 4 2 5 2 3" xfId="11533" xr:uid="{704EBF15-9820-493D-BEC5-2B65B9A3CE27}"/>
    <cellStyle name="Normal 4 4 2 5 3" xfId="5167" xr:uid="{00000000-0005-0000-0000-000055150000}"/>
    <cellStyle name="Normal 4 4 2 5 3 2" xfId="13606" xr:uid="{7693D3B4-28A4-47E0-87FF-C0BBF9624AC7}"/>
    <cellStyle name="Normal 4 4 2 5 4" xfId="9388" xr:uid="{3909E25F-E936-488B-A187-022278B841DC}"/>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6B60BDE1-BC91-4F46-B337-65E644E9AB91}"/>
    <cellStyle name="Normal 4 4 2 6 2 3" xfId="11946" xr:uid="{A450653E-2F7D-42D1-85FB-456B125AA36D}"/>
    <cellStyle name="Normal 4 4 2 6 3" xfId="5580" xr:uid="{00000000-0005-0000-0000-000059150000}"/>
    <cellStyle name="Normal 4 4 2 6 3 2" xfId="14019" xr:uid="{AEAFC934-6C98-4064-B191-FF56BF2F878C}"/>
    <cellStyle name="Normal 4 4 2 6 4" xfId="9801" xr:uid="{B19558D6-5045-4626-8C6E-4EBF9B795F4B}"/>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8C512C26-4320-4F20-8B0F-8D4D76D63CD5}"/>
    <cellStyle name="Normal 4 4 2 7 2 3" xfId="12359" xr:uid="{D3E53584-D11B-4EF7-876D-EF6C6314D771}"/>
    <cellStyle name="Normal 4 4 2 7 3" xfId="5993" xr:uid="{00000000-0005-0000-0000-00005D150000}"/>
    <cellStyle name="Normal 4 4 2 7 3 2" xfId="14432" xr:uid="{9F17A9E9-70A9-47A5-8417-6F643C5F32D5}"/>
    <cellStyle name="Normal 4 4 2 7 4" xfId="10214" xr:uid="{712F3285-BDF0-4C5D-901F-A8565D9D23FC}"/>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1545750C-BF78-4932-93FC-7021A9DAC147}"/>
    <cellStyle name="Normal 4 4 2 8 2 3" xfId="12772" xr:uid="{F8922ECB-3ADD-4163-B1D1-B8AE5325F25C}"/>
    <cellStyle name="Normal 4 4 2 8 3" xfId="6406" xr:uid="{00000000-0005-0000-0000-000061150000}"/>
    <cellStyle name="Normal 4 4 2 8 3 2" xfId="14845" xr:uid="{8E9DD918-ACDD-438F-8799-0F6C544D1F25}"/>
    <cellStyle name="Normal 4 4 2 8 4" xfId="10627" xr:uid="{A25A3C6E-CED5-4A3E-BAAE-55D3A3FC12A2}"/>
    <cellStyle name="Normal 4 4 2 9" xfId="2535" xr:uid="{00000000-0005-0000-0000-000062150000}"/>
    <cellStyle name="Normal 4 4 2 9 2" xfId="6819" xr:uid="{00000000-0005-0000-0000-000063150000}"/>
    <cellStyle name="Normal 4 4 2 9 2 2" xfId="15258" xr:uid="{4DD29AC4-E656-4C87-962A-C0F8A11F24A9}"/>
    <cellStyle name="Normal 4 4 2 9 3" xfId="11040" xr:uid="{2F06FCF3-5B9D-417A-A44B-3C7313CD6F1C}"/>
    <cellStyle name="Normal 4 4 3" xfId="387" xr:uid="{00000000-0005-0000-0000-000064150000}"/>
    <cellStyle name="Normal 4 4 3 10" xfId="8983" xr:uid="{2339E37E-A025-4BBB-8CAB-744F4B93EC0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755BE097-1E75-4B95-B129-F45DFC44F774}"/>
    <cellStyle name="Normal 4 4 3 2 2 2 2 3" xfId="11543" xr:uid="{0E12B411-CC95-453E-AEB6-EA3376EF747A}"/>
    <cellStyle name="Normal 4 4 3 2 2 2 3" xfId="5177" xr:uid="{00000000-0005-0000-0000-00006A150000}"/>
    <cellStyle name="Normal 4 4 3 2 2 2 3 2" xfId="13616" xr:uid="{30ABEE26-07F4-4CF1-A464-75948A314B96}"/>
    <cellStyle name="Normal 4 4 3 2 2 2 4" xfId="9398" xr:uid="{A4F41E8D-9BED-4F9E-BC2C-A18E61D34B89}"/>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6A277BE2-F6AF-438C-898A-2D8222E888E3}"/>
    <cellStyle name="Normal 4 4 3 2 2 3 2 3" xfId="11956" xr:uid="{09538C06-EAF3-40B1-BA5E-B0285E4AD1B5}"/>
    <cellStyle name="Normal 4 4 3 2 2 3 3" xfId="5590" xr:uid="{00000000-0005-0000-0000-00006E150000}"/>
    <cellStyle name="Normal 4 4 3 2 2 3 3 2" xfId="14029" xr:uid="{6B082EE8-418B-4E67-9FB2-1B02ACAB0635}"/>
    <cellStyle name="Normal 4 4 3 2 2 3 4" xfId="9811" xr:uid="{AA5CC6B0-72D4-44F3-A128-4C330D783582}"/>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36E03693-7E8D-48BF-B070-64337341EF00}"/>
    <cellStyle name="Normal 4 4 3 2 2 4 2 3" xfId="12369" xr:uid="{9C9B198E-6B3F-4C97-9187-F0428C30F108}"/>
    <cellStyle name="Normal 4 4 3 2 2 4 3" xfId="6003" xr:uid="{00000000-0005-0000-0000-000072150000}"/>
    <cellStyle name="Normal 4 4 3 2 2 4 3 2" xfId="14442" xr:uid="{DF9175E4-D930-431B-8EBA-157D72B487D4}"/>
    <cellStyle name="Normal 4 4 3 2 2 4 4" xfId="10224" xr:uid="{830302C6-D851-48D2-91C4-621AF940DEA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18E3711B-F92A-41CA-8ECB-2E71CC791E31}"/>
    <cellStyle name="Normal 4 4 3 2 2 5 2 3" xfId="12782" xr:uid="{6ACA0534-4818-4B11-82CB-869DCF084A99}"/>
    <cellStyle name="Normal 4 4 3 2 2 5 3" xfId="6416" xr:uid="{00000000-0005-0000-0000-000076150000}"/>
    <cellStyle name="Normal 4 4 3 2 2 5 3 2" xfId="14855" xr:uid="{A6DBC01A-BD47-4FC9-A4FF-DE9C75AF3BC3}"/>
    <cellStyle name="Normal 4 4 3 2 2 5 4" xfId="10637" xr:uid="{7FF0C01B-AEC1-4DD6-8BCC-FDF7756330EB}"/>
    <cellStyle name="Normal 4 4 3 2 2 6" xfId="2545" xr:uid="{00000000-0005-0000-0000-000077150000}"/>
    <cellStyle name="Normal 4 4 3 2 2 6 2" xfId="6829" xr:uid="{00000000-0005-0000-0000-000078150000}"/>
    <cellStyle name="Normal 4 4 3 2 2 6 2 2" xfId="15268" xr:uid="{1C9BD9C3-FAD6-41B5-8CEE-067A20F3BD9C}"/>
    <cellStyle name="Normal 4 4 3 2 2 6 3" xfId="11050" xr:uid="{E977F673-5992-46A9-BC10-186C5A613960}"/>
    <cellStyle name="Normal 4 4 3 2 2 7" xfId="4764" xr:uid="{00000000-0005-0000-0000-000079150000}"/>
    <cellStyle name="Normal 4 4 3 2 2 7 2" xfId="13203" xr:uid="{9171C62B-9819-4262-AFA8-BE4F12CB75DA}"/>
    <cellStyle name="Normal 4 4 3 2 2 8" xfId="8985" xr:uid="{B581A346-B2B5-46B6-94F6-EB6767996483}"/>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FB37C5C9-98BE-4418-A226-6401C39A8654}"/>
    <cellStyle name="Normal 4 4 3 2 3 2 3" xfId="11542" xr:uid="{FFF8159C-B3A5-4A0A-A565-AAC2FF7FB960}"/>
    <cellStyle name="Normal 4 4 3 2 3 3" xfId="5176" xr:uid="{00000000-0005-0000-0000-00007D150000}"/>
    <cellStyle name="Normal 4 4 3 2 3 3 2" xfId="13615" xr:uid="{96966378-46B9-4AB1-A6FD-EF12FC93C181}"/>
    <cellStyle name="Normal 4 4 3 2 3 4" xfId="9397" xr:uid="{129B1CCB-9662-4658-B880-15B28BE5D349}"/>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365318B9-A958-4078-8774-37AA1FC8DBEF}"/>
    <cellStyle name="Normal 4 4 3 2 4 2 3" xfId="11955" xr:uid="{A363B016-6E0C-4684-A56B-9F9D36065D8D}"/>
    <cellStyle name="Normal 4 4 3 2 4 3" xfId="5589" xr:uid="{00000000-0005-0000-0000-000081150000}"/>
    <cellStyle name="Normal 4 4 3 2 4 3 2" xfId="14028" xr:uid="{9B572EAA-3853-4219-A779-B72AC74E99E6}"/>
    <cellStyle name="Normal 4 4 3 2 4 4" xfId="9810" xr:uid="{4FB4D289-58E0-4FF8-8ADE-D4BF32E40677}"/>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311199C3-704D-424E-816B-C0B9185510A9}"/>
    <cellStyle name="Normal 4 4 3 2 5 2 3" xfId="12368" xr:uid="{200548A5-E7E3-4A48-BBEA-AC9674F5FEC3}"/>
    <cellStyle name="Normal 4 4 3 2 5 3" xfId="6002" xr:uid="{00000000-0005-0000-0000-000085150000}"/>
    <cellStyle name="Normal 4 4 3 2 5 3 2" xfId="14441" xr:uid="{A035ADD9-747C-4C8E-9F87-A0CA2DA93D7C}"/>
    <cellStyle name="Normal 4 4 3 2 5 4" xfId="10223" xr:uid="{7231D10F-E6DE-4A91-975C-53F93B504B8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BE02FC77-757F-4036-AB6B-AAE770DAC48F}"/>
    <cellStyle name="Normal 4 4 3 2 6 2 3" xfId="12781" xr:uid="{8ABD6D92-6291-46F6-B6BA-E7C23EA32B1D}"/>
    <cellStyle name="Normal 4 4 3 2 6 3" xfId="6415" xr:uid="{00000000-0005-0000-0000-000089150000}"/>
    <cellStyle name="Normal 4 4 3 2 6 3 2" xfId="14854" xr:uid="{B1279BA7-7A16-45CF-BBC6-90A296A28FF8}"/>
    <cellStyle name="Normal 4 4 3 2 6 4" xfId="10636" xr:uid="{3A53B400-69C4-4281-BB8F-DF6A9343CFCC}"/>
    <cellStyle name="Normal 4 4 3 2 7" xfId="2544" xr:uid="{00000000-0005-0000-0000-00008A150000}"/>
    <cellStyle name="Normal 4 4 3 2 7 2" xfId="6828" xr:uid="{00000000-0005-0000-0000-00008B150000}"/>
    <cellStyle name="Normal 4 4 3 2 7 2 2" xfId="15267" xr:uid="{E0F4EB78-04C8-488D-969F-F4DD79A39DC7}"/>
    <cellStyle name="Normal 4 4 3 2 7 3" xfId="11049" xr:uid="{ACAA5465-4CC7-4564-855E-15A93757E87C}"/>
    <cellStyle name="Normal 4 4 3 2 8" xfId="4763" xr:uid="{00000000-0005-0000-0000-00008C150000}"/>
    <cellStyle name="Normal 4 4 3 2 8 2" xfId="13202" xr:uid="{F2FFE050-53EE-4777-9DFA-24AD71B50203}"/>
    <cellStyle name="Normal 4 4 3 2 9" xfId="8984" xr:uid="{212E1BE4-F15A-417F-AADF-5FE0FD2A43D9}"/>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C328E444-F4EC-4196-A4F2-054C744B5949}"/>
    <cellStyle name="Normal 4 4 3 3 2 2 3" xfId="11544" xr:uid="{A55B7E47-1D11-4CFE-85B1-55344C7AAEF5}"/>
    <cellStyle name="Normal 4 4 3 3 2 3" xfId="5178" xr:uid="{00000000-0005-0000-0000-000091150000}"/>
    <cellStyle name="Normal 4 4 3 3 2 3 2" xfId="13617" xr:uid="{5D7B91F5-3F0E-458D-A9CF-15580649D94F}"/>
    <cellStyle name="Normal 4 4 3 3 2 4" xfId="9399" xr:uid="{ADF066B4-9C5D-4690-984D-764662E02DD5}"/>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E20CDE44-9BEC-4AC3-9514-77BBADFEDF9D}"/>
    <cellStyle name="Normal 4 4 3 3 3 2 3" xfId="11957" xr:uid="{A01E6C59-86BF-4B62-947A-0B33DDC40544}"/>
    <cellStyle name="Normal 4 4 3 3 3 3" xfId="5591" xr:uid="{00000000-0005-0000-0000-000095150000}"/>
    <cellStyle name="Normal 4 4 3 3 3 3 2" xfId="14030" xr:uid="{0ECD463F-BD71-456C-AF59-E7F4013E8F08}"/>
    <cellStyle name="Normal 4 4 3 3 3 4" xfId="9812" xr:uid="{F1F9B430-0334-429D-AFFB-9D3427CA4E1C}"/>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D762721C-1336-4D1E-B750-15BBCDCDBEE5}"/>
    <cellStyle name="Normal 4 4 3 3 4 2 3" xfId="12370" xr:uid="{15414B08-E08F-4C68-8126-58760FF91C74}"/>
    <cellStyle name="Normal 4 4 3 3 4 3" xfId="6004" xr:uid="{00000000-0005-0000-0000-000099150000}"/>
    <cellStyle name="Normal 4 4 3 3 4 3 2" xfId="14443" xr:uid="{93BB4B34-9343-43CF-983D-989266319992}"/>
    <cellStyle name="Normal 4 4 3 3 4 4" xfId="10225" xr:uid="{B679F744-85D0-4678-AA76-D33AD4D5E92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980F12AA-10C5-4099-8E5B-934789AEE97C}"/>
    <cellStyle name="Normal 4 4 3 3 5 2 3" xfId="12783" xr:uid="{817D1940-DFCF-404E-812D-BE12F89D171D}"/>
    <cellStyle name="Normal 4 4 3 3 5 3" xfId="6417" xr:uid="{00000000-0005-0000-0000-00009D150000}"/>
    <cellStyle name="Normal 4 4 3 3 5 3 2" xfId="14856" xr:uid="{23D5E686-C0B6-4A3B-8012-2ABBBC65329C}"/>
    <cellStyle name="Normal 4 4 3 3 5 4" xfId="10638" xr:uid="{DBDA8595-77F6-4C9F-A918-8E327D2A810E}"/>
    <cellStyle name="Normal 4 4 3 3 6" xfId="2546" xr:uid="{00000000-0005-0000-0000-00009E150000}"/>
    <cellStyle name="Normal 4 4 3 3 6 2" xfId="6830" xr:uid="{00000000-0005-0000-0000-00009F150000}"/>
    <cellStyle name="Normal 4 4 3 3 6 2 2" xfId="15269" xr:uid="{55E8E084-B04F-45EB-B29F-C05BE28327B6}"/>
    <cellStyle name="Normal 4 4 3 3 6 3" xfId="11051" xr:uid="{1AA47C1D-00A4-41D8-BC88-86713FC4699A}"/>
    <cellStyle name="Normal 4 4 3 3 7" xfId="4765" xr:uid="{00000000-0005-0000-0000-0000A0150000}"/>
    <cellStyle name="Normal 4 4 3 3 7 2" xfId="13204" xr:uid="{D56B8300-6B55-4D02-81E0-444540FE2D81}"/>
    <cellStyle name="Normal 4 4 3 3 8" xfId="8986" xr:uid="{174C3B71-0CF9-4CFB-9EEA-18390F3DA874}"/>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F7EBFAA3-A1F9-4567-873E-CF7128F258F1}"/>
    <cellStyle name="Normal 4 4 3 4 2 3" xfId="11541" xr:uid="{C9DFA772-CAAF-497F-860D-C90EF69597D3}"/>
    <cellStyle name="Normal 4 4 3 4 3" xfId="5175" xr:uid="{00000000-0005-0000-0000-0000A4150000}"/>
    <cellStyle name="Normal 4 4 3 4 3 2" xfId="13614" xr:uid="{FAACB5AE-D877-4420-B029-D1F8C5D93C0D}"/>
    <cellStyle name="Normal 4 4 3 4 4" xfId="9396" xr:uid="{786756A4-C118-418C-A656-528061D5C800}"/>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E7D774B7-A211-4F60-AD8F-9310642194D0}"/>
    <cellStyle name="Normal 4 4 3 5 2 3" xfId="11954" xr:uid="{BE93B746-06D2-48EA-8E90-04E60A033582}"/>
    <cellStyle name="Normal 4 4 3 5 3" xfId="5588" xr:uid="{00000000-0005-0000-0000-0000A8150000}"/>
    <cellStyle name="Normal 4 4 3 5 3 2" xfId="14027" xr:uid="{4F8ACB75-BB5B-478A-A112-74AA9F2DC82F}"/>
    <cellStyle name="Normal 4 4 3 5 4" xfId="9809" xr:uid="{51F3B017-8A77-4385-9AD8-2E1AE7B3F2E4}"/>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78E34B32-F38A-4EEC-B035-5AEA4C1485D0}"/>
    <cellStyle name="Normal 4 4 3 6 2 3" xfId="12367" xr:uid="{74FC0B2C-9114-4AA5-88EB-B14A27429F83}"/>
    <cellStyle name="Normal 4 4 3 6 3" xfId="6001" xr:uid="{00000000-0005-0000-0000-0000AC150000}"/>
    <cellStyle name="Normal 4 4 3 6 3 2" xfId="14440" xr:uid="{5DF9CDFC-6F7B-400D-8D8D-B04295E693E1}"/>
    <cellStyle name="Normal 4 4 3 6 4" xfId="10222" xr:uid="{256F09FA-27B3-4146-90E6-5DD3F2EE9F75}"/>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FE7681FF-16F2-4B13-8895-DC160713ADF7}"/>
    <cellStyle name="Normal 4 4 3 7 2 3" xfId="12780" xr:uid="{CC0EC291-80FC-4ED0-8222-847DE7D4B822}"/>
    <cellStyle name="Normal 4 4 3 7 3" xfId="6414" xr:uid="{00000000-0005-0000-0000-0000B0150000}"/>
    <cellStyle name="Normal 4 4 3 7 3 2" xfId="14853" xr:uid="{7EA07A81-ADA2-4181-AB14-6ACD00D27C66}"/>
    <cellStyle name="Normal 4 4 3 7 4" xfId="10635" xr:uid="{4EDE2D21-6C41-4265-8556-54B8B8FF0BBB}"/>
    <cellStyle name="Normal 4 4 3 8" xfId="2543" xr:uid="{00000000-0005-0000-0000-0000B1150000}"/>
    <cellStyle name="Normal 4 4 3 8 2" xfId="6827" xr:uid="{00000000-0005-0000-0000-0000B2150000}"/>
    <cellStyle name="Normal 4 4 3 8 2 2" xfId="15266" xr:uid="{F0CE7F12-A2FC-4C23-83C6-F8F85A6EFD79}"/>
    <cellStyle name="Normal 4 4 3 8 3" xfId="11048" xr:uid="{E1B61D52-6F14-43D2-B422-DF6D2B84B614}"/>
    <cellStyle name="Normal 4 4 3 9" xfId="4762" xr:uid="{00000000-0005-0000-0000-0000B3150000}"/>
    <cellStyle name="Normal 4 4 3 9 2" xfId="13201" xr:uid="{A51AE3AA-E7D3-4ADE-8C7A-2454588F2A43}"/>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49E81B73-AA08-4328-BA79-DEDB8C70F215}"/>
    <cellStyle name="Normal 4 4 4 2 2 2 3" xfId="11546" xr:uid="{C7A6D472-D75B-406C-825B-5F7AF0F9AE17}"/>
    <cellStyle name="Normal 4 4 4 2 2 3" xfId="5180" xr:uid="{00000000-0005-0000-0000-0000B9150000}"/>
    <cellStyle name="Normal 4 4 4 2 2 3 2" xfId="13619" xr:uid="{A3215E1E-CC91-4A86-9C41-4341D3BB9025}"/>
    <cellStyle name="Normal 4 4 4 2 2 4" xfId="9401" xr:uid="{EFFBA637-93EA-4E87-A843-3888C79AEE08}"/>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C10515CD-B2BB-4EFA-A75A-E87D178FCE60}"/>
    <cellStyle name="Normal 4 4 4 2 3 2 3" xfId="11959" xr:uid="{BCAE8A8A-8DBB-4F0C-900C-EAC40A956F5B}"/>
    <cellStyle name="Normal 4 4 4 2 3 3" xfId="5593" xr:uid="{00000000-0005-0000-0000-0000BD150000}"/>
    <cellStyle name="Normal 4 4 4 2 3 3 2" xfId="14032" xr:uid="{98F9028D-7719-4B2E-BAF2-BB697A6C72D2}"/>
    <cellStyle name="Normal 4 4 4 2 3 4" xfId="9814" xr:uid="{FFD203C1-43C0-4C7C-9177-D8C448C9BCA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02EA44D1-F223-48FD-AF70-10E37EE96DBA}"/>
    <cellStyle name="Normal 4 4 4 2 4 2 3" xfId="12372" xr:uid="{219CAF1D-51EF-4C1E-ACA0-E39027A8EE9E}"/>
    <cellStyle name="Normal 4 4 4 2 4 3" xfId="6006" xr:uid="{00000000-0005-0000-0000-0000C1150000}"/>
    <cellStyle name="Normal 4 4 4 2 4 3 2" xfId="14445" xr:uid="{A0456E43-DFBB-4725-9EFB-BE168F8CFCF1}"/>
    <cellStyle name="Normal 4 4 4 2 4 4" xfId="10227" xr:uid="{FE64BE94-7E5F-4DC1-B179-C8A4D1D998C6}"/>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36650EFF-A1E9-42EE-A476-130706C79BE3}"/>
    <cellStyle name="Normal 4 4 4 2 5 2 3" xfId="12785" xr:uid="{E423F299-8E31-4992-AB77-2DCD3F17B9DF}"/>
    <cellStyle name="Normal 4 4 4 2 5 3" xfId="6419" xr:uid="{00000000-0005-0000-0000-0000C5150000}"/>
    <cellStyle name="Normal 4 4 4 2 5 3 2" xfId="14858" xr:uid="{8A2B7EDF-2102-4263-8B7E-54BFC131F863}"/>
    <cellStyle name="Normal 4 4 4 2 5 4" xfId="10640" xr:uid="{FC8072D1-175E-41D2-825F-D9FF5D85485A}"/>
    <cellStyle name="Normal 4 4 4 2 6" xfId="2548" xr:uid="{00000000-0005-0000-0000-0000C6150000}"/>
    <cellStyle name="Normal 4 4 4 2 6 2" xfId="6832" xr:uid="{00000000-0005-0000-0000-0000C7150000}"/>
    <cellStyle name="Normal 4 4 4 2 6 2 2" xfId="15271" xr:uid="{246D7508-E13C-4D90-8FA2-B602C09CDC25}"/>
    <cellStyle name="Normal 4 4 4 2 6 3" xfId="11053" xr:uid="{A95B49F8-39AA-47E0-927C-FDB1B37622FB}"/>
    <cellStyle name="Normal 4 4 4 2 7" xfId="4767" xr:uid="{00000000-0005-0000-0000-0000C8150000}"/>
    <cellStyle name="Normal 4 4 4 2 7 2" xfId="13206" xr:uid="{32530D1F-B28C-4EEB-B894-5D40A6509F87}"/>
    <cellStyle name="Normal 4 4 4 2 8" xfId="8988" xr:uid="{A02BE045-36FA-4DAC-A4ED-C2CA94176708}"/>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BB3537AE-4C51-487D-A2D7-7CEE7B888BE0}"/>
    <cellStyle name="Normal 4 4 4 3 2 3" xfId="11545" xr:uid="{10B708DB-4978-42B7-83CA-BC68617F041A}"/>
    <cellStyle name="Normal 4 4 4 3 3" xfId="5179" xr:uid="{00000000-0005-0000-0000-0000CC150000}"/>
    <cellStyle name="Normal 4 4 4 3 3 2" xfId="13618" xr:uid="{08482BAA-F4E8-468A-A1F0-54E75984154F}"/>
    <cellStyle name="Normal 4 4 4 3 4" xfId="9400" xr:uid="{FBBE6973-5C0B-4C96-8583-8DA350F39DC4}"/>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55817E45-2C5A-4159-BAE3-13AD1BFB9458}"/>
    <cellStyle name="Normal 4 4 4 4 2 3" xfId="11958" xr:uid="{FBA86119-B5A3-4419-821C-208EB1D2D1D9}"/>
    <cellStyle name="Normal 4 4 4 4 3" xfId="5592" xr:uid="{00000000-0005-0000-0000-0000D0150000}"/>
    <cellStyle name="Normal 4 4 4 4 3 2" xfId="14031" xr:uid="{14BFF406-29BD-4DF3-BB75-C399B9773908}"/>
    <cellStyle name="Normal 4 4 4 4 4" xfId="9813" xr:uid="{5D128618-8E3E-4CDF-817B-A7F5040B4CD3}"/>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5E750C2C-8D0D-4B35-A0F3-ECEDEF24411F}"/>
    <cellStyle name="Normal 4 4 4 5 2 3" xfId="12371" xr:uid="{5F775411-80A3-4D51-A2C0-D237A25FA624}"/>
    <cellStyle name="Normal 4 4 4 5 3" xfId="6005" xr:uid="{00000000-0005-0000-0000-0000D4150000}"/>
    <cellStyle name="Normal 4 4 4 5 3 2" xfId="14444" xr:uid="{52C94E3E-17D0-40F7-B73A-D90F24AD2E57}"/>
    <cellStyle name="Normal 4 4 4 5 4" xfId="10226" xr:uid="{C2A71015-CD34-4826-B28B-52BBFEBABA0E}"/>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6CE5D3BC-A379-45E4-AA27-DF7DA56B1AA5}"/>
    <cellStyle name="Normal 4 4 4 6 2 3" xfId="12784" xr:uid="{02313885-9E6B-44AC-AE7D-7BE0200071B1}"/>
    <cellStyle name="Normal 4 4 4 6 3" xfId="6418" xr:uid="{00000000-0005-0000-0000-0000D8150000}"/>
    <cellStyle name="Normal 4 4 4 6 3 2" xfId="14857" xr:uid="{5FDB87D3-9F62-428B-A1BF-0A98A17C3BD2}"/>
    <cellStyle name="Normal 4 4 4 6 4" xfId="10639" xr:uid="{EAC5A120-B734-4A91-95D5-2C619C39C89B}"/>
    <cellStyle name="Normal 4 4 4 7" xfId="2547" xr:uid="{00000000-0005-0000-0000-0000D9150000}"/>
    <cellStyle name="Normal 4 4 4 7 2" xfId="6831" xr:uid="{00000000-0005-0000-0000-0000DA150000}"/>
    <cellStyle name="Normal 4 4 4 7 2 2" xfId="15270" xr:uid="{05BE2A66-7FE9-4056-A7EC-BA3C676C068A}"/>
    <cellStyle name="Normal 4 4 4 7 3" xfId="11052" xr:uid="{3692CCCE-C99A-4856-934B-59AEDC662B4B}"/>
    <cellStyle name="Normal 4 4 4 8" xfId="4766" xr:uid="{00000000-0005-0000-0000-0000DB150000}"/>
    <cellStyle name="Normal 4 4 4 8 2" xfId="13205" xr:uid="{9EA8322E-5219-4A74-B001-63C45AB219A6}"/>
    <cellStyle name="Normal 4 4 4 9" xfId="8987" xr:uid="{84BFED2C-F4E9-430D-A914-18F9DB245199}"/>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F4106839-9B2C-4122-863A-CD4F49452EEA}"/>
    <cellStyle name="Normal 4 4 5 2 2 3" xfId="11547" xr:uid="{72BD5A65-2348-4937-8897-B5DC3117F552}"/>
    <cellStyle name="Normal 4 4 5 2 3" xfId="5181" xr:uid="{00000000-0005-0000-0000-0000E0150000}"/>
    <cellStyle name="Normal 4 4 5 2 3 2" xfId="13620" xr:uid="{F3A7A8FD-9517-451C-8CDF-8902800BEE62}"/>
    <cellStyle name="Normal 4 4 5 2 4" xfId="9402" xr:uid="{AFA4CFA6-CB2F-4C2D-AB2A-9C8E3E36075F}"/>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3DA2493C-BD55-45CF-A883-0C42FF90E3F0}"/>
    <cellStyle name="Normal 4 4 5 3 2 3" xfId="11960" xr:uid="{B20CB93F-9733-4AC8-8697-6590AE360C21}"/>
    <cellStyle name="Normal 4 4 5 3 3" xfId="5594" xr:uid="{00000000-0005-0000-0000-0000E4150000}"/>
    <cellStyle name="Normal 4 4 5 3 3 2" xfId="14033" xr:uid="{00319368-F28B-48BB-8D59-BE338BC99135}"/>
    <cellStyle name="Normal 4 4 5 3 4" xfId="9815" xr:uid="{A8C44CB6-3E3A-4CC5-9922-959C7A77B766}"/>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ADE610FF-AE48-4DEC-A04B-65A347BE7B80}"/>
    <cellStyle name="Normal 4 4 5 4 2 3" xfId="12373" xr:uid="{444ECB8B-C85E-4C52-89D7-1B52C1CD3C81}"/>
    <cellStyle name="Normal 4 4 5 4 3" xfId="6007" xr:uid="{00000000-0005-0000-0000-0000E8150000}"/>
    <cellStyle name="Normal 4 4 5 4 3 2" xfId="14446" xr:uid="{309DE11B-2C56-4367-913F-F6981BEE8C22}"/>
    <cellStyle name="Normal 4 4 5 4 4" xfId="10228" xr:uid="{D4DD8B9E-2374-41A1-BF0B-2727895D2E6B}"/>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96848B2F-A95B-456E-8140-1A1D32690E25}"/>
    <cellStyle name="Normal 4 4 5 5 2 3" xfId="12786" xr:uid="{6744C0B6-B8F4-444B-97D1-2F7AACFA858F}"/>
    <cellStyle name="Normal 4 4 5 5 3" xfId="6420" xr:uid="{00000000-0005-0000-0000-0000EC150000}"/>
    <cellStyle name="Normal 4 4 5 5 3 2" xfId="14859" xr:uid="{9CCC9C68-FFF9-41AF-BEA6-30FD12AE0122}"/>
    <cellStyle name="Normal 4 4 5 5 4" xfId="10641" xr:uid="{E357631A-C943-4ED2-B264-5A96EC4193E9}"/>
    <cellStyle name="Normal 4 4 5 6" xfId="2549" xr:uid="{00000000-0005-0000-0000-0000ED150000}"/>
    <cellStyle name="Normal 4 4 5 6 2" xfId="6833" xr:uid="{00000000-0005-0000-0000-0000EE150000}"/>
    <cellStyle name="Normal 4 4 5 6 2 2" xfId="15272" xr:uid="{451F9711-A88D-436A-9BBF-29BD461DA3B1}"/>
    <cellStyle name="Normal 4 4 5 6 3" xfId="11054" xr:uid="{93B10535-4BDC-46BC-87A6-FEE13F2716BF}"/>
    <cellStyle name="Normal 4 4 5 7" xfId="4768" xr:uid="{00000000-0005-0000-0000-0000EF150000}"/>
    <cellStyle name="Normal 4 4 5 7 2" xfId="13207" xr:uid="{A1763C82-2606-4070-80DB-F6C711ECEA70}"/>
    <cellStyle name="Normal 4 4 5 8" xfId="8989" xr:uid="{467E9456-2168-48BC-9DEA-DBEA17C9C968}"/>
    <cellStyle name="Normal 4 4 6" xfId="853" xr:uid="{00000000-0005-0000-0000-0000F0150000}"/>
    <cellStyle name="Normal 4 4 6 2" xfId="3088" xr:uid="{00000000-0005-0000-0000-0000F1150000}"/>
    <cellStyle name="Normal 4 4 6 2 2" xfId="7311" xr:uid="{00000000-0005-0000-0000-0000F2150000}"/>
    <cellStyle name="Normal 4 4 6 2 2 2" xfId="15750" xr:uid="{2EDB9B73-142F-4B4D-B804-DCB5D4377B4A}"/>
    <cellStyle name="Normal 4 4 6 2 3" xfId="11532" xr:uid="{AB8B5B0E-3FDF-4EB1-91DC-11FC68FBC8A6}"/>
    <cellStyle name="Normal 4 4 6 3" xfId="5166" xr:uid="{00000000-0005-0000-0000-0000F3150000}"/>
    <cellStyle name="Normal 4 4 6 3 2" xfId="13605" xr:uid="{5C6838A4-4C61-4168-BD5B-87686F8903D3}"/>
    <cellStyle name="Normal 4 4 6 4" xfId="9387" xr:uid="{0C6BA784-E432-4B6E-A56D-E8647344E739}"/>
    <cellStyle name="Normal 4 4 7" xfId="1271" xr:uid="{00000000-0005-0000-0000-0000F4150000}"/>
    <cellStyle name="Normal 4 4 7 2" xfId="3501" xr:uid="{00000000-0005-0000-0000-0000F5150000}"/>
    <cellStyle name="Normal 4 4 7 2 2" xfId="7724" xr:uid="{00000000-0005-0000-0000-0000F6150000}"/>
    <cellStyle name="Normal 4 4 7 2 2 2" xfId="16163" xr:uid="{433ACA5D-6A04-4D98-8FA1-6A82BB304A4C}"/>
    <cellStyle name="Normal 4 4 7 2 3" xfId="11945" xr:uid="{1D8F6C48-DF01-4D34-A1F2-639EF96B4C9C}"/>
    <cellStyle name="Normal 4 4 7 3" xfId="5579" xr:uid="{00000000-0005-0000-0000-0000F7150000}"/>
    <cellStyle name="Normal 4 4 7 3 2" xfId="14018" xr:uid="{962673DB-0168-44F7-B3ED-0B559D75EDA9}"/>
    <cellStyle name="Normal 4 4 7 4" xfId="9800" xr:uid="{7BACE311-FB8A-4FE3-898D-B38140EAA47F}"/>
    <cellStyle name="Normal 4 4 8" xfId="1684" xr:uid="{00000000-0005-0000-0000-0000F8150000}"/>
    <cellStyle name="Normal 4 4 8 2" xfId="3914" xr:uid="{00000000-0005-0000-0000-0000F9150000}"/>
    <cellStyle name="Normal 4 4 8 2 2" xfId="8137" xr:uid="{00000000-0005-0000-0000-0000FA150000}"/>
    <cellStyle name="Normal 4 4 8 2 2 2" xfId="16576" xr:uid="{ED869BC0-AC3C-40F1-B52A-727BFE6F7D19}"/>
    <cellStyle name="Normal 4 4 8 2 3" xfId="12358" xr:uid="{10F120B1-68D0-42CF-9921-7A31DAE37E19}"/>
    <cellStyle name="Normal 4 4 8 3" xfId="5992" xr:uid="{00000000-0005-0000-0000-0000FB150000}"/>
    <cellStyle name="Normal 4 4 8 3 2" xfId="14431" xr:uid="{AB28F004-61D4-4FEF-9D11-EA99B6409AFE}"/>
    <cellStyle name="Normal 4 4 8 4" xfId="10213" xr:uid="{656FC9F5-27BB-4165-AD14-9DE430395F6C}"/>
    <cellStyle name="Normal 4 4 9" xfId="2098" xr:uid="{00000000-0005-0000-0000-0000FC150000}"/>
    <cellStyle name="Normal 4 4 9 2" xfId="4327" xr:uid="{00000000-0005-0000-0000-0000FD150000}"/>
    <cellStyle name="Normal 4 4 9 2 2" xfId="8550" xr:uid="{00000000-0005-0000-0000-0000FE150000}"/>
    <cellStyle name="Normal 4 4 9 2 2 2" xfId="16989" xr:uid="{198987F7-5803-41E8-8F0B-D1FD1A841B46}"/>
    <cellStyle name="Normal 4 4 9 2 3" xfId="12771" xr:uid="{110455A6-AF5D-4F1C-B032-C3548B564EB4}"/>
    <cellStyle name="Normal 4 4 9 3" xfId="6405" xr:uid="{00000000-0005-0000-0000-0000FF150000}"/>
    <cellStyle name="Normal 4 4 9 3 2" xfId="14844" xr:uid="{8FE9E1C6-DC51-4F44-9079-A249E433A59C}"/>
    <cellStyle name="Normal 4 4 9 4" xfId="10626" xr:uid="{7EEC28F5-BB11-4CFA-B4B7-CBF922B6CF57}"/>
    <cellStyle name="Normal 4 5" xfId="394" xr:uid="{00000000-0005-0000-0000-000000160000}"/>
    <cellStyle name="Normal 4 6" xfId="395" xr:uid="{00000000-0005-0000-0000-000001160000}"/>
    <cellStyle name="Normal 4 6 10" xfId="4769" xr:uid="{00000000-0005-0000-0000-000002160000}"/>
    <cellStyle name="Normal 4 6 10 2" xfId="13208" xr:uid="{9A255E91-0146-4BA7-B601-6F787C1660F0}"/>
    <cellStyle name="Normal 4 6 11" xfId="8990" xr:uid="{60449E48-44CC-4DEC-831F-DF7943599321}"/>
    <cellStyle name="Normal 4 6 2" xfId="396" xr:uid="{00000000-0005-0000-0000-000003160000}"/>
    <cellStyle name="Normal 4 6 2 10" xfId="8991" xr:uid="{25C574BF-4FE7-4101-805E-94D2B08F57C3}"/>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DEC64E99-B580-406B-A4AD-49AE6C62C77B}"/>
    <cellStyle name="Normal 4 6 2 2 2 2 2 3" xfId="11551" xr:uid="{2FF877AF-D827-44C8-B010-D0D7FC7560F1}"/>
    <cellStyle name="Normal 4 6 2 2 2 2 3" xfId="5185" xr:uid="{00000000-0005-0000-0000-000009160000}"/>
    <cellStyle name="Normal 4 6 2 2 2 2 3 2" xfId="13624" xr:uid="{C68F739B-97C2-43F9-AF95-CBCC64B642B4}"/>
    <cellStyle name="Normal 4 6 2 2 2 2 4" xfId="9406" xr:uid="{01B6E96F-ADDB-4106-8C57-9E863423A4FB}"/>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83F9386E-B84A-4746-83A6-519D4F8D8334}"/>
    <cellStyle name="Normal 4 6 2 2 2 3 2 3" xfId="11964" xr:uid="{389E0E69-1B24-49AA-A1D9-0D07B533D442}"/>
    <cellStyle name="Normal 4 6 2 2 2 3 3" xfId="5598" xr:uid="{00000000-0005-0000-0000-00000D160000}"/>
    <cellStyle name="Normal 4 6 2 2 2 3 3 2" xfId="14037" xr:uid="{3ED84BF6-6176-4688-B59C-8D30C2B81F86}"/>
    <cellStyle name="Normal 4 6 2 2 2 3 4" xfId="9819" xr:uid="{887DC981-DDC2-4747-AE26-FD7FA554102D}"/>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81B027A2-D89B-47E1-8257-A54D0B869949}"/>
    <cellStyle name="Normal 4 6 2 2 2 4 2 3" xfId="12377" xr:uid="{61BA29BC-E28D-44A7-828C-445442C7C0C9}"/>
    <cellStyle name="Normal 4 6 2 2 2 4 3" xfId="6011" xr:uid="{00000000-0005-0000-0000-000011160000}"/>
    <cellStyle name="Normal 4 6 2 2 2 4 3 2" xfId="14450" xr:uid="{87E0F697-A011-42E0-8DF3-6D0A9F560685}"/>
    <cellStyle name="Normal 4 6 2 2 2 4 4" xfId="10232" xr:uid="{BA0D8CAE-1568-4A91-A6FD-D53D625F91C2}"/>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D50C83C1-A74E-4DE9-B41B-A91043672E1E}"/>
    <cellStyle name="Normal 4 6 2 2 2 5 2 3" xfId="12790" xr:uid="{B7ADE7CE-E0ED-4390-9E8A-691E166D6EE5}"/>
    <cellStyle name="Normal 4 6 2 2 2 5 3" xfId="6424" xr:uid="{00000000-0005-0000-0000-000015160000}"/>
    <cellStyle name="Normal 4 6 2 2 2 5 3 2" xfId="14863" xr:uid="{0EDBD348-E9BC-4958-A3CE-804F5EB0D9EA}"/>
    <cellStyle name="Normal 4 6 2 2 2 5 4" xfId="10645" xr:uid="{A95733F5-84A0-4376-B045-DB3ECF615C26}"/>
    <cellStyle name="Normal 4 6 2 2 2 6" xfId="2553" xr:uid="{00000000-0005-0000-0000-000016160000}"/>
    <cellStyle name="Normal 4 6 2 2 2 6 2" xfId="6837" xr:uid="{00000000-0005-0000-0000-000017160000}"/>
    <cellStyle name="Normal 4 6 2 2 2 6 2 2" xfId="15276" xr:uid="{29BE87A6-EFEF-4D48-A366-DC35C7301AAD}"/>
    <cellStyle name="Normal 4 6 2 2 2 6 3" xfId="11058" xr:uid="{6D0FD550-2461-446F-89EC-CAFAFA7A895C}"/>
    <cellStyle name="Normal 4 6 2 2 2 7" xfId="4772" xr:uid="{00000000-0005-0000-0000-000018160000}"/>
    <cellStyle name="Normal 4 6 2 2 2 7 2" xfId="13211" xr:uid="{3658E291-23D9-494E-851D-508715C72CE4}"/>
    <cellStyle name="Normal 4 6 2 2 2 8" xfId="8993" xr:uid="{9F7984CC-98A1-4A20-8AE3-929C7E6683E7}"/>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7C9CFF85-71FA-4EA3-A7E4-E67978865A8D}"/>
    <cellStyle name="Normal 4 6 2 2 3 2 3" xfId="11550" xr:uid="{744E615B-4D96-4AE0-8984-D8CC779B151E}"/>
    <cellStyle name="Normal 4 6 2 2 3 3" xfId="5184" xr:uid="{00000000-0005-0000-0000-00001C160000}"/>
    <cellStyle name="Normal 4 6 2 2 3 3 2" xfId="13623" xr:uid="{695EC5B0-7030-42BB-AFB1-C7FE8A73DE6C}"/>
    <cellStyle name="Normal 4 6 2 2 3 4" xfId="9405" xr:uid="{07525E13-DBF8-4D21-9118-3BEE090268CC}"/>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50C2B944-2E2D-4D0E-97B9-DE68AF143A69}"/>
    <cellStyle name="Normal 4 6 2 2 4 2 3" xfId="11963" xr:uid="{54558881-CCB9-4276-B481-D4AB03B6F518}"/>
    <cellStyle name="Normal 4 6 2 2 4 3" xfId="5597" xr:uid="{00000000-0005-0000-0000-000020160000}"/>
    <cellStyle name="Normal 4 6 2 2 4 3 2" xfId="14036" xr:uid="{767B7C28-F59A-4CD7-AF56-ABA34A130371}"/>
    <cellStyle name="Normal 4 6 2 2 4 4" xfId="9818" xr:uid="{56EA092E-7CB9-4916-927F-F82B1BF6821D}"/>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2F0250A6-D4F0-4D58-B389-D20F4C8E2AA6}"/>
    <cellStyle name="Normal 4 6 2 2 5 2 3" xfId="12376" xr:uid="{A9278A95-F83A-4BD3-912D-72D42ACC124B}"/>
    <cellStyle name="Normal 4 6 2 2 5 3" xfId="6010" xr:uid="{00000000-0005-0000-0000-000024160000}"/>
    <cellStyle name="Normal 4 6 2 2 5 3 2" xfId="14449" xr:uid="{43F29973-4EEF-4BB3-8540-DEE7C7661840}"/>
    <cellStyle name="Normal 4 6 2 2 5 4" xfId="10231" xr:uid="{63A6EAEA-D5CB-41AB-B940-586823E7C312}"/>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90FA40A6-E506-4168-A93B-EBB5CA1C4FC9}"/>
    <cellStyle name="Normal 4 6 2 2 6 2 3" xfId="12789" xr:uid="{F61B322B-45CC-41CA-B1E5-1E9679E359DF}"/>
    <cellStyle name="Normal 4 6 2 2 6 3" xfId="6423" xr:uid="{00000000-0005-0000-0000-000028160000}"/>
    <cellStyle name="Normal 4 6 2 2 6 3 2" xfId="14862" xr:uid="{56568467-6041-46CE-80AC-DBE95F2D66E8}"/>
    <cellStyle name="Normal 4 6 2 2 6 4" xfId="10644" xr:uid="{A96EC833-C4A4-4BE9-9A93-F7AD591541D3}"/>
    <cellStyle name="Normal 4 6 2 2 7" xfId="2552" xr:uid="{00000000-0005-0000-0000-000029160000}"/>
    <cellStyle name="Normal 4 6 2 2 7 2" xfId="6836" xr:uid="{00000000-0005-0000-0000-00002A160000}"/>
    <cellStyle name="Normal 4 6 2 2 7 2 2" xfId="15275" xr:uid="{EBF532DF-4B00-43BC-83A5-F16FC78B6D2F}"/>
    <cellStyle name="Normal 4 6 2 2 7 3" xfId="11057" xr:uid="{A47E0C71-E6B5-40AF-A7BB-FDE01CA63C0E}"/>
    <cellStyle name="Normal 4 6 2 2 8" xfId="4771" xr:uid="{00000000-0005-0000-0000-00002B160000}"/>
    <cellStyle name="Normal 4 6 2 2 8 2" xfId="13210" xr:uid="{3C008569-20A8-456C-8227-B21DBDDF83A7}"/>
    <cellStyle name="Normal 4 6 2 2 9" xfId="8992" xr:uid="{BF05EC7B-3D1C-4497-80FB-53691FB8324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9765993B-78F5-4FBE-A139-F26E465F4EBF}"/>
    <cellStyle name="Normal 4 6 2 3 2 2 3" xfId="11552" xr:uid="{575BCE4A-25E9-479A-9279-E0F06D246E98}"/>
    <cellStyle name="Normal 4 6 2 3 2 3" xfId="5186" xr:uid="{00000000-0005-0000-0000-000030160000}"/>
    <cellStyle name="Normal 4 6 2 3 2 3 2" xfId="13625" xr:uid="{C6C0AF26-9B50-4142-BCD3-8189C1C3E3DD}"/>
    <cellStyle name="Normal 4 6 2 3 2 4" xfId="9407" xr:uid="{52C30CB4-FD77-4C5B-94B8-DA831AE7BABB}"/>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8750C486-6BA5-4E83-87BE-2A88DC204094}"/>
    <cellStyle name="Normal 4 6 2 3 3 2 3" xfId="11965" xr:uid="{5E1955D3-A74F-4470-A9FC-BAE66FAC0C15}"/>
    <cellStyle name="Normal 4 6 2 3 3 3" xfId="5599" xr:uid="{00000000-0005-0000-0000-000034160000}"/>
    <cellStyle name="Normal 4 6 2 3 3 3 2" xfId="14038" xr:uid="{E6E2D78E-32E9-4BD0-8063-A414C9892BC2}"/>
    <cellStyle name="Normal 4 6 2 3 3 4" xfId="9820" xr:uid="{FBB4CF30-0EA5-42A6-BAA1-F648228B1B93}"/>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F00F8DA0-81E4-4315-ADAF-09AF4DD8AD6F}"/>
    <cellStyle name="Normal 4 6 2 3 4 2 3" xfId="12378" xr:uid="{DAE3FF6E-2E14-4733-9235-9F50DEEC0842}"/>
    <cellStyle name="Normal 4 6 2 3 4 3" xfId="6012" xr:uid="{00000000-0005-0000-0000-000038160000}"/>
    <cellStyle name="Normal 4 6 2 3 4 3 2" xfId="14451" xr:uid="{36E67BE6-7491-438D-95DA-F04C023BCC27}"/>
    <cellStyle name="Normal 4 6 2 3 4 4" xfId="10233" xr:uid="{3EF11FEE-5DE0-453C-9736-3F28CA292B75}"/>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0A7BE593-3768-45B3-9137-A3FB276BF37D}"/>
    <cellStyle name="Normal 4 6 2 3 5 2 3" xfId="12791" xr:uid="{F512B325-6F36-4F61-B257-B5DCFCA396C0}"/>
    <cellStyle name="Normal 4 6 2 3 5 3" xfId="6425" xr:uid="{00000000-0005-0000-0000-00003C160000}"/>
    <cellStyle name="Normal 4 6 2 3 5 3 2" xfId="14864" xr:uid="{BDD59209-9412-422D-8C1C-85420CEF5647}"/>
    <cellStyle name="Normal 4 6 2 3 5 4" xfId="10646" xr:uid="{CF6DE0EA-C258-45C2-86DE-1CF21D642A88}"/>
    <cellStyle name="Normal 4 6 2 3 6" xfId="2554" xr:uid="{00000000-0005-0000-0000-00003D160000}"/>
    <cellStyle name="Normal 4 6 2 3 6 2" xfId="6838" xr:uid="{00000000-0005-0000-0000-00003E160000}"/>
    <cellStyle name="Normal 4 6 2 3 6 2 2" xfId="15277" xr:uid="{5D29D7F0-B3E0-4FC1-A126-AD79C3AF6869}"/>
    <cellStyle name="Normal 4 6 2 3 6 3" xfId="11059" xr:uid="{CAA1212B-72BC-429A-8628-6AECC3D2460F}"/>
    <cellStyle name="Normal 4 6 2 3 7" xfId="4773" xr:uid="{00000000-0005-0000-0000-00003F160000}"/>
    <cellStyle name="Normal 4 6 2 3 7 2" xfId="13212" xr:uid="{E2DEEC3C-CD82-44A8-84C0-E2608E11FEC5}"/>
    <cellStyle name="Normal 4 6 2 3 8" xfId="8994" xr:uid="{62C964ED-4A5A-4AF2-9F1C-FE5B0150369C}"/>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21E0D6C4-DBB0-4D4C-82E6-0AEBFA36EC1E}"/>
    <cellStyle name="Normal 4 6 2 4 2 3" xfId="11549" xr:uid="{81DFC4A6-711B-4945-83B1-26E05C3435CF}"/>
    <cellStyle name="Normal 4 6 2 4 3" xfId="5183" xr:uid="{00000000-0005-0000-0000-000043160000}"/>
    <cellStyle name="Normal 4 6 2 4 3 2" xfId="13622" xr:uid="{603265A7-853D-470C-90AB-53DCC7A938AF}"/>
    <cellStyle name="Normal 4 6 2 4 4" xfId="9404" xr:uid="{0CFC4160-C799-476F-918D-1439B75CFB76}"/>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9DCCC768-3C96-4C86-941A-8C39C3C94D31}"/>
    <cellStyle name="Normal 4 6 2 5 2 3" xfId="11962" xr:uid="{5242A0BA-61A9-484D-9DA5-388E688BF05C}"/>
    <cellStyle name="Normal 4 6 2 5 3" xfId="5596" xr:uid="{00000000-0005-0000-0000-000047160000}"/>
    <cellStyle name="Normal 4 6 2 5 3 2" xfId="14035" xr:uid="{7C2CDF7B-8DBD-47AF-B7B1-4A324F830BDC}"/>
    <cellStyle name="Normal 4 6 2 5 4" xfId="9817" xr:uid="{0BA806C5-A642-472B-99A0-D0BA432310F1}"/>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DCE9F89C-9854-40FC-85AD-DFDF59B026EF}"/>
    <cellStyle name="Normal 4 6 2 6 2 3" xfId="12375" xr:uid="{C6D7DEF9-A43E-4D43-A362-19D58F668051}"/>
    <cellStyle name="Normal 4 6 2 6 3" xfId="6009" xr:uid="{00000000-0005-0000-0000-00004B160000}"/>
    <cellStyle name="Normal 4 6 2 6 3 2" xfId="14448" xr:uid="{2B5ACF06-0655-4BA5-82B2-1EA23B9D2814}"/>
    <cellStyle name="Normal 4 6 2 6 4" xfId="10230" xr:uid="{60D313CB-27E3-4EDE-9413-B5C629D4571F}"/>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01865B7D-4D8B-4F04-B725-F880CC3450A4}"/>
    <cellStyle name="Normal 4 6 2 7 2 3" xfId="12788" xr:uid="{F62B6C1C-54D0-4C57-99E0-7137E732E4E9}"/>
    <cellStyle name="Normal 4 6 2 7 3" xfId="6422" xr:uid="{00000000-0005-0000-0000-00004F160000}"/>
    <cellStyle name="Normal 4 6 2 7 3 2" xfId="14861" xr:uid="{BBA43239-9475-4D19-8847-1466FDDE64D5}"/>
    <cellStyle name="Normal 4 6 2 7 4" xfId="10643" xr:uid="{BD2C34A8-4F8D-4C1F-9158-1D17608CCC43}"/>
    <cellStyle name="Normal 4 6 2 8" xfId="2551" xr:uid="{00000000-0005-0000-0000-000050160000}"/>
    <cellStyle name="Normal 4 6 2 8 2" xfId="6835" xr:uid="{00000000-0005-0000-0000-000051160000}"/>
    <cellStyle name="Normal 4 6 2 8 2 2" xfId="15274" xr:uid="{47B1B60C-506B-43AF-97B1-C1C0A494981E}"/>
    <cellStyle name="Normal 4 6 2 8 3" xfId="11056" xr:uid="{59232A16-5FF8-485B-B4F8-73F04FEA16F9}"/>
    <cellStyle name="Normal 4 6 2 9" xfId="4770" xr:uid="{00000000-0005-0000-0000-000052160000}"/>
    <cellStyle name="Normal 4 6 2 9 2" xfId="13209" xr:uid="{C74408BE-9CFB-4E7D-A6F0-0CB61F70CF96}"/>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39C64A17-D6FC-4FC0-86A1-D463F2E9DC7B}"/>
    <cellStyle name="Normal 4 6 3 2 2 2 3" xfId="11554" xr:uid="{568779D9-BBCA-4827-AFD2-3CF9EA70FB21}"/>
    <cellStyle name="Normal 4 6 3 2 2 3" xfId="5188" xr:uid="{00000000-0005-0000-0000-000058160000}"/>
    <cellStyle name="Normal 4 6 3 2 2 3 2" xfId="13627" xr:uid="{525AB709-1A5D-4C6B-ABBB-3291FBCCD99F}"/>
    <cellStyle name="Normal 4 6 3 2 2 4" xfId="9409" xr:uid="{88F968BA-CD7D-4AFE-8EBD-74081D7D16C9}"/>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BA8E6157-E8D7-44AE-AF97-A2ADCBC8C3DE}"/>
    <cellStyle name="Normal 4 6 3 2 3 2 3" xfId="11967" xr:uid="{13BF1A9B-F6C6-4DDF-B8C9-B7AF4B506C9D}"/>
    <cellStyle name="Normal 4 6 3 2 3 3" xfId="5601" xr:uid="{00000000-0005-0000-0000-00005C160000}"/>
    <cellStyle name="Normal 4 6 3 2 3 3 2" xfId="14040" xr:uid="{A101015C-172B-46C8-A1AE-FECBAD0EE301}"/>
    <cellStyle name="Normal 4 6 3 2 3 4" xfId="9822" xr:uid="{9A3314D9-6406-4525-8921-762E00E663B2}"/>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EDBD97C6-DEE1-45F3-AFF1-952295E5CF8E}"/>
    <cellStyle name="Normal 4 6 3 2 4 2 3" xfId="12380" xr:uid="{39B8A72C-1326-40BA-987E-019EAACEA354}"/>
    <cellStyle name="Normal 4 6 3 2 4 3" xfId="6014" xr:uid="{00000000-0005-0000-0000-000060160000}"/>
    <cellStyle name="Normal 4 6 3 2 4 3 2" xfId="14453" xr:uid="{8228385F-C4D5-4D07-BD72-032D7B4937F3}"/>
    <cellStyle name="Normal 4 6 3 2 4 4" xfId="10235" xr:uid="{035DAE0F-1791-4D5D-8E27-3BF87B2A3B97}"/>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53D26895-FC3B-4E76-92FB-2034F6016E1C}"/>
    <cellStyle name="Normal 4 6 3 2 5 2 3" xfId="12793" xr:uid="{2E95453C-1C0B-4E46-BECE-2BE78275A217}"/>
    <cellStyle name="Normal 4 6 3 2 5 3" xfId="6427" xr:uid="{00000000-0005-0000-0000-000064160000}"/>
    <cellStyle name="Normal 4 6 3 2 5 3 2" xfId="14866" xr:uid="{30857F45-71B4-40C4-8B93-7EC7E612DE0E}"/>
    <cellStyle name="Normal 4 6 3 2 5 4" xfId="10648" xr:uid="{9F1EA66C-5CBE-4497-AF52-2A524F5F0A64}"/>
    <cellStyle name="Normal 4 6 3 2 6" xfId="2556" xr:uid="{00000000-0005-0000-0000-000065160000}"/>
    <cellStyle name="Normal 4 6 3 2 6 2" xfId="6840" xr:uid="{00000000-0005-0000-0000-000066160000}"/>
    <cellStyle name="Normal 4 6 3 2 6 2 2" xfId="15279" xr:uid="{8AD78D38-DEF7-47EB-A9EB-50B1E69B509E}"/>
    <cellStyle name="Normal 4 6 3 2 6 3" xfId="11061" xr:uid="{AFF9C6CB-F958-481E-A15E-E89150CC2EE5}"/>
    <cellStyle name="Normal 4 6 3 2 7" xfId="4775" xr:uid="{00000000-0005-0000-0000-000067160000}"/>
    <cellStyle name="Normal 4 6 3 2 7 2" xfId="13214" xr:uid="{497001BB-EF4A-481A-9E6B-80A88C6307D9}"/>
    <cellStyle name="Normal 4 6 3 2 8" xfId="8996" xr:uid="{F1BCA778-AE95-49E6-BF27-866FDDC9041E}"/>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7334F639-7FB6-466C-A676-10E58D3A0EBC}"/>
    <cellStyle name="Normal 4 6 3 3 2 3" xfId="11553" xr:uid="{7081278C-9D56-4CA8-B54A-A7FE7B3F9BFF}"/>
    <cellStyle name="Normal 4 6 3 3 3" xfId="5187" xr:uid="{00000000-0005-0000-0000-00006B160000}"/>
    <cellStyle name="Normal 4 6 3 3 3 2" xfId="13626" xr:uid="{711B56AE-205F-48D3-AEA6-BE9EE3D86151}"/>
    <cellStyle name="Normal 4 6 3 3 4" xfId="9408" xr:uid="{5F16E9B2-B265-41FD-860A-3919DFF9F710}"/>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1ADDA1FC-A28C-4D01-A6CC-861CC4ED41AF}"/>
    <cellStyle name="Normal 4 6 3 4 2 3" xfId="11966" xr:uid="{F01C2055-4473-4C59-A9DE-514196CD522E}"/>
    <cellStyle name="Normal 4 6 3 4 3" xfId="5600" xr:uid="{00000000-0005-0000-0000-00006F160000}"/>
    <cellStyle name="Normal 4 6 3 4 3 2" xfId="14039" xr:uid="{888F3AA2-ADF6-459D-8D84-C775EB0BD2F8}"/>
    <cellStyle name="Normal 4 6 3 4 4" xfId="9821" xr:uid="{5B094110-720E-49F1-9FB4-6CBE62989625}"/>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91479192-1BDF-490C-9FF9-6570C542A94C}"/>
    <cellStyle name="Normal 4 6 3 5 2 3" xfId="12379" xr:uid="{64EA1505-9966-4E61-95A7-F40CC4B2A494}"/>
    <cellStyle name="Normal 4 6 3 5 3" xfId="6013" xr:uid="{00000000-0005-0000-0000-000073160000}"/>
    <cellStyle name="Normal 4 6 3 5 3 2" xfId="14452" xr:uid="{062E0617-6C96-403B-943E-9A4D759210C4}"/>
    <cellStyle name="Normal 4 6 3 5 4" xfId="10234" xr:uid="{67C2DD40-2E31-4747-A199-2FEE91F2013C}"/>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D6A740A1-8538-4C53-AC73-653BD48B08C3}"/>
    <cellStyle name="Normal 4 6 3 6 2 3" xfId="12792" xr:uid="{A981A978-BB2A-4A62-B1BD-BEAE55FA2EC8}"/>
    <cellStyle name="Normal 4 6 3 6 3" xfId="6426" xr:uid="{00000000-0005-0000-0000-000077160000}"/>
    <cellStyle name="Normal 4 6 3 6 3 2" xfId="14865" xr:uid="{199965F9-DC59-4157-9B74-30D5D74B616C}"/>
    <cellStyle name="Normal 4 6 3 6 4" xfId="10647" xr:uid="{DF200686-2AD1-4183-9397-BC8E282C2A43}"/>
    <cellStyle name="Normal 4 6 3 7" xfId="2555" xr:uid="{00000000-0005-0000-0000-000078160000}"/>
    <cellStyle name="Normal 4 6 3 7 2" xfId="6839" xr:uid="{00000000-0005-0000-0000-000079160000}"/>
    <cellStyle name="Normal 4 6 3 7 2 2" xfId="15278" xr:uid="{B5B8D445-CE9E-4EE4-9B3F-41AEFEFCCE0D}"/>
    <cellStyle name="Normal 4 6 3 7 3" xfId="11060" xr:uid="{6B777B12-4590-4E53-9CE0-09125F69E275}"/>
    <cellStyle name="Normal 4 6 3 8" xfId="4774" xr:uid="{00000000-0005-0000-0000-00007A160000}"/>
    <cellStyle name="Normal 4 6 3 8 2" xfId="13213" xr:uid="{0E9FCCB1-9EE8-426E-A08A-C51D6BCEA68C}"/>
    <cellStyle name="Normal 4 6 3 9" xfId="8995" xr:uid="{AEC8DEAC-64FB-494B-AFC5-689646796FAC}"/>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40427A03-0D93-4E79-80FD-49391CBF0961}"/>
    <cellStyle name="Normal 4 6 4 2 2 3" xfId="11555" xr:uid="{35A408C5-C9EC-467D-B0CB-6161F993BEE5}"/>
    <cellStyle name="Normal 4 6 4 2 3" xfId="5189" xr:uid="{00000000-0005-0000-0000-00007F160000}"/>
    <cellStyle name="Normal 4 6 4 2 3 2" xfId="13628" xr:uid="{15FC765C-4F63-47EB-93B3-5A0A05512823}"/>
    <cellStyle name="Normal 4 6 4 2 4" xfId="9410" xr:uid="{BA119EF7-E901-4DE3-93D8-3DB6531BA4AE}"/>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E135FC11-C798-4621-8711-FA48DD2A44E7}"/>
    <cellStyle name="Normal 4 6 4 3 2 3" xfId="11968" xr:uid="{72E5D629-0A50-461C-8689-AF1F6C54AD87}"/>
    <cellStyle name="Normal 4 6 4 3 3" xfId="5602" xr:uid="{00000000-0005-0000-0000-000083160000}"/>
    <cellStyle name="Normal 4 6 4 3 3 2" xfId="14041" xr:uid="{D5B1E9E9-CDD9-4A33-9B7D-CFD08BFA0FF8}"/>
    <cellStyle name="Normal 4 6 4 3 4" xfId="9823" xr:uid="{5EB1E6A0-8080-4304-88E1-3D27CC81DEDE}"/>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7E7220EA-83E7-453D-A094-9EA6753B1ABC}"/>
    <cellStyle name="Normal 4 6 4 4 2 3" xfId="12381" xr:uid="{407A8B64-C4F7-422B-94AE-154E9213ABAF}"/>
    <cellStyle name="Normal 4 6 4 4 3" xfId="6015" xr:uid="{00000000-0005-0000-0000-000087160000}"/>
    <cellStyle name="Normal 4 6 4 4 3 2" xfId="14454" xr:uid="{BA637062-889E-4709-89BF-572E1A3E878E}"/>
    <cellStyle name="Normal 4 6 4 4 4" xfId="10236" xr:uid="{BA14F5C2-CB56-4BEF-BEFD-58793A44A2EA}"/>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355766C7-47CE-49AB-8AC0-CEEE52FA18DC}"/>
    <cellStyle name="Normal 4 6 4 5 2 3" xfId="12794" xr:uid="{F34673B3-1DD9-45CB-9E85-06C2D5AF2FB8}"/>
    <cellStyle name="Normal 4 6 4 5 3" xfId="6428" xr:uid="{00000000-0005-0000-0000-00008B160000}"/>
    <cellStyle name="Normal 4 6 4 5 3 2" xfId="14867" xr:uid="{994B919A-FB72-4273-A786-AEF7A3003381}"/>
    <cellStyle name="Normal 4 6 4 5 4" xfId="10649" xr:uid="{42BDEE0F-11D9-4A5D-980D-98CA88CEDCA9}"/>
    <cellStyle name="Normal 4 6 4 6" xfId="2557" xr:uid="{00000000-0005-0000-0000-00008C160000}"/>
    <cellStyle name="Normal 4 6 4 6 2" xfId="6841" xr:uid="{00000000-0005-0000-0000-00008D160000}"/>
    <cellStyle name="Normal 4 6 4 6 2 2" xfId="15280" xr:uid="{E6669AEB-B758-4C18-A60F-3A9E210D4D48}"/>
    <cellStyle name="Normal 4 6 4 6 3" xfId="11062" xr:uid="{D4427A6B-7768-404F-919D-7AC11DFE100A}"/>
    <cellStyle name="Normal 4 6 4 7" xfId="4776" xr:uid="{00000000-0005-0000-0000-00008E160000}"/>
    <cellStyle name="Normal 4 6 4 7 2" xfId="13215" xr:uid="{829AEA28-2CFC-40B3-A449-C2D2CF487842}"/>
    <cellStyle name="Normal 4 6 4 8" xfId="8997" xr:uid="{D8DEFB77-E809-49EC-B910-F7756070E313}"/>
    <cellStyle name="Normal 4 6 5" xfId="869" xr:uid="{00000000-0005-0000-0000-00008F160000}"/>
    <cellStyle name="Normal 4 6 5 2" xfId="3104" xr:uid="{00000000-0005-0000-0000-000090160000}"/>
    <cellStyle name="Normal 4 6 5 2 2" xfId="7327" xr:uid="{00000000-0005-0000-0000-000091160000}"/>
    <cellStyle name="Normal 4 6 5 2 2 2" xfId="15766" xr:uid="{DA531034-2341-496E-B534-1F0389343DD8}"/>
    <cellStyle name="Normal 4 6 5 2 3" xfId="11548" xr:uid="{3BC8670A-5573-4245-A673-16450FED51B5}"/>
    <cellStyle name="Normal 4 6 5 3" xfId="5182" xr:uid="{00000000-0005-0000-0000-000092160000}"/>
    <cellStyle name="Normal 4 6 5 3 2" xfId="13621" xr:uid="{D7824AAB-EA01-483C-9586-73FC5124A56E}"/>
    <cellStyle name="Normal 4 6 5 4" xfId="9403" xr:uid="{C8F3ECC5-4050-4C39-9A66-905BAFFBE6C9}"/>
    <cellStyle name="Normal 4 6 6" xfId="1287" xr:uid="{00000000-0005-0000-0000-000093160000}"/>
    <cellStyle name="Normal 4 6 6 2" xfId="3517" xr:uid="{00000000-0005-0000-0000-000094160000}"/>
    <cellStyle name="Normal 4 6 6 2 2" xfId="7740" xr:uid="{00000000-0005-0000-0000-000095160000}"/>
    <cellStyle name="Normal 4 6 6 2 2 2" xfId="16179" xr:uid="{E7C3A5B5-004B-446D-BE5B-71B87533FDA2}"/>
    <cellStyle name="Normal 4 6 6 2 3" xfId="11961" xr:uid="{B4E40D7B-7C77-48E4-A7F6-A2CBCBD171D4}"/>
    <cellStyle name="Normal 4 6 6 3" xfId="5595" xr:uid="{00000000-0005-0000-0000-000096160000}"/>
    <cellStyle name="Normal 4 6 6 3 2" xfId="14034" xr:uid="{364C3E45-DEBF-45F2-8EEE-39117B017F91}"/>
    <cellStyle name="Normal 4 6 6 4" xfId="9816" xr:uid="{5F956EDF-BA9F-49BC-AAD1-4DF6C24A09BF}"/>
    <cellStyle name="Normal 4 6 7" xfId="1700" xr:uid="{00000000-0005-0000-0000-000097160000}"/>
    <cellStyle name="Normal 4 6 7 2" xfId="3930" xr:uid="{00000000-0005-0000-0000-000098160000}"/>
    <cellStyle name="Normal 4 6 7 2 2" xfId="8153" xr:uid="{00000000-0005-0000-0000-000099160000}"/>
    <cellStyle name="Normal 4 6 7 2 2 2" xfId="16592" xr:uid="{6E3BA3AE-C04D-48E3-ACEF-1E913F32681D}"/>
    <cellStyle name="Normal 4 6 7 2 3" xfId="12374" xr:uid="{BFE83D7D-1FB4-4B77-9A56-32F150BB3170}"/>
    <cellStyle name="Normal 4 6 7 3" xfId="6008" xr:uid="{00000000-0005-0000-0000-00009A160000}"/>
    <cellStyle name="Normal 4 6 7 3 2" xfId="14447" xr:uid="{33716F49-7995-448A-9D5E-A3715553B145}"/>
    <cellStyle name="Normal 4 6 7 4" xfId="10229" xr:uid="{8167A1DA-C020-40BD-83D8-EF323F85B87B}"/>
    <cellStyle name="Normal 4 6 8" xfId="2114" xr:uid="{00000000-0005-0000-0000-00009B160000}"/>
    <cellStyle name="Normal 4 6 8 2" xfId="4343" xr:uid="{00000000-0005-0000-0000-00009C160000}"/>
    <cellStyle name="Normal 4 6 8 2 2" xfId="8566" xr:uid="{00000000-0005-0000-0000-00009D160000}"/>
    <cellStyle name="Normal 4 6 8 2 2 2" xfId="17005" xr:uid="{0C72A202-69C3-432A-8AE4-F9333E2C1B3E}"/>
    <cellStyle name="Normal 4 6 8 2 3" xfId="12787" xr:uid="{7340DC47-815F-42D3-AA3D-B70E7FA63757}"/>
    <cellStyle name="Normal 4 6 8 3" xfId="6421" xr:uid="{00000000-0005-0000-0000-00009E160000}"/>
    <cellStyle name="Normal 4 6 8 3 2" xfId="14860" xr:uid="{E8D6DF2C-39A1-4309-9F2E-283005D7E96A}"/>
    <cellStyle name="Normal 4 6 8 4" xfId="10642" xr:uid="{6009B915-AFC9-4130-A65B-23A4C89B3EAF}"/>
    <cellStyle name="Normal 4 6 9" xfId="2550" xr:uid="{00000000-0005-0000-0000-00009F160000}"/>
    <cellStyle name="Normal 4 6 9 2" xfId="6834" xr:uid="{00000000-0005-0000-0000-0000A0160000}"/>
    <cellStyle name="Normal 4 6 9 2 2" xfId="15273" xr:uid="{85385C81-C8AA-4686-BBE2-815D943EEDA6}"/>
    <cellStyle name="Normal 4 6 9 3" xfId="11055" xr:uid="{0717DE25-29F6-49A2-BFA9-23CBE0AF9F71}"/>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4D7DBC95-512C-4DF6-8BEA-331BD61C4259}"/>
    <cellStyle name="Normal 4 7 2 2 2 3" xfId="11557" xr:uid="{DE29BB40-A0B0-40B3-A704-4E7B8FECBD0C}"/>
    <cellStyle name="Normal 4 7 2 2 3" xfId="5191" xr:uid="{00000000-0005-0000-0000-0000A6160000}"/>
    <cellStyle name="Normal 4 7 2 2 3 2" xfId="13630" xr:uid="{052AA8C3-3F02-42B8-9B2C-DE746F92D187}"/>
    <cellStyle name="Normal 4 7 2 2 4" xfId="9412" xr:uid="{D85E8B4D-45D8-41BA-B365-E806D2594955}"/>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B332B105-4FE3-4547-8F4F-B7E98177A11F}"/>
    <cellStyle name="Normal 4 7 2 3 2 3" xfId="11970" xr:uid="{67FEC058-E4C0-4A53-87B4-0425F06FD8E5}"/>
    <cellStyle name="Normal 4 7 2 3 3" xfId="5604" xr:uid="{00000000-0005-0000-0000-0000AA160000}"/>
    <cellStyle name="Normal 4 7 2 3 3 2" xfId="14043" xr:uid="{C172AA2B-45F5-49FB-95D9-D37842F4403C}"/>
    <cellStyle name="Normal 4 7 2 3 4" xfId="9825" xr:uid="{93BF4C90-5628-472D-BE3A-2BAD0A2CE98B}"/>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775D0B05-6AA7-46BC-84F3-2CC3318717DF}"/>
    <cellStyle name="Normal 4 7 2 4 2 3" xfId="12383" xr:uid="{B7BCCB75-B381-41B9-BEFA-23C5B1BBEC8A}"/>
    <cellStyle name="Normal 4 7 2 4 3" xfId="6017" xr:uid="{00000000-0005-0000-0000-0000AE160000}"/>
    <cellStyle name="Normal 4 7 2 4 3 2" xfId="14456" xr:uid="{70623892-CAF0-42BB-8E1C-08ED7D7E9396}"/>
    <cellStyle name="Normal 4 7 2 4 4" xfId="10238" xr:uid="{578E6970-6C9C-4FD2-9FB6-1D70D12C5402}"/>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9466085B-B145-4068-9D6F-7427772C997E}"/>
    <cellStyle name="Normal 4 7 2 5 2 3" xfId="12796" xr:uid="{76C69472-C727-40AB-B159-37A39F2D450B}"/>
    <cellStyle name="Normal 4 7 2 5 3" xfId="6430" xr:uid="{00000000-0005-0000-0000-0000B2160000}"/>
    <cellStyle name="Normal 4 7 2 5 3 2" xfId="14869" xr:uid="{BEDECE8B-CEA8-4D8D-B738-B69D6E84BF47}"/>
    <cellStyle name="Normal 4 7 2 5 4" xfId="10651" xr:uid="{903C2016-9EED-4054-AC5A-D3CA71F2275E}"/>
    <cellStyle name="Normal 4 7 2 6" xfId="2559" xr:uid="{00000000-0005-0000-0000-0000B3160000}"/>
    <cellStyle name="Normal 4 7 2 6 2" xfId="6843" xr:uid="{00000000-0005-0000-0000-0000B4160000}"/>
    <cellStyle name="Normal 4 7 2 6 2 2" xfId="15282" xr:uid="{6ED2F9AC-948B-4F79-BB34-95ED3E15635E}"/>
    <cellStyle name="Normal 4 7 2 6 3" xfId="11064" xr:uid="{2F97406A-9DEA-4A49-BD08-5A81BA771215}"/>
    <cellStyle name="Normal 4 7 2 7" xfId="4778" xr:uid="{00000000-0005-0000-0000-0000B5160000}"/>
    <cellStyle name="Normal 4 7 2 7 2" xfId="13217" xr:uid="{72F83734-102E-4F9A-B078-89231E9E5D53}"/>
    <cellStyle name="Normal 4 7 2 8" xfId="8999" xr:uid="{22B2C0C2-40AE-46D0-89A4-5075752D6E3B}"/>
    <cellStyle name="Normal 4 7 3" xfId="877" xr:uid="{00000000-0005-0000-0000-0000B6160000}"/>
    <cellStyle name="Normal 4 7 3 2" xfId="3112" xr:uid="{00000000-0005-0000-0000-0000B7160000}"/>
    <cellStyle name="Normal 4 7 3 2 2" xfId="7335" xr:uid="{00000000-0005-0000-0000-0000B8160000}"/>
    <cellStyle name="Normal 4 7 3 2 2 2" xfId="15774" xr:uid="{162FB838-AD7F-4B4E-B947-61D4EC866CD3}"/>
    <cellStyle name="Normal 4 7 3 2 3" xfId="11556" xr:uid="{79333084-BEEA-45D9-B141-4EC3BEF5461A}"/>
    <cellStyle name="Normal 4 7 3 3" xfId="5190" xr:uid="{00000000-0005-0000-0000-0000B9160000}"/>
    <cellStyle name="Normal 4 7 3 3 2" xfId="13629" xr:uid="{C3340819-3E3F-406E-85CC-320F443F7BAE}"/>
    <cellStyle name="Normal 4 7 3 4" xfId="9411" xr:uid="{C2041D82-CB97-46CB-9EE5-36627BB9FF12}"/>
    <cellStyle name="Normal 4 7 4" xfId="1295" xr:uid="{00000000-0005-0000-0000-0000BA160000}"/>
    <cellStyle name="Normal 4 7 4 2" xfId="3525" xr:uid="{00000000-0005-0000-0000-0000BB160000}"/>
    <cellStyle name="Normal 4 7 4 2 2" xfId="7748" xr:uid="{00000000-0005-0000-0000-0000BC160000}"/>
    <cellStyle name="Normal 4 7 4 2 2 2" xfId="16187" xr:uid="{2F3D4467-31CE-412B-A419-CFDFA30BF247}"/>
    <cellStyle name="Normal 4 7 4 2 3" xfId="11969" xr:uid="{4EAE314E-3B16-46EA-A943-7FDB6F6F8078}"/>
    <cellStyle name="Normal 4 7 4 3" xfId="5603" xr:uid="{00000000-0005-0000-0000-0000BD160000}"/>
    <cellStyle name="Normal 4 7 4 3 2" xfId="14042" xr:uid="{EE9E0CCF-0314-43C4-8AB0-2AB34778FC4F}"/>
    <cellStyle name="Normal 4 7 4 4" xfId="9824" xr:uid="{03FDBE07-0E21-45BB-929B-B5CDB3F0D1CB}"/>
    <cellStyle name="Normal 4 7 5" xfId="1708" xr:uid="{00000000-0005-0000-0000-0000BE160000}"/>
    <cellStyle name="Normal 4 7 5 2" xfId="3938" xr:uid="{00000000-0005-0000-0000-0000BF160000}"/>
    <cellStyle name="Normal 4 7 5 2 2" xfId="8161" xr:uid="{00000000-0005-0000-0000-0000C0160000}"/>
    <cellStyle name="Normal 4 7 5 2 2 2" xfId="16600" xr:uid="{D12BEAC9-51A0-412A-9479-F3BA39FD32B6}"/>
    <cellStyle name="Normal 4 7 5 2 3" xfId="12382" xr:uid="{F4F23C04-C03E-4E82-A8F9-073A416E2565}"/>
    <cellStyle name="Normal 4 7 5 3" xfId="6016" xr:uid="{00000000-0005-0000-0000-0000C1160000}"/>
    <cellStyle name="Normal 4 7 5 3 2" xfId="14455" xr:uid="{AAB6D3D4-B224-44CC-AE0B-75985D068E68}"/>
    <cellStyle name="Normal 4 7 5 4" xfId="10237" xr:uid="{DA45AAA3-8724-4634-913C-D3B9CD50E8C2}"/>
    <cellStyle name="Normal 4 7 6" xfId="2122" xr:uid="{00000000-0005-0000-0000-0000C2160000}"/>
    <cellStyle name="Normal 4 7 6 2" xfId="4351" xr:uid="{00000000-0005-0000-0000-0000C3160000}"/>
    <cellStyle name="Normal 4 7 6 2 2" xfId="8574" xr:uid="{00000000-0005-0000-0000-0000C4160000}"/>
    <cellStyle name="Normal 4 7 6 2 2 2" xfId="17013" xr:uid="{B4F77E20-6831-40C6-AF04-E20DC7EC6272}"/>
    <cellStyle name="Normal 4 7 6 2 3" xfId="12795" xr:uid="{B5F6DC76-8E5A-40BB-B7A9-6716C05503F0}"/>
    <cellStyle name="Normal 4 7 6 3" xfId="6429" xr:uid="{00000000-0005-0000-0000-0000C5160000}"/>
    <cellStyle name="Normal 4 7 6 3 2" xfId="14868" xr:uid="{08507EBD-F580-4851-A36C-F118F8E462B0}"/>
    <cellStyle name="Normal 4 7 6 4" xfId="10650" xr:uid="{F0EA89DF-9B38-4623-91A0-47027B7381B9}"/>
    <cellStyle name="Normal 4 7 7" xfId="2558" xr:uid="{00000000-0005-0000-0000-0000C6160000}"/>
    <cellStyle name="Normal 4 7 7 2" xfId="6842" xr:uid="{00000000-0005-0000-0000-0000C7160000}"/>
    <cellStyle name="Normal 4 7 7 2 2" xfId="15281" xr:uid="{01703721-4FC6-4B0C-BFEC-1EDE93884052}"/>
    <cellStyle name="Normal 4 7 7 3" xfId="11063" xr:uid="{73D0750F-37E6-4242-BE11-4A2A0BB70AA0}"/>
    <cellStyle name="Normal 4 7 8" xfId="4777" xr:uid="{00000000-0005-0000-0000-0000C8160000}"/>
    <cellStyle name="Normal 4 7 8 2" xfId="13216" xr:uid="{D03BCDFE-1B70-49CF-869F-DCB7492BA56D}"/>
    <cellStyle name="Normal 4 7 9" xfId="8998" xr:uid="{26ACD0AF-89A8-411B-9CBA-F13C259FC2C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97213926-5DA9-4DA4-835E-DE9C9A2AF475}"/>
    <cellStyle name="Normal 4 8 2 2 3" xfId="11558" xr:uid="{77184E29-6468-4AA1-A920-D0AE6BC00676}"/>
    <cellStyle name="Normal 4 8 2 3" xfId="5192" xr:uid="{00000000-0005-0000-0000-0000CD160000}"/>
    <cellStyle name="Normal 4 8 2 3 2" xfId="13631" xr:uid="{79C0DAF8-B529-4ED0-8171-906ACBE2C8A8}"/>
    <cellStyle name="Normal 4 8 2 4" xfId="9413" xr:uid="{80407692-93E7-4D56-8027-61B810A1D443}"/>
    <cellStyle name="Normal 4 8 3" xfId="1297" xr:uid="{00000000-0005-0000-0000-0000CE160000}"/>
    <cellStyle name="Normal 4 8 3 2" xfId="3527" xr:uid="{00000000-0005-0000-0000-0000CF160000}"/>
    <cellStyle name="Normal 4 8 3 2 2" xfId="7750" xr:uid="{00000000-0005-0000-0000-0000D0160000}"/>
    <cellStyle name="Normal 4 8 3 2 2 2" xfId="16189" xr:uid="{2B34BE07-1DF8-4731-A257-F32BAED8A47F}"/>
    <cellStyle name="Normal 4 8 3 2 3" xfId="11971" xr:uid="{DF0EBE26-F14B-4568-A4A1-058A79D1F7F5}"/>
    <cellStyle name="Normal 4 8 3 3" xfId="5605" xr:uid="{00000000-0005-0000-0000-0000D1160000}"/>
    <cellStyle name="Normal 4 8 3 3 2" xfId="14044" xr:uid="{84C1BC47-93F8-473E-87BA-D3E5F4BBEA8D}"/>
    <cellStyle name="Normal 4 8 3 4" xfId="9826" xr:uid="{4060FE0C-19F8-4875-B237-2E2B35C090DD}"/>
    <cellStyle name="Normal 4 8 4" xfId="1710" xr:uid="{00000000-0005-0000-0000-0000D2160000}"/>
    <cellStyle name="Normal 4 8 4 2" xfId="3940" xr:uid="{00000000-0005-0000-0000-0000D3160000}"/>
    <cellStyle name="Normal 4 8 4 2 2" xfId="8163" xr:uid="{00000000-0005-0000-0000-0000D4160000}"/>
    <cellStyle name="Normal 4 8 4 2 2 2" xfId="16602" xr:uid="{CC6CC587-B216-4513-B3F7-E6FF6A6532BB}"/>
    <cellStyle name="Normal 4 8 4 2 3" xfId="12384" xr:uid="{4B0CE4BC-8EA7-4C98-BB11-1ADD121B2E3E}"/>
    <cellStyle name="Normal 4 8 4 3" xfId="6018" xr:uid="{00000000-0005-0000-0000-0000D5160000}"/>
    <cellStyle name="Normal 4 8 4 3 2" xfId="14457" xr:uid="{4952C589-6C17-496E-888C-301B5E9AEE2A}"/>
    <cellStyle name="Normal 4 8 4 4" xfId="10239" xr:uid="{0F11368A-87B6-482F-BB2E-BDE8FEA58155}"/>
    <cellStyle name="Normal 4 8 5" xfId="2124" xr:uid="{00000000-0005-0000-0000-0000D6160000}"/>
    <cellStyle name="Normal 4 8 5 2" xfId="4353" xr:uid="{00000000-0005-0000-0000-0000D7160000}"/>
    <cellStyle name="Normal 4 8 5 2 2" xfId="8576" xr:uid="{00000000-0005-0000-0000-0000D8160000}"/>
    <cellStyle name="Normal 4 8 5 2 2 2" xfId="17015" xr:uid="{C740ABCE-6384-4BD3-8B4C-1860A1D7ECB1}"/>
    <cellStyle name="Normal 4 8 5 2 3" xfId="12797" xr:uid="{04184ADD-5358-49C9-A0F3-DB8E5560F1D4}"/>
    <cellStyle name="Normal 4 8 5 3" xfId="6431" xr:uid="{00000000-0005-0000-0000-0000D9160000}"/>
    <cellStyle name="Normal 4 8 5 3 2" xfId="14870" xr:uid="{4FDA1F74-8D8E-4254-8FD0-F258120AB1E8}"/>
    <cellStyle name="Normal 4 8 5 4" xfId="10652" xr:uid="{0EDFE40E-3ECE-438E-8CDC-0CFB3E0C1D2C}"/>
    <cellStyle name="Normal 4 8 6" xfId="2560" xr:uid="{00000000-0005-0000-0000-0000DA160000}"/>
    <cellStyle name="Normal 4 8 6 2" xfId="6844" xr:uid="{00000000-0005-0000-0000-0000DB160000}"/>
    <cellStyle name="Normal 4 8 6 2 2" xfId="15283" xr:uid="{6A269365-63DA-423C-9F55-61F8D2CF30CF}"/>
    <cellStyle name="Normal 4 8 6 3" xfId="11065" xr:uid="{8C5B75B5-00E7-4956-B802-485DC2A81512}"/>
    <cellStyle name="Normal 4 8 7" xfId="4779" xr:uid="{00000000-0005-0000-0000-0000DC160000}"/>
    <cellStyle name="Normal 4 8 7 2" xfId="13218" xr:uid="{8F16FD9B-D3E8-44AE-8123-79D3D8D98378}"/>
    <cellStyle name="Normal 4 8 8" xfId="9000" xr:uid="{790021F8-B9A1-4551-816C-9CEB4C7BBD51}"/>
    <cellStyle name="Normal 4 9" xfId="4716" xr:uid="{00000000-0005-0000-0000-0000DD160000}"/>
    <cellStyle name="Normal 4 9 2" xfId="13155" xr:uid="{8A8CAB7F-F596-4521-9365-DD6C40A7CE66}"/>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0BF0441E-323A-4B92-A0C3-623D379064BA}"/>
    <cellStyle name="Normal 5 10 2 3" xfId="12385" xr:uid="{5DA19767-C13F-4945-8D73-2955E341B99D}"/>
    <cellStyle name="Normal 5 10 3" xfId="6019" xr:uid="{00000000-0005-0000-0000-0000E2160000}"/>
    <cellStyle name="Normal 5 10 3 2" xfId="14458" xr:uid="{2933E637-4EFE-43DC-BF34-ADB525673BC1}"/>
    <cellStyle name="Normal 5 10 4" xfId="10240" xr:uid="{637B6385-FCBD-4A2D-91AB-E207BE5F47A8}"/>
    <cellStyle name="Normal 5 11" xfId="2125" xr:uid="{00000000-0005-0000-0000-0000E3160000}"/>
    <cellStyle name="Normal 5 11 2" xfId="4354" xr:uid="{00000000-0005-0000-0000-0000E4160000}"/>
    <cellStyle name="Normal 5 11 2 2" xfId="8577" xr:uid="{00000000-0005-0000-0000-0000E5160000}"/>
    <cellStyle name="Normal 5 11 2 2 2" xfId="17016" xr:uid="{29993979-1CB9-4C72-A695-5DEB742121E5}"/>
    <cellStyle name="Normal 5 11 2 3" xfId="12798" xr:uid="{130A454A-EB6C-4A3C-8395-570841200D2E}"/>
    <cellStyle name="Normal 5 11 3" xfId="6432" xr:uid="{00000000-0005-0000-0000-0000E6160000}"/>
    <cellStyle name="Normal 5 11 3 2" xfId="14871" xr:uid="{492BD2EE-CA3B-4F9C-BE2F-B2BC76076C4B}"/>
    <cellStyle name="Normal 5 11 4" xfId="10653" xr:uid="{71E9E735-C937-4862-BC15-9C00C7A33E74}"/>
    <cellStyle name="Normal 5 12" xfId="2561" xr:uid="{00000000-0005-0000-0000-0000E7160000}"/>
    <cellStyle name="Normal 5 12 2" xfId="6845" xr:uid="{00000000-0005-0000-0000-0000E8160000}"/>
    <cellStyle name="Normal 5 12 2 2" xfId="15284" xr:uid="{22D7B0FF-9BFB-4A44-A5E1-55ABE09D7425}"/>
    <cellStyle name="Normal 5 12 3" xfId="11066" xr:uid="{FCAE2E46-E96D-47D5-A56E-74248EC47E5D}"/>
    <cellStyle name="Normal 5 13" xfId="4780" xr:uid="{00000000-0005-0000-0000-0000E9160000}"/>
    <cellStyle name="Normal 5 13 2" xfId="13219" xr:uid="{8BB4C7B9-84F4-4FD1-8B54-12290A21B623}"/>
    <cellStyle name="Normal 5 14" xfId="9001" xr:uid="{17BC202D-6433-4B4E-AB15-699C09AD8F48}"/>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D603A627-75F6-4B07-B484-A71018384D29}"/>
    <cellStyle name="Normal 5 2 10 2 3" xfId="12799" xr:uid="{3DE4BF05-48BA-4414-BA6F-E0345DE2FB2F}"/>
    <cellStyle name="Normal 5 2 10 3" xfId="6433" xr:uid="{00000000-0005-0000-0000-0000EE160000}"/>
    <cellStyle name="Normal 5 2 10 3 2" xfId="14872" xr:uid="{1AB9CC27-B2A0-4B0F-B7B8-A001126E0EA3}"/>
    <cellStyle name="Normal 5 2 10 4" xfId="10654" xr:uid="{6EC04BE1-5218-4FD9-8AA0-B8B3A9250A82}"/>
    <cellStyle name="Normal 5 2 11" xfId="2562" xr:uid="{00000000-0005-0000-0000-0000EF160000}"/>
    <cellStyle name="Normal 5 2 11 2" xfId="6846" xr:uid="{00000000-0005-0000-0000-0000F0160000}"/>
    <cellStyle name="Normal 5 2 11 2 2" xfId="15285" xr:uid="{BACA0F71-D0EB-4FEB-925E-B46D10E65A62}"/>
    <cellStyle name="Normal 5 2 11 3" xfId="11067" xr:uid="{F4365DB1-FCA9-467C-BE2F-D1F114EFAEA2}"/>
    <cellStyle name="Normal 5 2 12" xfId="4781" xr:uid="{00000000-0005-0000-0000-0000F1160000}"/>
    <cellStyle name="Normal 5 2 12 2" xfId="13220" xr:uid="{37311C06-52B9-4897-8846-51F8DE142249}"/>
    <cellStyle name="Normal 5 2 13" xfId="9002" xr:uid="{BF2240EF-3010-441E-8A19-46412F443723}"/>
    <cellStyle name="Normal 5 2 2" xfId="408" xr:uid="{00000000-0005-0000-0000-0000F2160000}"/>
    <cellStyle name="Normal 5 2 2 10" xfId="2563" xr:uid="{00000000-0005-0000-0000-0000F3160000}"/>
    <cellStyle name="Normal 5 2 2 10 2" xfId="6847" xr:uid="{00000000-0005-0000-0000-0000F4160000}"/>
    <cellStyle name="Normal 5 2 2 10 2 2" xfId="15286" xr:uid="{FD2406A4-EC42-4A37-B452-5CC5A8EEAA80}"/>
    <cellStyle name="Normal 5 2 2 10 3" xfId="11068" xr:uid="{9468FB11-3DBB-41B8-B1EA-586EA879E296}"/>
    <cellStyle name="Normal 5 2 2 11" xfId="4782" xr:uid="{00000000-0005-0000-0000-0000F5160000}"/>
    <cellStyle name="Normal 5 2 2 11 2" xfId="13221" xr:uid="{9C916B42-0F72-4975-94BB-D2A50AF3DF1C}"/>
    <cellStyle name="Normal 5 2 2 12" xfId="9003" xr:uid="{606B72B9-8C4D-4B55-9538-5D5A29A89B95}"/>
    <cellStyle name="Normal 5 2 2 2" xfId="409" xr:uid="{00000000-0005-0000-0000-0000F6160000}"/>
    <cellStyle name="Normal 5 2 2 2 10" xfId="4783" xr:uid="{00000000-0005-0000-0000-0000F7160000}"/>
    <cellStyle name="Normal 5 2 2 2 10 2" xfId="13222" xr:uid="{607C8EF0-7731-4C84-B9D4-616997D32DCB}"/>
    <cellStyle name="Normal 5 2 2 2 11" xfId="9004" xr:uid="{4146A7FD-55F7-48D3-90AA-A7860FA43FF8}"/>
    <cellStyle name="Normal 5 2 2 2 2" xfId="410" xr:uid="{00000000-0005-0000-0000-0000F8160000}"/>
    <cellStyle name="Normal 5 2 2 2 2 10" xfId="9005" xr:uid="{1BF1B2DC-B3FD-41F1-9352-739EFF9BEA86}"/>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64D98CEB-ACF2-4A4F-858E-85CAF3E5E535}"/>
    <cellStyle name="Normal 5 2 2 2 2 2 2 2 2 3" xfId="11565" xr:uid="{A9738D19-CD80-45BB-98AB-9EAF37307107}"/>
    <cellStyle name="Normal 5 2 2 2 2 2 2 2 3" xfId="5199" xr:uid="{00000000-0005-0000-0000-0000FE160000}"/>
    <cellStyle name="Normal 5 2 2 2 2 2 2 2 3 2" xfId="13638" xr:uid="{9F196906-7704-4877-B2E2-BB0083F313B2}"/>
    <cellStyle name="Normal 5 2 2 2 2 2 2 2 4" xfId="9420" xr:uid="{B16DC5A2-5213-419F-99EA-CD23DCFC9E2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27AE7DE3-13A2-4DD0-8B71-0E129EB99951}"/>
    <cellStyle name="Normal 5 2 2 2 2 2 2 3 2 3" xfId="11978" xr:uid="{E3568CF1-DBF3-44A3-A4A3-3F931DB94E86}"/>
    <cellStyle name="Normal 5 2 2 2 2 2 2 3 3" xfId="5612" xr:uid="{00000000-0005-0000-0000-000002170000}"/>
    <cellStyle name="Normal 5 2 2 2 2 2 2 3 3 2" xfId="14051" xr:uid="{1C19D239-D32D-4A86-B3C6-069CB4F7A0AE}"/>
    <cellStyle name="Normal 5 2 2 2 2 2 2 3 4" xfId="9833" xr:uid="{DBCED6C5-8282-4954-8020-EAA03FFEE1E1}"/>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948C69CB-CA0C-4AD8-9D5B-4E54C6FB2CA3}"/>
    <cellStyle name="Normal 5 2 2 2 2 2 2 4 2 3" xfId="12391" xr:uid="{B3BA85FA-D385-4737-9EDC-58EC6CA814A6}"/>
    <cellStyle name="Normal 5 2 2 2 2 2 2 4 3" xfId="6025" xr:uid="{00000000-0005-0000-0000-000006170000}"/>
    <cellStyle name="Normal 5 2 2 2 2 2 2 4 3 2" xfId="14464" xr:uid="{5CD2AFDE-C52E-448B-AB88-4F237699E167}"/>
    <cellStyle name="Normal 5 2 2 2 2 2 2 4 4" xfId="10246" xr:uid="{28A2A28A-2D21-4CEE-8A0B-812DAC8CFE4B}"/>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537AF8EB-2459-4348-8916-83E4620FE7B5}"/>
    <cellStyle name="Normal 5 2 2 2 2 2 2 5 2 3" xfId="12804" xr:uid="{651826BA-FB79-4C66-9893-27B054FDB02D}"/>
    <cellStyle name="Normal 5 2 2 2 2 2 2 5 3" xfId="6438" xr:uid="{00000000-0005-0000-0000-00000A170000}"/>
    <cellStyle name="Normal 5 2 2 2 2 2 2 5 3 2" xfId="14877" xr:uid="{E8B5EDD5-D26D-4C37-9345-6B1FE931E5C7}"/>
    <cellStyle name="Normal 5 2 2 2 2 2 2 5 4" xfId="10659" xr:uid="{A9638F90-D9E7-47E3-A175-987E19413CD6}"/>
    <cellStyle name="Normal 5 2 2 2 2 2 2 6" xfId="2567" xr:uid="{00000000-0005-0000-0000-00000B170000}"/>
    <cellStyle name="Normal 5 2 2 2 2 2 2 6 2" xfId="6851" xr:uid="{00000000-0005-0000-0000-00000C170000}"/>
    <cellStyle name="Normal 5 2 2 2 2 2 2 6 2 2" xfId="15290" xr:uid="{D494DCDB-1A81-4DE8-99BA-0B164D6FBB25}"/>
    <cellStyle name="Normal 5 2 2 2 2 2 2 6 3" xfId="11072" xr:uid="{A86E8B14-E46E-4829-AE22-8BD8F3462056}"/>
    <cellStyle name="Normal 5 2 2 2 2 2 2 7" xfId="4786" xr:uid="{00000000-0005-0000-0000-00000D170000}"/>
    <cellStyle name="Normal 5 2 2 2 2 2 2 7 2" xfId="13225" xr:uid="{B2D599D0-6065-42AF-985D-AC24506E7C94}"/>
    <cellStyle name="Normal 5 2 2 2 2 2 2 8" xfId="9007" xr:uid="{C656C3DE-B89F-484C-896A-D70B5DD3F47F}"/>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7109A3EF-FF81-4D1B-8F8E-A7E94494211D}"/>
    <cellStyle name="Normal 5 2 2 2 2 2 3 2 3" xfId="11564" xr:uid="{5513F479-C923-49E5-834C-754DAC5931B2}"/>
    <cellStyle name="Normal 5 2 2 2 2 2 3 3" xfId="5198" xr:uid="{00000000-0005-0000-0000-000011170000}"/>
    <cellStyle name="Normal 5 2 2 2 2 2 3 3 2" xfId="13637" xr:uid="{DDDED8D8-079C-44ED-8AAC-748A7D8E2349}"/>
    <cellStyle name="Normal 5 2 2 2 2 2 3 4" xfId="9419" xr:uid="{D3F417AB-5958-4C28-A4FD-C9916F68081F}"/>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23C89DF7-2349-4FB1-8446-931DB36F0EF7}"/>
    <cellStyle name="Normal 5 2 2 2 2 2 4 2 3" xfId="11977" xr:uid="{1D7C7DE4-50C3-430A-8DFF-6AE7204EAE5B}"/>
    <cellStyle name="Normal 5 2 2 2 2 2 4 3" xfId="5611" xr:uid="{00000000-0005-0000-0000-000015170000}"/>
    <cellStyle name="Normal 5 2 2 2 2 2 4 3 2" xfId="14050" xr:uid="{CE771EF8-2833-4831-AA15-D04EFCA8DB38}"/>
    <cellStyle name="Normal 5 2 2 2 2 2 4 4" xfId="9832" xr:uid="{CC9EECD8-E4F1-42F4-9013-000EE72F5A96}"/>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48691068-1C52-4C4A-B45F-C562F6FD4E1D}"/>
    <cellStyle name="Normal 5 2 2 2 2 2 5 2 3" xfId="12390" xr:uid="{4C90FB73-9504-4C6E-A8DF-424C67EE1E55}"/>
    <cellStyle name="Normal 5 2 2 2 2 2 5 3" xfId="6024" xr:uid="{00000000-0005-0000-0000-000019170000}"/>
    <cellStyle name="Normal 5 2 2 2 2 2 5 3 2" xfId="14463" xr:uid="{E68AD94A-AA3F-4DF6-81E0-8C5E1E450C8D}"/>
    <cellStyle name="Normal 5 2 2 2 2 2 5 4" xfId="10245" xr:uid="{878DDA75-82D5-4B29-8E42-15764EC10F6D}"/>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655834A7-A96C-4C7E-A6AF-B7EF167A6FE1}"/>
    <cellStyle name="Normal 5 2 2 2 2 2 6 2 3" xfId="12803" xr:uid="{47FA7EC7-51E1-4F9B-8C0F-7F74064155A6}"/>
    <cellStyle name="Normal 5 2 2 2 2 2 6 3" xfId="6437" xr:uid="{00000000-0005-0000-0000-00001D170000}"/>
    <cellStyle name="Normal 5 2 2 2 2 2 6 3 2" xfId="14876" xr:uid="{FE54C0D9-3A22-403E-B65D-02875069CECE}"/>
    <cellStyle name="Normal 5 2 2 2 2 2 6 4" xfId="10658" xr:uid="{3B97C03E-21EE-4ECD-91A3-1A3E6ADD6D9E}"/>
    <cellStyle name="Normal 5 2 2 2 2 2 7" xfId="2566" xr:uid="{00000000-0005-0000-0000-00001E170000}"/>
    <cellStyle name="Normal 5 2 2 2 2 2 7 2" xfId="6850" xr:uid="{00000000-0005-0000-0000-00001F170000}"/>
    <cellStyle name="Normal 5 2 2 2 2 2 7 2 2" xfId="15289" xr:uid="{70A25B80-1F83-4D24-A5FB-9AA4CF3E4B12}"/>
    <cellStyle name="Normal 5 2 2 2 2 2 7 3" xfId="11071" xr:uid="{7964074B-782D-4763-8A6E-2EE183EC89BB}"/>
    <cellStyle name="Normal 5 2 2 2 2 2 8" xfId="4785" xr:uid="{00000000-0005-0000-0000-000020170000}"/>
    <cellStyle name="Normal 5 2 2 2 2 2 8 2" xfId="13224" xr:uid="{6EA871FD-FD02-4AE0-9EFC-AEA9F8F61833}"/>
    <cellStyle name="Normal 5 2 2 2 2 2 9" xfId="9006" xr:uid="{F60783A7-5E41-49D6-9CCB-D4037D58E086}"/>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361EF8AA-FB0F-4FE9-9315-256B33A8AC83}"/>
    <cellStyle name="Normal 5 2 2 2 2 3 2 2 3" xfId="11566" xr:uid="{4148F115-28CC-4F5B-859D-4CDDC7DD151B}"/>
    <cellStyle name="Normal 5 2 2 2 2 3 2 3" xfId="5200" xr:uid="{00000000-0005-0000-0000-000025170000}"/>
    <cellStyle name="Normal 5 2 2 2 2 3 2 3 2" xfId="13639" xr:uid="{7DC67CAC-48D0-4B63-906A-657751381208}"/>
    <cellStyle name="Normal 5 2 2 2 2 3 2 4" xfId="9421" xr:uid="{598B9F26-2838-44AB-B87A-18067763CB6F}"/>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3FEBC882-2075-4646-A6FE-FDCFFFB8CABD}"/>
    <cellStyle name="Normal 5 2 2 2 2 3 3 2 3" xfId="11979" xr:uid="{B77CF097-90C3-4A07-AC86-BAE5871A258B}"/>
    <cellStyle name="Normal 5 2 2 2 2 3 3 3" xfId="5613" xr:uid="{00000000-0005-0000-0000-000029170000}"/>
    <cellStyle name="Normal 5 2 2 2 2 3 3 3 2" xfId="14052" xr:uid="{19EBF0A2-00C9-4D1E-AE6C-313E2FC933BF}"/>
    <cellStyle name="Normal 5 2 2 2 2 3 3 4" xfId="9834" xr:uid="{497F0BDB-68E8-4202-8F18-B18510262AED}"/>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9EF5518D-8693-4BA3-8343-71392C3776F7}"/>
    <cellStyle name="Normal 5 2 2 2 2 3 4 2 3" xfId="12392" xr:uid="{5C6D3C95-1419-4DB7-8FAA-C59C4E6AB544}"/>
    <cellStyle name="Normal 5 2 2 2 2 3 4 3" xfId="6026" xr:uid="{00000000-0005-0000-0000-00002D170000}"/>
    <cellStyle name="Normal 5 2 2 2 2 3 4 3 2" xfId="14465" xr:uid="{26BC1F5B-9EA6-4171-A96B-0C2715403641}"/>
    <cellStyle name="Normal 5 2 2 2 2 3 4 4" xfId="10247" xr:uid="{7A05CF3A-768C-4AA1-8303-4D8FCB783FBF}"/>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F2CACCE1-1AA4-44BE-9236-5986C7A02BA5}"/>
    <cellStyle name="Normal 5 2 2 2 2 3 5 2 3" xfId="12805" xr:uid="{F15E82E4-D50E-45AF-A689-1BB175A599C7}"/>
    <cellStyle name="Normal 5 2 2 2 2 3 5 3" xfId="6439" xr:uid="{00000000-0005-0000-0000-000031170000}"/>
    <cellStyle name="Normal 5 2 2 2 2 3 5 3 2" xfId="14878" xr:uid="{30CB49D4-0D41-4B8F-81E9-9EA66DBED5E6}"/>
    <cellStyle name="Normal 5 2 2 2 2 3 5 4" xfId="10660" xr:uid="{2466CAB2-7833-4196-A5B7-FD0EA99EB60B}"/>
    <cellStyle name="Normal 5 2 2 2 2 3 6" xfId="2568" xr:uid="{00000000-0005-0000-0000-000032170000}"/>
    <cellStyle name="Normal 5 2 2 2 2 3 6 2" xfId="6852" xr:uid="{00000000-0005-0000-0000-000033170000}"/>
    <cellStyle name="Normal 5 2 2 2 2 3 6 2 2" xfId="15291" xr:uid="{FE983CDC-8D29-46D5-9761-D3A8BD07DF0D}"/>
    <cellStyle name="Normal 5 2 2 2 2 3 6 3" xfId="11073" xr:uid="{7E45CAA9-51D8-421C-B9AC-3D7A35B4B607}"/>
    <cellStyle name="Normal 5 2 2 2 2 3 7" xfId="4787" xr:uid="{00000000-0005-0000-0000-000034170000}"/>
    <cellStyle name="Normal 5 2 2 2 2 3 7 2" xfId="13226" xr:uid="{DBC779C3-ECB2-4E12-A120-05360A1BECCA}"/>
    <cellStyle name="Normal 5 2 2 2 2 3 8" xfId="9008" xr:uid="{CE67228C-8F5D-4538-BC90-889386C6EE9D}"/>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619FD78F-1FCB-4ECD-8149-5F9079849E15}"/>
    <cellStyle name="Normal 5 2 2 2 2 4 2 3" xfId="11563" xr:uid="{ECC9C884-8892-4C3D-B12C-95867CE53454}"/>
    <cellStyle name="Normal 5 2 2 2 2 4 3" xfId="5197" xr:uid="{00000000-0005-0000-0000-000038170000}"/>
    <cellStyle name="Normal 5 2 2 2 2 4 3 2" xfId="13636" xr:uid="{E6ADB191-D599-4168-BCB3-7A31369D0AF2}"/>
    <cellStyle name="Normal 5 2 2 2 2 4 4" xfId="9418" xr:uid="{55230CB3-552A-4522-9772-428956B186D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93F3FBDF-657B-4CFB-AEB1-A0A02BE4C009}"/>
    <cellStyle name="Normal 5 2 2 2 2 5 2 3" xfId="11976" xr:uid="{21698BA4-0BB5-4076-AF84-D67B3EFB2058}"/>
    <cellStyle name="Normal 5 2 2 2 2 5 3" xfId="5610" xr:uid="{00000000-0005-0000-0000-00003C170000}"/>
    <cellStyle name="Normal 5 2 2 2 2 5 3 2" xfId="14049" xr:uid="{0BB15FD0-7BDB-4A40-8891-C153D01BB3A1}"/>
    <cellStyle name="Normal 5 2 2 2 2 5 4" xfId="9831" xr:uid="{F020A891-10F5-42A3-BA53-75B7511A034F}"/>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CD01015D-F6BA-4C8E-9EBB-0A512B7AFDD2}"/>
    <cellStyle name="Normal 5 2 2 2 2 6 2 3" xfId="12389" xr:uid="{06881031-2877-4F96-8309-66098D9E9BD5}"/>
    <cellStyle name="Normal 5 2 2 2 2 6 3" xfId="6023" xr:uid="{00000000-0005-0000-0000-000040170000}"/>
    <cellStyle name="Normal 5 2 2 2 2 6 3 2" xfId="14462" xr:uid="{F4655E6D-C40C-4A54-B16C-E81F4FEB864E}"/>
    <cellStyle name="Normal 5 2 2 2 2 6 4" xfId="10244" xr:uid="{F479253A-D41D-4CD1-A4E3-7C9BC77FC946}"/>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D47C9576-F6BE-4AD0-BF7D-D00B3DA11727}"/>
    <cellStyle name="Normal 5 2 2 2 2 7 2 3" xfId="12802" xr:uid="{115FB580-FF66-4DEB-A953-C5AD665E96FE}"/>
    <cellStyle name="Normal 5 2 2 2 2 7 3" xfId="6436" xr:uid="{00000000-0005-0000-0000-000044170000}"/>
    <cellStyle name="Normal 5 2 2 2 2 7 3 2" xfId="14875" xr:uid="{FEE506B9-793D-4AA3-9D27-1E9702A1F632}"/>
    <cellStyle name="Normal 5 2 2 2 2 7 4" xfId="10657" xr:uid="{2369B80F-DFA6-4713-BA38-9142EC4D0D02}"/>
    <cellStyle name="Normal 5 2 2 2 2 8" xfId="2565" xr:uid="{00000000-0005-0000-0000-000045170000}"/>
    <cellStyle name="Normal 5 2 2 2 2 8 2" xfId="6849" xr:uid="{00000000-0005-0000-0000-000046170000}"/>
    <cellStyle name="Normal 5 2 2 2 2 8 2 2" xfId="15288" xr:uid="{526981FF-9944-40B4-8875-1E3445AF6F30}"/>
    <cellStyle name="Normal 5 2 2 2 2 8 3" xfId="11070" xr:uid="{845FC30F-39D6-447A-B48F-1FED15B80041}"/>
    <cellStyle name="Normal 5 2 2 2 2 9" xfId="4784" xr:uid="{00000000-0005-0000-0000-000047170000}"/>
    <cellStyle name="Normal 5 2 2 2 2 9 2" xfId="13223" xr:uid="{DC2F5F9E-9023-42FF-9C04-DF639DAE48A7}"/>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65E5B24A-0CB6-4A66-92D4-680FE06ED727}"/>
    <cellStyle name="Normal 5 2 2 2 3 2 2 2 3" xfId="11568" xr:uid="{D0BD7E60-E746-4204-ACD4-2F07D82C355B}"/>
    <cellStyle name="Normal 5 2 2 2 3 2 2 3" xfId="5202" xr:uid="{00000000-0005-0000-0000-00004D170000}"/>
    <cellStyle name="Normal 5 2 2 2 3 2 2 3 2" xfId="13641" xr:uid="{73DB8758-50FC-4478-923A-4B6B942BD39B}"/>
    <cellStyle name="Normal 5 2 2 2 3 2 2 4" xfId="9423" xr:uid="{3ED6CB9F-1606-4372-AE83-E0E4DBA5DC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68218423-EF4C-421E-9458-593226C7DFA5}"/>
    <cellStyle name="Normal 5 2 2 2 3 2 3 2 3" xfId="11981" xr:uid="{845A79BD-6ECA-4E74-B35E-973FA7CDE621}"/>
    <cellStyle name="Normal 5 2 2 2 3 2 3 3" xfId="5615" xr:uid="{00000000-0005-0000-0000-000051170000}"/>
    <cellStyle name="Normal 5 2 2 2 3 2 3 3 2" xfId="14054" xr:uid="{7C0B7236-21D3-4672-9B2D-E18BD2F130AB}"/>
    <cellStyle name="Normal 5 2 2 2 3 2 3 4" xfId="9836" xr:uid="{84C24ED7-C809-4871-A866-F42853D0B581}"/>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C17CE104-E380-410B-AC98-5F97110003D8}"/>
    <cellStyle name="Normal 5 2 2 2 3 2 4 2 3" xfId="12394" xr:uid="{C7BAD104-B6FE-4391-B059-AC134B421D26}"/>
    <cellStyle name="Normal 5 2 2 2 3 2 4 3" xfId="6028" xr:uid="{00000000-0005-0000-0000-000055170000}"/>
    <cellStyle name="Normal 5 2 2 2 3 2 4 3 2" xfId="14467" xr:uid="{806A4E14-E4B6-4803-8068-5EBB804DD749}"/>
    <cellStyle name="Normal 5 2 2 2 3 2 4 4" xfId="10249" xr:uid="{76038C55-BD93-49D6-A2C4-F6C2F411AFB4}"/>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48FF7ECF-DE71-466E-9192-426EEBEFC833}"/>
    <cellStyle name="Normal 5 2 2 2 3 2 5 2 3" xfId="12807" xr:uid="{FE487242-EEB5-43EC-AAA8-BE5A654D4EE9}"/>
    <cellStyle name="Normal 5 2 2 2 3 2 5 3" xfId="6441" xr:uid="{00000000-0005-0000-0000-000059170000}"/>
    <cellStyle name="Normal 5 2 2 2 3 2 5 3 2" xfId="14880" xr:uid="{71401E55-4065-4A10-ADF5-C261BBB22CA5}"/>
    <cellStyle name="Normal 5 2 2 2 3 2 5 4" xfId="10662" xr:uid="{A2A6C731-7D88-45F8-AAB9-A76965109965}"/>
    <cellStyle name="Normal 5 2 2 2 3 2 6" xfId="2570" xr:uid="{00000000-0005-0000-0000-00005A170000}"/>
    <cellStyle name="Normal 5 2 2 2 3 2 6 2" xfId="6854" xr:uid="{00000000-0005-0000-0000-00005B170000}"/>
    <cellStyle name="Normal 5 2 2 2 3 2 6 2 2" xfId="15293" xr:uid="{C995655A-0DCD-45ED-8451-A3DF40FD6501}"/>
    <cellStyle name="Normal 5 2 2 2 3 2 6 3" xfId="11075" xr:uid="{DA38A8A9-E84E-4C85-A21D-95C85C39ED8F}"/>
    <cellStyle name="Normal 5 2 2 2 3 2 7" xfId="4789" xr:uid="{00000000-0005-0000-0000-00005C170000}"/>
    <cellStyle name="Normal 5 2 2 2 3 2 7 2" xfId="13228" xr:uid="{0E9B5FCE-EE4F-4DD8-958A-956AA29EC704}"/>
    <cellStyle name="Normal 5 2 2 2 3 2 8" xfId="9010" xr:uid="{AB838C6F-9992-4AE7-A46A-1E58AD4C1D02}"/>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31725C6A-5FF1-46E7-AAE5-9B7FE989493B}"/>
    <cellStyle name="Normal 5 2 2 2 3 3 2 3" xfId="11567" xr:uid="{3DCEC632-53CF-4568-A9FB-B59D552C0D0B}"/>
    <cellStyle name="Normal 5 2 2 2 3 3 3" xfId="5201" xr:uid="{00000000-0005-0000-0000-000060170000}"/>
    <cellStyle name="Normal 5 2 2 2 3 3 3 2" xfId="13640" xr:uid="{72C03E65-D267-4DB1-B6DB-F5EC5A427831}"/>
    <cellStyle name="Normal 5 2 2 2 3 3 4" xfId="9422" xr:uid="{EB640D02-A46C-4E01-831B-E4BC47EC990D}"/>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0AFE0E8E-5830-4E34-8E13-0275E3BC1DD4}"/>
    <cellStyle name="Normal 5 2 2 2 3 4 2 3" xfId="11980" xr:uid="{F630BE36-1074-4238-A9C9-CF0AE8575FA7}"/>
    <cellStyle name="Normal 5 2 2 2 3 4 3" xfId="5614" xr:uid="{00000000-0005-0000-0000-000064170000}"/>
    <cellStyle name="Normal 5 2 2 2 3 4 3 2" xfId="14053" xr:uid="{BC142BFD-5CDF-4397-AD30-31A7F9A1F407}"/>
    <cellStyle name="Normal 5 2 2 2 3 4 4" xfId="9835" xr:uid="{DE9D64D3-273F-44B1-A89F-A6A337C574A3}"/>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F86E8938-57B6-4BA1-816E-1920C31C1766}"/>
    <cellStyle name="Normal 5 2 2 2 3 5 2 3" xfId="12393" xr:uid="{F871CF83-2575-4489-8AF5-297561DA44A5}"/>
    <cellStyle name="Normal 5 2 2 2 3 5 3" xfId="6027" xr:uid="{00000000-0005-0000-0000-000068170000}"/>
    <cellStyle name="Normal 5 2 2 2 3 5 3 2" xfId="14466" xr:uid="{18D87305-EF98-4C7D-BE4C-C60A0F2A9D1F}"/>
    <cellStyle name="Normal 5 2 2 2 3 5 4" xfId="10248" xr:uid="{ADC08475-7772-458B-B727-DC90011B73D5}"/>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5B71ACD5-7046-4249-BDF0-53651ECA895A}"/>
    <cellStyle name="Normal 5 2 2 2 3 6 2 3" xfId="12806" xr:uid="{EA4A8575-334A-4990-81FA-784BBD6B07AC}"/>
    <cellStyle name="Normal 5 2 2 2 3 6 3" xfId="6440" xr:uid="{00000000-0005-0000-0000-00006C170000}"/>
    <cellStyle name="Normal 5 2 2 2 3 6 3 2" xfId="14879" xr:uid="{9C80102D-66AF-4072-904A-7AFD7C43EDB4}"/>
    <cellStyle name="Normal 5 2 2 2 3 6 4" xfId="10661" xr:uid="{51672ECB-407D-44A2-9F4F-21BDD1D4FFEE}"/>
    <cellStyle name="Normal 5 2 2 2 3 7" xfId="2569" xr:uid="{00000000-0005-0000-0000-00006D170000}"/>
    <cellStyle name="Normal 5 2 2 2 3 7 2" xfId="6853" xr:uid="{00000000-0005-0000-0000-00006E170000}"/>
    <cellStyle name="Normal 5 2 2 2 3 7 2 2" xfId="15292" xr:uid="{0C9A5589-7485-4688-9443-88D4EECC3EC3}"/>
    <cellStyle name="Normal 5 2 2 2 3 7 3" xfId="11074" xr:uid="{BDEB9791-66B3-4CBE-A936-1817BB29C3EA}"/>
    <cellStyle name="Normal 5 2 2 2 3 8" xfId="4788" xr:uid="{00000000-0005-0000-0000-00006F170000}"/>
    <cellStyle name="Normal 5 2 2 2 3 8 2" xfId="13227" xr:uid="{DD4EFF74-9B83-45EF-8095-442EF4515B41}"/>
    <cellStyle name="Normal 5 2 2 2 3 9" xfId="9009" xr:uid="{7C470B80-DACC-47BE-9ACD-2E94F26DA99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889DB7DF-CA12-42F5-9718-7700341FE9A2}"/>
    <cellStyle name="Normal 5 2 2 2 4 2 2 3" xfId="11569" xr:uid="{688CC66A-63A7-4A4E-8CE1-99371BA8CAE4}"/>
    <cellStyle name="Normal 5 2 2 2 4 2 3" xfId="5203" xr:uid="{00000000-0005-0000-0000-000074170000}"/>
    <cellStyle name="Normal 5 2 2 2 4 2 3 2" xfId="13642" xr:uid="{1B4C0310-FF26-4A93-B064-19245CB266FD}"/>
    <cellStyle name="Normal 5 2 2 2 4 2 4" xfId="9424" xr:uid="{8BEF7CF5-01C0-439F-BFB2-93C0E814C0D5}"/>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F2A5A73A-2EBA-47F9-983B-825AB2753C89}"/>
    <cellStyle name="Normal 5 2 2 2 4 3 2 3" xfId="11982" xr:uid="{78D12F68-3B6B-4916-8283-8FC0A9D92F1D}"/>
    <cellStyle name="Normal 5 2 2 2 4 3 3" xfId="5616" xr:uid="{00000000-0005-0000-0000-000078170000}"/>
    <cellStyle name="Normal 5 2 2 2 4 3 3 2" xfId="14055" xr:uid="{BD7B92DE-4D4D-4918-AB86-6BE0AD34BDDE}"/>
    <cellStyle name="Normal 5 2 2 2 4 3 4" xfId="9837" xr:uid="{99A53ECC-2B79-4BBF-887E-591AC6955A1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3368639F-7258-4B26-B6CD-FEEA7EC11C70}"/>
    <cellStyle name="Normal 5 2 2 2 4 4 2 3" xfId="12395" xr:uid="{FD7FD60E-7D44-4C68-8D0E-4249DCEFC7C1}"/>
    <cellStyle name="Normal 5 2 2 2 4 4 3" xfId="6029" xr:uid="{00000000-0005-0000-0000-00007C170000}"/>
    <cellStyle name="Normal 5 2 2 2 4 4 3 2" xfId="14468" xr:uid="{6928BEA6-704C-472B-9FB6-E71FEC20B248}"/>
    <cellStyle name="Normal 5 2 2 2 4 4 4" xfId="10250" xr:uid="{B0797497-32ED-4611-A64D-8C366E663908}"/>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A54255A7-1B04-4BF2-8270-CFE06B7BC3D1}"/>
    <cellStyle name="Normal 5 2 2 2 4 5 2 3" xfId="12808" xr:uid="{C39C76FC-6A0F-45B5-AD4F-2BED70705D31}"/>
    <cellStyle name="Normal 5 2 2 2 4 5 3" xfId="6442" xr:uid="{00000000-0005-0000-0000-000080170000}"/>
    <cellStyle name="Normal 5 2 2 2 4 5 3 2" xfId="14881" xr:uid="{705586CB-2445-410E-A0AB-3A7AF070D9C4}"/>
    <cellStyle name="Normal 5 2 2 2 4 5 4" xfId="10663" xr:uid="{F33A1E47-494A-4182-8CC3-51F9C853096B}"/>
    <cellStyle name="Normal 5 2 2 2 4 6" xfId="2571" xr:uid="{00000000-0005-0000-0000-000081170000}"/>
    <cellStyle name="Normal 5 2 2 2 4 6 2" xfId="6855" xr:uid="{00000000-0005-0000-0000-000082170000}"/>
    <cellStyle name="Normal 5 2 2 2 4 6 2 2" xfId="15294" xr:uid="{4D3A7CCC-21A2-4010-ACC3-E772B1E72B35}"/>
    <cellStyle name="Normal 5 2 2 2 4 6 3" xfId="11076" xr:uid="{385CE938-09E6-492C-A2C9-BDE58BCF2914}"/>
    <cellStyle name="Normal 5 2 2 2 4 7" xfId="4790" xr:uid="{00000000-0005-0000-0000-000083170000}"/>
    <cellStyle name="Normal 5 2 2 2 4 7 2" xfId="13229" xr:uid="{F1454705-4763-4479-BFA6-66AA3306CC68}"/>
    <cellStyle name="Normal 5 2 2 2 4 8" xfId="9011" xr:uid="{0AE59287-B648-4D4C-A98D-A267DC4C8F25}"/>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D48EC0E9-8242-4252-A901-B7B66F6AACE8}"/>
    <cellStyle name="Normal 5 2 2 2 5 2 3" xfId="11562" xr:uid="{B7C69AAF-2DBA-4D44-B141-C196262D3CCA}"/>
    <cellStyle name="Normal 5 2 2 2 5 3" xfId="5196" xr:uid="{00000000-0005-0000-0000-000087170000}"/>
    <cellStyle name="Normal 5 2 2 2 5 3 2" xfId="13635" xr:uid="{018CA042-318A-4702-AA83-E41E1E8A9232}"/>
    <cellStyle name="Normal 5 2 2 2 5 4" xfId="9417" xr:uid="{BB76F4D8-959E-43D7-9767-F5EB0D34DB1B}"/>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0EB990F6-ED7A-4A45-9429-4E2E4ED4C3D6}"/>
    <cellStyle name="Normal 5 2 2 2 6 2 3" xfId="11975" xr:uid="{66A4F34D-00FC-428D-AFC3-C9658735232A}"/>
    <cellStyle name="Normal 5 2 2 2 6 3" xfId="5609" xr:uid="{00000000-0005-0000-0000-00008B170000}"/>
    <cellStyle name="Normal 5 2 2 2 6 3 2" xfId="14048" xr:uid="{59809A7A-D175-4A5A-9D1E-3A8E9A60D0B2}"/>
    <cellStyle name="Normal 5 2 2 2 6 4" xfId="9830" xr:uid="{E2D9DB0B-8797-43A3-8DEE-E21925A1C6FE}"/>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B60EA54F-FA3B-423E-9402-B51DC3C03575}"/>
    <cellStyle name="Normal 5 2 2 2 7 2 3" xfId="12388" xr:uid="{2CCF594C-F07B-4051-8A6A-3404DB3259F0}"/>
    <cellStyle name="Normal 5 2 2 2 7 3" xfId="6022" xr:uid="{00000000-0005-0000-0000-00008F170000}"/>
    <cellStyle name="Normal 5 2 2 2 7 3 2" xfId="14461" xr:uid="{396CB2CB-E1A1-4A33-8D0F-82FD473155E0}"/>
    <cellStyle name="Normal 5 2 2 2 7 4" xfId="10243" xr:uid="{2010C259-B9CC-4995-87DE-2872DB87737A}"/>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9BF8AC17-D0F9-46D6-9DD4-DC0E11AAB22A}"/>
    <cellStyle name="Normal 5 2 2 2 8 2 3" xfId="12801" xr:uid="{4236A39A-FE8B-4043-A207-1809AF7556D1}"/>
    <cellStyle name="Normal 5 2 2 2 8 3" xfId="6435" xr:uid="{00000000-0005-0000-0000-000093170000}"/>
    <cellStyle name="Normal 5 2 2 2 8 3 2" xfId="14874" xr:uid="{23559855-EBD3-4996-9B93-E452D04C580B}"/>
    <cellStyle name="Normal 5 2 2 2 8 4" xfId="10656" xr:uid="{B1446B46-8AF6-4ECA-875C-9BB964FA3A5F}"/>
    <cellStyle name="Normal 5 2 2 2 9" xfId="2564" xr:uid="{00000000-0005-0000-0000-000094170000}"/>
    <cellStyle name="Normal 5 2 2 2 9 2" xfId="6848" xr:uid="{00000000-0005-0000-0000-000095170000}"/>
    <cellStyle name="Normal 5 2 2 2 9 2 2" xfId="15287" xr:uid="{847614D4-A683-4FCD-86D1-F117610ECFDD}"/>
    <cellStyle name="Normal 5 2 2 2 9 3" xfId="11069" xr:uid="{475FCC4E-85F4-4C00-839C-11E906519D5F}"/>
    <cellStyle name="Normal 5 2 2 3" xfId="417" xr:uid="{00000000-0005-0000-0000-000096170000}"/>
    <cellStyle name="Normal 5 2 2 3 10" xfId="9012" xr:uid="{DDD50E12-C4FC-4928-8121-51AC02244523}"/>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83425064-5FBB-40F3-B5F7-B70050C0A5FD}"/>
    <cellStyle name="Normal 5 2 2 3 2 2 2 2 3" xfId="11572" xr:uid="{D14ADC60-6FA7-45A1-BAB8-020A2E56EC4D}"/>
    <cellStyle name="Normal 5 2 2 3 2 2 2 3" xfId="5206" xr:uid="{00000000-0005-0000-0000-00009C170000}"/>
    <cellStyle name="Normal 5 2 2 3 2 2 2 3 2" xfId="13645" xr:uid="{A5B38F97-7A1E-40D0-92F4-8FB759FB1792}"/>
    <cellStyle name="Normal 5 2 2 3 2 2 2 4" xfId="9427" xr:uid="{77CE04D7-B45F-47C6-A1CC-E4EB8A2F5DAA}"/>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2529355B-845C-43E6-AEFF-2E055146DFDE}"/>
    <cellStyle name="Normal 5 2 2 3 2 2 3 2 3" xfId="11985" xr:uid="{82B369E2-C7AA-483B-AFD0-B93BE53F5AB6}"/>
    <cellStyle name="Normal 5 2 2 3 2 2 3 3" xfId="5619" xr:uid="{00000000-0005-0000-0000-0000A0170000}"/>
    <cellStyle name="Normal 5 2 2 3 2 2 3 3 2" xfId="14058" xr:uid="{0F77E748-6D51-453F-AB44-E6A1F702D919}"/>
    <cellStyle name="Normal 5 2 2 3 2 2 3 4" xfId="9840" xr:uid="{AC6DA5B2-86EC-4CE4-AF04-82E7E2172D71}"/>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D29B9472-AEBE-4B39-9174-FB788354C637}"/>
    <cellStyle name="Normal 5 2 2 3 2 2 4 2 3" xfId="12398" xr:uid="{536CA267-5B70-4B34-B308-1414F5AEB253}"/>
    <cellStyle name="Normal 5 2 2 3 2 2 4 3" xfId="6032" xr:uid="{00000000-0005-0000-0000-0000A4170000}"/>
    <cellStyle name="Normal 5 2 2 3 2 2 4 3 2" xfId="14471" xr:uid="{6657C496-D79A-4608-B2B9-04442FE12974}"/>
    <cellStyle name="Normal 5 2 2 3 2 2 4 4" xfId="10253" xr:uid="{74FF9073-9C8C-4FA4-88EF-9B22F702C3BB}"/>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15C41309-7373-4690-AC93-5989491A3F70}"/>
    <cellStyle name="Normal 5 2 2 3 2 2 5 2 3" xfId="12811" xr:uid="{DB76A2EB-8C42-446E-92F9-E7EFEDF7CCBA}"/>
    <cellStyle name="Normal 5 2 2 3 2 2 5 3" xfId="6445" xr:uid="{00000000-0005-0000-0000-0000A8170000}"/>
    <cellStyle name="Normal 5 2 2 3 2 2 5 3 2" xfId="14884" xr:uid="{839397C0-3E86-4A52-87A7-ADF44A1F5E4B}"/>
    <cellStyle name="Normal 5 2 2 3 2 2 5 4" xfId="10666" xr:uid="{22FD70B9-6665-4421-A9E9-7090C01E42BC}"/>
    <cellStyle name="Normal 5 2 2 3 2 2 6" xfId="2574" xr:uid="{00000000-0005-0000-0000-0000A9170000}"/>
    <cellStyle name="Normal 5 2 2 3 2 2 6 2" xfId="6858" xr:uid="{00000000-0005-0000-0000-0000AA170000}"/>
    <cellStyle name="Normal 5 2 2 3 2 2 6 2 2" xfId="15297" xr:uid="{7F92081B-7C81-4A53-9DC1-96520758CE68}"/>
    <cellStyle name="Normal 5 2 2 3 2 2 6 3" xfId="11079" xr:uid="{45BF749C-BCC1-4AC7-B6ED-B8A76D2CCA3F}"/>
    <cellStyle name="Normal 5 2 2 3 2 2 7" xfId="4793" xr:uid="{00000000-0005-0000-0000-0000AB170000}"/>
    <cellStyle name="Normal 5 2 2 3 2 2 7 2" xfId="13232" xr:uid="{62A61FDD-77F1-4B9E-9ED2-6A275767C049}"/>
    <cellStyle name="Normal 5 2 2 3 2 2 8" xfId="9014" xr:uid="{C9C6669D-5EF3-4682-85A4-9CBB4B8CBF93}"/>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90097675-B0F5-40D6-A6CE-3EE9013CA2E3}"/>
    <cellStyle name="Normal 5 2 2 3 2 3 2 3" xfId="11571" xr:uid="{F390905C-EC23-482B-A90E-7F0B2B152F80}"/>
    <cellStyle name="Normal 5 2 2 3 2 3 3" xfId="5205" xr:uid="{00000000-0005-0000-0000-0000AF170000}"/>
    <cellStyle name="Normal 5 2 2 3 2 3 3 2" xfId="13644" xr:uid="{14D36B14-8985-4EB8-96D4-8B1D579EB3A1}"/>
    <cellStyle name="Normal 5 2 2 3 2 3 4" xfId="9426" xr:uid="{CA5C12F1-D036-425F-8209-3DA77482285E}"/>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4C6CF081-4164-4038-ACB3-3249B3BE91FE}"/>
    <cellStyle name="Normal 5 2 2 3 2 4 2 3" xfId="11984" xr:uid="{B2394C8B-C112-4647-9F42-7D2844060B31}"/>
    <cellStyle name="Normal 5 2 2 3 2 4 3" xfId="5618" xr:uid="{00000000-0005-0000-0000-0000B3170000}"/>
    <cellStyle name="Normal 5 2 2 3 2 4 3 2" xfId="14057" xr:uid="{5F1E0A8C-3A4C-4689-9E5A-59872D56DD9F}"/>
    <cellStyle name="Normal 5 2 2 3 2 4 4" xfId="9839" xr:uid="{AD1AAFB5-6602-40BC-9E0A-E578100C3EEB}"/>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BF0BA90F-F150-4C4F-B2FB-B8D8480CE05A}"/>
    <cellStyle name="Normal 5 2 2 3 2 5 2 3" xfId="12397" xr:uid="{571FDB55-5312-4613-9D12-15654CA2148B}"/>
    <cellStyle name="Normal 5 2 2 3 2 5 3" xfId="6031" xr:uid="{00000000-0005-0000-0000-0000B7170000}"/>
    <cellStyle name="Normal 5 2 2 3 2 5 3 2" xfId="14470" xr:uid="{3E3F68F2-A111-409A-8606-D38785236052}"/>
    <cellStyle name="Normal 5 2 2 3 2 5 4" xfId="10252" xr:uid="{DF19932B-183C-4D91-B946-1D2909E02BF5}"/>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1330C95A-986D-492B-AC2F-5AF58A40F383}"/>
    <cellStyle name="Normal 5 2 2 3 2 6 2 3" xfId="12810" xr:uid="{5B155D20-0241-40D7-9EE6-DEA31FAE9C95}"/>
    <cellStyle name="Normal 5 2 2 3 2 6 3" xfId="6444" xr:uid="{00000000-0005-0000-0000-0000BB170000}"/>
    <cellStyle name="Normal 5 2 2 3 2 6 3 2" xfId="14883" xr:uid="{48C1F307-2B0A-442F-B08B-E5CD61164B6A}"/>
    <cellStyle name="Normal 5 2 2 3 2 6 4" xfId="10665" xr:uid="{CE35E871-4B53-46FD-BDCC-14E08BA4FA3A}"/>
    <cellStyle name="Normal 5 2 2 3 2 7" xfId="2573" xr:uid="{00000000-0005-0000-0000-0000BC170000}"/>
    <cellStyle name="Normal 5 2 2 3 2 7 2" xfId="6857" xr:uid="{00000000-0005-0000-0000-0000BD170000}"/>
    <cellStyle name="Normal 5 2 2 3 2 7 2 2" xfId="15296" xr:uid="{651A28DB-85F8-4EC4-A394-D799C8F59ACB}"/>
    <cellStyle name="Normal 5 2 2 3 2 7 3" xfId="11078" xr:uid="{FC913585-B27F-4979-AC3B-7621EBAC0565}"/>
    <cellStyle name="Normal 5 2 2 3 2 8" xfId="4792" xr:uid="{00000000-0005-0000-0000-0000BE170000}"/>
    <cellStyle name="Normal 5 2 2 3 2 8 2" xfId="13231" xr:uid="{BF0A7C01-F50E-4C8E-BA6B-9C40E780A450}"/>
    <cellStyle name="Normal 5 2 2 3 2 9" xfId="9013" xr:uid="{0F468130-0051-479B-9206-1BE9C94FE70E}"/>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DFDAA2A4-1EE4-40CB-BC2D-7FB2A96D2CA7}"/>
    <cellStyle name="Normal 5 2 2 3 3 2 2 3" xfId="11573" xr:uid="{15243ECA-C388-40B4-9547-92D6B05D7B11}"/>
    <cellStyle name="Normal 5 2 2 3 3 2 3" xfId="5207" xr:uid="{00000000-0005-0000-0000-0000C3170000}"/>
    <cellStyle name="Normal 5 2 2 3 3 2 3 2" xfId="13646" xr:uid="{423154EA-9543-4F75-9CF6-22916D8FFA6E}"/>
    <cellStyle name="Normal 5 2 2 3 3 2 4" xfId="9428" xr:uid="{0A0A66FE-D69A-418D-9D58-E424C2C2B90B}"/>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930480BC-5A13-4A4D-A29C-E285F10AD051}"/>
    <cellStyle name="Normal 5 2 2 3 3 3 2 3" xfId="11986" xr:uid="{4E59D986-FEB0-49E4-993B-5176632E5CCC}"/>
    <cellStyle name="Normal 5 2 2 3 3 3 3" xfId="5620" xr:uid="{00000000-0005-0000-0000-0000C7170000}"/>
    <cellStyle name="Normal 5 2 2 3 3 3 3 2" xfId="14059" xr:uid="{4D486737-2116-4733-8C50-95BD8518C70B}"/>
    <cellStyle name="Normal 5 2 2 3 3 3 4" xfId="9841" xr:uid="{BB1ACC43-8A97-4EB9-9575-7B0BAA89DBA6}"/>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4B24D343-5C07-4305-9A1B-DC70F0DEB661}"/>
    <cellStyle name="Normal 5 2 2 3 3 4 2 3" xfId="12399" xr:uid="{1DCE1A5E-7116-427E-A99D-CF5647005DE6}"/>
    <cellStyle name="Normal 5 2 2 3 3 4 3" xfId="6033" xr:uid="{00000000-0005-0000-0000-0000CB170000}"/>
    <cellStyle name="Normal 5 2 2 3 3 4 3 2" xfId="14472" xr:uid="{4F297393-941B-4884-93E0-1304A221E3E7}"/>
    <cellStyle name="Normal 5 2 2 3 3 4 4" xfId="10254" xr:uid="{3BB0A1B0-3897-4850-9891-56B62E155C99}"/>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279F9E78-F371-4954-9F4F-55DC04AC61C7}"/>
    <cellStyle name="Normal 5 2 2 3 3 5 2 3" xfId="12812" xr:uid="{48A11D67-9CD2-44D4-B609-D1072F5BC9F6}"/>
    <cellStyle name="Normal 5 2 2 3 3 5 3" xfId="6446" xr:uid="{00000000-0005-0000-0000-0000CF170000}"/>
    <cellStyle name="Normal 5 2 2 3 3 5 3 2" xfId="14885" xr:uid="{6CCDBB8E-66B5-47D3-83F0-F70EF502A542}"/>
    <cellStyle name="Normal 5 2 2 3 3 5 4" xfId="10667" xr:uid="{CF67DC75-A96B-402C-BE32-A4E682E073AF}"/>
    <cellStyle name="Normal 5 2 2 3 3 6" xfId="2575" xr:uid="{00000000-0005-0000-0000-0000D0170000}"/>
    <cellStyle name="Normal 5 2 2 3 3 6 2" xfId="6859" xr:uid="{00000000-0005-0000-0000-0000D1170000}"/>
    <cellStyle name="Normal 5 2 2 3 3 6 2 2" xfId="15298" xr:uid="{081500A8-D2A2-4C8D-B060-EDF7524D01BF}"/>
    <cellStyle name="Normal 5 2 2 3 3 6 3" xfId="11080" xr:uid="{B720B853-67D8-4FEC-ACA7-647B0F1E971E}"/>
    <cellStyle name="Normal 5 2 2 3 3 7" xfId="4794" xr:uid="{00000000-0005-0000-0000-0000D2170000}"/>
    <cellStyle name="Normal 5 2 2 3 3 7 2" xfId="13233" xr:uid="{2D2BC609-4187-4FE2-AF04-FDD0B2084A3D}"/>
    <cellStyle name="Normal 5 2 2 3 3 8" xfId="9015" xr:uid="{8D1DACF7-F785-4BA8-BDA4-181BEB7EFFA8}"/>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F5737336-D09C-4643-8C35-A1249643FED7}"/>
    <cellStyle name="Normal 5 2 2 3 4 2 3" xfId="11570" xr:uid="{6D97D9C5-F67F-4847-9CAD-A2EAFEEE3315}"/>
    <cellStyle name="Normal 5 2 2 3 4 3" xfId="5204" xr:uid="{00000000-0005-0000-0000-0000D6170000}"/>
    <cellStyle name="Normal 5 2 2 3 4 3 2" xfId="13643" xr:uid="{98DEB04B-4A05-4858-A994-2845E17E49EC}"/>
    <cellStyle name="Normal 5 2 2 3 4 4" xfId="9425" xr:uid="{523FED4C-4638-4A95-A82B-8B328485754E}"/>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62FB5786-DD9E-4440-86C0-7B5F7E68B311}"/>
    <cellStyle name="Normal 5 2 2 3 5 2 3" xfId="11983" xr:uid="{CE91DACF-27CF-4875-8B86-03A2B2BEE439}"/>
    <cellStyle name="Normal 5 2 2 3 5 3" xfId="5617" xr:uid="{00000000-0005-0000-0000-0000DA170000}"/>
    <cellStyle name="Normal 5 2 2 3 5 3 2" xfId="14056" xr:uid="{51267CFF-F1DE-49D6-BDA5-DFCF73A2030B}"/>
    <cellStyle name="Normal 5 2 2 3 5 4" xfId="9838" xr:uid="{A40DA02F-5740-496F-96D2-C8AC1FA92635}"/>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4DCB991E-D2C1-4008-A40A-D55067A86FA2}"/>
    <cellStyle name="Normal 5 2 2 3 6 2 3" xfId="12396" xr:uid="{0EF09C47-E98B-42CA-A8DB-6A8CDCAFF05A}"/>
    <cellStyle name="Normal 5 2 2 3 6 3" xfId="6030" xr:uid="{00000000-0005-0000-0000-0000DE170000}"/>
    <cellStyle name="Normal 5 2 2 3 6 3 2" xfId="14469" xr:uid="{01EADD6B-8A83-4682-AFB5-F163B889E416}"/>
    <cellStyle name="Normal 5 2 2 3 6 4" xfId="10251" xr:uid="{4995FC4D-936D-42B1-9605-4E693A643C20}"/>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24FC63CD-9A23-41AE-94F2-98CF027A3D2F}"/>
    <cellStyle name="Normal 5 2 2 3 7 2 3" xfId="12809" xr:uid="{9D8B14F0-5754-48D2-9EE1-ED2623C00B6F}"/>
    <cellStyle name="Normal 5 2 2 3 7 3" xfId="6443" xr:uid="{00000000-0005-0000-0000-0000E2170000}"/>
    <cellStyle name="Normal 5 2 2 3 7 3 2" xfId="14882" xr:uid="{0EA26391-07BB-4DC8-90E0-36513C530A5A}"/>
    <cellStyle name="Normal 5 2 2 3 7 4" xfId="10664" xr:uid="{5FCF916A-62C0-46CE-8E68-4EFF0F5F6188}"/>
    <cellStyle name="Normal 5 2 2 3 8" xfId="2572" xr:uid="{00000000-0005-0000-0000-0000E3170000}"/>
    <cellStyle name="Normal 5 2 2 3 8 2" xfId="6856" xr:uid="{00000000-0005-0000-0000-0000E4170000}"/>
    <cellStyle name="Normal 5 2 2 3 8 2 2" xfId="15295" xr:uid="{AD3E4C4F-2722-49EC-966F-F2B639CCD8CA}"/>
    <cellStyle name="Normal 5 2 2 3 8 3" xfId="11077" xr:uid="{BCA87175-50CC-4D15-ACB4-94A336111171}"/>
    <cellStyle name="Normal 5 2 2 3 9" xfId="4791" xr:uid="{00000000-0005-0000-0000-0000E5170000}"/>
    <cellStyle name="Normal 5 2 2 3 9 2" xfId="13230" xr:uid="{7BD80FBB-6622-4D7C-A29A-19F86AD12DB8}"/>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F83237FA-3A7B-43A3-AA84-42C0E0068FC9}"/>
    <cellStyle name="Normal 5 2 2 4 2 2 2 3" xfId="11575" xr:uid="{052132C2-A555-4363-8974-CB96B7EE32D2}"/>
    <cellStyle name="Normal 5 2 2 4 2 2 3" xfId="5209" xr:uid="{00000000-0005-0000-0000-0000EB170000}"/>
    <cellStyle name="Normal 5 2 2 4 2 2 3 2" xfId="13648" xr:uid="{2D40A397-5F10-4C64-BFC6-73C073E2858E}"/>
    <cellStyle name="Normal 5 2 2 4 2 2 4" xfId="9430" xr:uid="{98707E2F-771D-4455-A754-535E25BBC6E4}"/>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61982FC2-DE3E-40C8-99D2-D46B1677408E}"/>
    <cellStyle name="Normal 5 2 2 4 2 3 2 3" xfId="11988" xr:uid="{9A1E5CBF-C67F-4695-BE66-DCA531C0DF95}"/>
    <cellStyle name="Normal 5 2 2 4 2 3 3" xfId="5622" xr:uid="{00000000-0005-0000-0000-0000EF170000}"/>
    <cellStyle name="Normal 5 2 2 4 2 3 3 2" xfId="14061" xr:uid="{3A740757-716C-43AF-ADF7-ADC13AA2928F}"/>
    <cellStyle name="Normal 5 2 2 4 2 3 4" xfId="9843" xr:uid="{540D1F39-7831-49AD-8130-A081DDFA46A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73C3B1B6-E616-4AAE-A77B-00A516787CD2}"/>
    <cellStyle name="Normal 5 2 2 4 2 4 2 3" xfId="12401" xr:uid="{B0D48E6E-D373-4822-9D9A-2BA1507DA958}"/>
    <cellStyle name="Normal 5 2 2 4 2 4 3" xfId="6035" xr:uid="{00000000-0005-0000-0000-0000F3170000}"/>
    <cellStyle name="Normal 5 2 2 4 2 4 3 2" xfId="14474" xr:uid="{3024F450-0796-4DE5-ACF4-707281A55BC2}"/>
    <cellStyle name="Normal 5 2 2 4 2 4 4" xfId="10256" xr:uid="{94A79DD9-1FEA-47A6-90A6-7D16B5E1E7BF}"/>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A679A16B-2924-4BD7-AEB2-72301F052905}"/>
    <cellStyle name="Normal 5 2 2 4 2 5 2 3" xfId="12814" xr:uid="{A18E579E-9BB6-4A9D-8271-901DBD832E18}"/>
    <cellStyle name="Normal 5 2 2 4 2 5 3" xfId="6448" xr:uid="{00000000-0005-0000-0000-0000F7170000}"/>
    <cellStyle name="Normal 5 2 2 4 2 5 3 2" xfId="14887" xr:uid="{47C4E83A-1C2F-4387-9B2F-E7CD72CDD69A}"/>
    <cellStyle name="Normal 5 2 2 4 2 5 4" xfId="10669" xr:uid="{BFF3C830-951E-4F5A-90C0-7A2D7097EA9A}"/>
    <cellStyle name="Normal 5 2 2 4 2 6" xfId="2577" xr:uid="{00000000-0005-0000-0000-0000F8170000}"/>
    <cellStyle name="Normal 5 2 2 4 2 6 2" xfId="6861" xr:uid="{00000000-0005-0000-0000-0000F9170000}"/>
    <cellStyle name="Normal 5 2 2 4 2 6 2 2" xfId="15300" xr:uid="{D0EE1FE4-03A7-4557-8785-0C4E3F1E0A27}"/>
    <cellStyle name="Normal 5 2 2 4 2 6 3" xfId="11082" xr:uid="{A526C54F-728B-4458-A1E7-1E67CC5B3D50}"/>
    <cellStyle name="Normal 5 2 2 4 2 7" xfId="4796" xr:uid="{00000000-0005-0000-0000-0000FA170000}"/>
    <cellStyle name="Normal 5 2 2 4 2 7 2" xfId="13235" xr:uid="{FCE0D90A-FA68-4075-A5DB-E023117F9FE3}"/>
    <cellStyle name="Normal 5 2 2 4 2 8" xfId="9017" xr:uid="{F9CD11DF-9B69-4F8C-AACC-00C94921FC2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3D616399-C4D4-41A7-8954-263A74399AA8}"/>
    <cellStyle name="Normal 5 2 2 4 3 2 3" xfId="11574" xr:uid="{01281EFB-29FD-43A2-83AF-1C6DEE261819}"/>
    <cellStyle name="Normal 5 2 2 4 3 3" xfId="5208" xr:uid="{00000000-0005-0000-0000-0000FE170000}"/>
    <cellStyle name="Normal 5 2 2 4 3 3 2" xfId="13647" xr:uid="{E0B81D36-6991-476E-9DCF-DF50FE723DED}"/>
    <cellStyle name="Normal 5 2 2 4 3 4" xfId="9429" xr:uid="{82ECD097-E228-4406-B654-A1298B64489F}"/>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A093F94A-7465-4DCB-8149-E3D94864F334}"/>
    <cellStyle name="Normal 5 2 2 4 4 2 3" xfId="11987" xr:uid="{29538C4C-7671-4C91-80C9-3B4776F9D7D4}"/>
    <cellStyle name="Normal 5 2 2 4 4 3" xfId="5621" xr:uid="{00000000-0005-0000-0000-000002180000}"/>
    <cellStyle name="Normal 5 2 2 4 4 3 2" xfId="14060" xr:uid="{93881439-0376-43E4-9B6C-CE2EA1AB98C5}"/>
    <cellStyle name="Normal 5 2 2 4 4 4" xfId="9842" xr:uid="{291B19A2-2302-4F6B-A174-6478C4C2AC3E}"/>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B17AED9F-8E21-461B-80E9-012FECD64316}"/>
    <cellStyle name="Normal 5 2 2 4 5 2 3" xfId="12400" xr:uid="{D9AAE2AC-1A1F-4C04-BFE6-93ECB2474B8C}"/>
    <cellStyle name="Normal 5 2 2 4 5 3" xfId="6034" xr:uid="{00000000-0005-0000-0000-000006180000}"/>
    <cellStyle name="Normal 5 2 2 4 5 3 2" xfId="14473" xr:uid="{0E43C1A5-009A-41BB-951A-8925EA27F6F6}"/>
    <cellStyle name="Normal 5 2 2 4 5 4" xfId="10255" xr:uid="{B435E63E-FABA-41D4-87A0-A08DC38479EC}"/>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E1A8F53D-D2EF-4B79-A711-B5322F8CEBFC}"/>
    <cellStyle name="Normal 5 2 2 4 6 2 3" xfId="12813" xr:uid="{0B0793EB-50DA-4817-AF29-33379E7C36E2}"/>
    <cellStyle name="Normal 5 2 2 4 6 3" xfId="6447" xr:uid="{00000000-0005-0000-0000-00000A180000}"/>
    <cellStyle name="Normal 5 2 2 4 6 3 2" xfId="14886" xr:uid="{91E7FF89-B551-4E9B-BB53-1B063D9BE4A0}"/>
    <cellStyle name="Normal 5 2 2 4 6 4" xfId="10668" xr:uid="{3DCBACD4-5D38-4A43-BD7D-927A79A20A7F}"/>
    <cellStyle name="Normal 5 2 2 4 7" xfId="2576" xr:uid="{00000000-0005-0000-0000-00000B180000}"/>
    <cellStyle name="Normal 5 2 2 4 7 2" xfId="6860" xr:uid="{00000000-0005-0000-0000-00000C180000}"/>
    <cellStyle name="Normal 5 2 2 4 7 2 2" xfId="15299" xr:uid="{06807393-2017-4147-A5C4-F8C680D24FD4}"/>
    <cellStyle name="Normal 5 2 2 4 7 3" xfId="11081" xr:uid="{3A7C40D4-81B7-428E-AE59-398ECB810B6B}"/>
    <cellStyle name="Normal 5 2 2 4 8" xfId="4795" xr:uid="{00000000-0005-0000-0000-00000D180000}"/>
    <cellStyle name="Normal 5 2 2 4 8 2" xfId="13234" xr:uid="{89230687-743B-4E28-A466-B4A718F7A676}"/>
    <cellStyle name="Normal 5 2 2 4 9" xfId="9016" xr:uid="{C225C3B4-3929-4A2F-8C51-88DF617C1C2F}"/>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95AF19F8-EA0F-44C8-BCF6-8E1BFD0FC3A4}"/>
    <cellStyle name="Normal 5 2 2 5 2 2 3" xfId="11576" xr:uid="{CE0E4BA8-BFFD-4FD7-BF1A-7D092D2CDED5}"/>
    <cellStyle name="Normal 5 2 2 5 2 3" xfId="5210" xr:uid="{00000000-0005-0000-0000-000012180000}"/>
    <cellStyle name="Normal 5 2 2 5 2 3 2" xfId="13649" xr:uid="{DDA9C47A-503D-45B1-B358-43DC2F4A22A8}"/>
    <cellStyle name="Normal 5 2 2 5 2 4" xfId="9431" xr:uid="{3EED0BCE-D1DA-4D56-8299-EF1AA583C5BE}"/>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4B747843-9879-4E5D-B764-C2A4C8ABCCB8}"/>
    <cellStyle name="Normal 5 2 2 5 3 2 3" xfId="11989" xr:uid="{6454285A-C766-4BDF-A0AB-9AF666036A53}"/>
    <cellStyle name="Normal 5 2 2 5 3 3" xfId="5623" xr:uid="{00000000-0005-0000-0000-000016180000}"/>
    <cellStyle name="Normal 5 2 2 5 3 3 2" xfId="14062" xr:uid="{DF1BEFC7-ABAD-411E-9DA9-D686089AAECC}"/>
    <cellStyle name="Normal 5 2 2 5 3 4" xfId="9844" xr:uid="{F9F00109-9FA4-495D-9F47-B51F6B4084BE}"/>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9135DFE6-55A7-4A65-8998-75B1196304A9}"/>
    <cellStyle name="Normal 5 2 2 5 4 2 3" xfId="12402" xr:uid="{B8C2B471-90DA-4908-BDFF-116F6CA000FC}"/>
    <cellStyle name="Normal 5 2 2 5 4 3" xfId="6036" xr:uid="{00000000-0005-0000-0000-00001A180000}"/>
    <cellStyle name="Normal 5 2 2 5 4 3 2" xfId="14475" xr:uid="{ED705ECF-C471-4B45-84F9-E6ACF07DF48A}"/>
    <cellStyle name="Normal 5 2 2 5 4 4" xfId="10257" xr:uid="{4EC8FEB8-0D78-4D39-BE9B-94407774DDD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6E2EBFA5-6698-44EE-8F84-BD399E3C0040}"/>
    <cellStyle name="Normal 5 2 2 5 5 2 3" xfId="12815" xr:uid="{B7D3E6D0-F2A1-47BC-A08A-0DF1B44ECFED}"/>
    <cellStyle name="Normal 5 2 2 5 5 3" xfId="6449" xr:uid="{00000000-0005-0000-0000-00001E180000}"/>
    <cellStyle name="Normal 5 2 2 5 5 3 2" xfId="14888" xr:uid="{4A68C1E0-90A4-4F15-BB7B-9D274022B356}"/>
    <cellStyle name="Normal 5 2 2 5 5 4" xfId="10670" xr:uid="{83995EB2-94BE-453D-BB08-6B5791C93DD9}"/>
    <cellStyle name="Normal 5 2 2 5 6" xfId="2578" xr:uid="{00000000-0005-0000-0000-00001F180000}"/>
    <cellStyle name="Normal 5 2 2 5 6 2" xfId="6862" xr:uid="{00000000-0005-0000-0000-000020180000}"/>
    <cellStyle name="Normal 5 2 2 5 6 2 2" xfId="15301" xr:uid="{E22AAB56-AB22-4F41-8794-B6663DAB8CDA}"/>
    <cellStyle name="Normal 5 2 2 5 6 3" xfId="11083" xr:uid="{C0421323-D1FD-44AE-B21F-0585C342F367}"/>
    <cellStyle name="Normal 5 2 2 5 7" xfId="4797" xr:uid="{00000000-0005-0000-0000-000021180000}"/>
    <cellStyle name="Normal 5 2 2 5 7 2" xfId="13236" xr:uid="{647B7E4E-4937-4706-81BD-FE9A38B7A0DF}"/>
    <cellStyle name="Normal 5 2 2 5 8" xfId="9018" xr:uid="{5BFA7931-5CF1-451B-8437-DBFA5DB24034}"/>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B1C66756-8AC2-4725-AA18-189D2FD01126}"/>
    <cellStyle name="Normal 5 2 2 6 2 3" xfId="11561" xr:uid="{A1C21EC2-9920-46D3-9425-82111EAAE254}"/>
    <cellStyle name="Normal 5 2 2 6 3" xfId="5195" xr:uid="{00000000-0005-0000-0000-000025180000}"/>
    <cellStyle name="Normal 5 2 2 6 3 2" xfId="13634" xr:uid="{7C511B7D-E0CB-48D1-A43C-EB6940C5FDC9}"/>
    <cellStyle name="Normal 5 2 2 6 4" xfId="9416" xr:uid="{DA4FD38A-5EDE-4483-9252-7B16EC1D67AE}"/>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00FDF658-A754-4926-B768-8D17FA2D8852}"/>
    <cellStyle name="Normal 5 2 2 7 2 3" xfId="11974" xr:uid="{DAB11497-5EF7-4201-ACC5-3925D0443586}"/>
    <cellStyle name="Normal 5 2 2 7 3" xfId="5608" xr:uid="{00000000-0005-0000-0000-000029180000}"/>
    <cellStyle name="Normal 5 2 2 7 3 2" xfId="14047" xr:uid="{E8D0B267-A709-49F8-9D33-74C041F5AA36}"/>
    <cellStyle name="Normal 5 2 2 7 4" xfId="9829" xr:uid="{D39A9B8C-21AF-4975-AEE1-29948782C4D1}"/>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25CA9B7D-05B1-4D91-B985-60CFFB5CBC55}"/>
    <cellStyle name="Normal 5 2 2 8 2 3" xfId="12387" xr:uid="{E5484CDA-A1D1-4A35-B2B0-156D09B920CF}"/>
    <cellStyle name="Normal 5 2 2 8 3" xfId="6021" xr:uid="{00000000-0005-0000-0000-00002D180000}"/>
    <cellStyle name="Normal 5 2 2 8 3 2" xfId="14460" xr:uid="{F5B1ECF4-446D-4E79-AB69-0E6A8A348D87}"/>
    <cellStyle name="Normal 5 2 2 8 4" xfId="10242" xr:uid="{D4D5A33A-0C41-40E6-92D0-E3191EC2DB91}"/>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A747CB04-37CD-4BFC-A9C3-007E82EDBD65}"/>
    <cellStyle name="Normal 5 2 2 9 2 3" xfId="12800" xr:uid="{A5CEAF68-B764-4E28-9A45-7A0D90441C91}"/>
    <cellStyle name="Normal 5 2 2 9 3" xfId="6434" xr:uid="{00000000-0005-0000-0000-000031180000}"/>
    <cellStyle name="Normal 5 2 2 9 3 2" xfId="14873" xr:uid="{A507817D-C484-4885-9989-199E0DED57D2}"/>
    <cellStyle name="Normal 5 2 2 9 4" xfId="10655" xr:uid="{40E5CCD8-8DA0-43E9-92A0-2BEE078F7C96}"/>
    <cellStyle name="Normal 5 2 3" xfId="424" xr:uid="{00000000-0005-0000-0000-000032180000}"/>
    <cellStyle name="Normal 5 2 3 10" xfId="4798" xr:uid="{00000000-0005-0000-0000-000033180000}"/>
    <cellStyle name="Normal 5 2 3 10 2" xfId="13237" xr:uid="{728FDF8F-88A9-49EE-934E-F3C9B5D2DF61}"/>
    <cellStyle name="Normal 5 2 3 11" xfId="9019" xr:uid="{29B6C334-3087-4882-85F6-3346704DCA6D}"/>
    <cellStyle name="Normal 5 2 3 2" xfId="425" xr:uid="{00000000-0005-0000-0000-000034180000}"/>
    <cellStyle name="Normal 5 2 3 2 10" xfId="9020" xr:uid="{61483C98-7F63-422A-AA86-6F443D50F89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BD070F2E-27AA-4725-95D2-80BA4F856D1C}"/>
    <cellStyle name="Normal 5 2 3 2 2 2 2 2 3" xfId="11580" xr:uid="{7720350F-0B3D-4D07-A067-AB9DC62E5681}"/>
    <cellStyle name="Normal 5 2 3 2 2 2 2 3" xfId="5214" xr:uid="{00000000-0005-0000-0000-00003A180000}"/>
    <cellStyle name="Normal 5 2 3 2 2 2 2 3 2" xfId="13653" xr:uid="{3C568324-0739-41BA-A737-C9BBB35CC5CA}"/>
    <cellStyle name="Normal 5 2 3 2 2 2 2 4" xfId="9435" xr:uid="{1B864BDD-08CF-426C-92B9-3740B9FF46BB}"/>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712DE0B6-3B21-4A77-B5B8-457DB7226037}"/>
    <cellStyle name="Normal 5 2 3 2 2 2 3 2 3" xfId="11993" xr:uid="{775E59F3-CD73-4DF1-A32D-4A61D28905E9}"/>
    <cellStyle name="Normal 5 2 3 2 2 2 3 3" xfId="5627" xr:uid="{00000000-0005-0000-0000-00003E180000}"/>
    <cellStyle name="Normal 5 2 3 2 2 2 3 3 2" xfId="14066" xr:uid="{BF3D213F-55E3-494A-A797-D1DB8ACAB9D8}"/>
    <cellStyle name="Normal 5 2 3 2 2 2 3 4" xfId="9848" xr:uid="{ACD0D384-4F14-498A-9F36-523D75F330E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86F19A47-D713-4E2F-9BB5-140A8BEAA5D9}"/>
    <cellStyle name="Normal 5 2 3 2 2 2 4 2 3" xfId="12406" xr:uid="{6361CAA8-CE1A-4AD3-A7AE-2527C29221FB}"/>
    <cellStyle name="Normal 5 2 3 2 2 2 4 3" xfId="6040" xr:uid="{00000000-0005-0000-0000-000042180000}"/>
    <cellStyle name="Normal 5 2 3 2 2 2 4 3 2" xfId="14479" xr:uid="{EEE1C9E0-5C5D-4A67-8DDF-AE69C05478BD}"/>
    <cellStyle name="Normal 5 2 3 2 2 2 4 4" xfId="10261" xr:uid="{5DD5F722-26C1-4CCF-966F-DD52FC48E629}"/>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62592429-69A0-4277-8C0C-D3130A7794D8}"/>
    <cellStyle name="Normal 5 2 3 2 2 2 5 2 3" xfId="12819" xr:uid="{EB7D3FCE-EAAE-4DC4-9E8F-615AE996A7F4}"/>
    <cellStyle name="Normal 5 2 3 2 2 2 5 3" xfId="6453" xr:uid="{00000000-0005-0000-0000-000046180000}"/>
    <cellStyle name="Normal 5 2 3 2 2 2 5 3 2" xfId="14892" xr:uid="{94F98852-8872-4AEF-A698-A6CC1EEE6172}"/>
    <cellStyle name="Normal 5 2 3 2 2 2 5 4" xfId="10674" xr:uid="{95D8F5D2-A041-4131-8638-E00781986C35}"/>
    <cellStyle name="Normal 5 2 3 2 2 2 6" xfId="2582" xr:uid="{00000000-0005-0000-0000-000047180000}"/>
    <cellStyle name="Normal 5 2 3 2 2 2 6 2" xfId="6866" xr:uid="{00000000-0005-0000-0000-000048180000}"/>
    <cellStyle name="Normal 5 2 3 2 2 2 6 2 2" xfId="15305" xr:uid="{FE6A75F8-851E-4865-A2A5-F59D562F6CAC}"/>
    <cellStyle name="Normal 5 2 3 2 2 2 6 3" xfId="11087" xr:uid="{13E7033F-A62C-48C1-9C8E-004AEF381360}"/>
    <cellStyle name="Normal 5 2 3 2 2 2 7" xfId="4801" xr:uid="{00000000-0005-0000-0000-000049180000}"/>
    <cellStyle name="Normal 5 2 3 2 2 2 7 2" xfId="13240" xr:uid="{92DF368C-49A9-4529-B69E-5B266CCDB045}"/>
    <cellStyle name="Normal 5 2 3 2 2 2 8" xfId="9022" xr:uid="{9F44E516-63B2-469C-B639-9EF9E54CE54F}"/>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075D43BB-8D9B-4A24-A1BA-CDD1E54B8412}"/>
    <cellStyle name="Normal 5 2 3 2 2 3 2 3" xfId="11579" xr:uid="{D08FE366-31BC-4452-93CB-31B7B0B0B851}"/>
    <cellStyle name="Normal 5 2 3 2 2 3 3" xfId="5213" xr:uid="{00000000-0005-0000-0000-00004D180000}"/>
    <cellStyle name="Normal 5 2 3 2 2 3 3 2" xfId="13652" xr:uid="{8C1CFCBC-F04B-499D-A6EB-C3901307A4EE}"/>
    <cellStyle name="Normal 5 2 3 2 2 3 4" xfId="9434" xr:uid="{9454CEF7-0CF4-4ED3-ADBF-52511BB4271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B5AF1C49-DD28-4762-BA93-8F8AF9027FDE}"/>
    <cellStyle name="Normal 5 2 3 2 2 4 2 3" xfId="11992" xr:uid="{51194978-87EE-4745-96F7-1174C7036B6F}"/>
    <cellStyle name="Normal 5 2 3 2 2 4 3" xfId="5626" xr:uid="{00000000-0005-0000-0000-000051180000}"/>
    <cellStyle name="Normal 5 2 3 2 2 4 3 2" xfId="14065" xr:uid="{FE69388A-9174-4F66-8779-D4518A85BC3B}"/>
    <cellStyle name="Normal 5 2 3 2 2 4 4" xfId="9847" xr:uid="{1F88C2A8-A889-4B32-BAAA-3F3DCC01D913}"/>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8816276E-EFE4-445D-B69B-773D3C77D49E}"/>
    <cellStyle name="Normal 5 2 3 2 2 5 2 3" xfId="12405" xr:uid="{E3D639EF-19E4-4999-BEF7-6C1CBF2690FA}"/>
    <cellStyle name="Normal 5 2 3 2 2 5 3" xfId="6039" xr:uid="{00000000-0005-0000-0000-000055180000}"/>
    <cellStyle name="Normal 5 2 3 2 2 5 3 2" xfId="14478" xr:uid="{BDF1DA37-1A73-4D97-99C2-7728044AB585}"/>
    <cellStyle name="Normal 5 2 3 2 2 5 4" xfId="10260" xr:uid="{8D54361E-05A2-41D0-A6C3-73572008405D}"/>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C6B6C3C3-8F43-4B58-8849-FFA4AE890737}"/>
    <cellStyle name="Normal 5 2 3 2 2 6 2 3" xfId="12818" xr:uid="{D5964838-2B65-4C5B-9D9B-CC04B1A54DDA}"/>
    <cellStyle name="Normal 5 2 3 2 2 6 3" xfId="6452" xr:uid="{00000000-0005-0000-0000-000059180000}"/>
    <cellStyle name="Normal 5 2 3 2 2 6 3 2" xfId="14891" xr:uid="{691EE117-DD13-48B4-B7E8-94C265DD1FBE}"/>
    <cellStyle name="Normal 5 2 3 2 2 6 4" xfId="10673" xr:uid="{B52A672C-AA25-49AB-99E9-78438B87211A}"/>
    <cellStyle name="Normal 5 2 3 2 2 7" xfId="2581" xr:uid="{00000000-0005-0000-0000-00005A180000}"/>
    <cellStyle name="Normal 5 2 3 2 2 7 2" xfId="6865" xr:uid="{00000000-0005-0000-0000-00005B180000}"/>
    <cellStyle name="Normal 5 2 3 2 2 7 2 2" xfId="15304" xr:uid="{0E13B367-B864-494C-9493-D00A2EA004DF}"/>
    <cellStyle name="Normal 5 2 3 2 2 7 3" xfId="11086" xr:uid="{1933C33B-EEBA-4A98-809C-700A7EBDF9A1}"/>
    <cellStyle name="Normal 5 2 3 2 2 8" xfId="4800" xr:uid="{00000000-0005-0000-0000-00005C180000}"/>
    <cellStyle name="Normal 5 2 3 2 2 8 2" xfId="13239" xr:uid="{BB157085-83C6-4F25-89AA-6B33D2E5E0C0}"/>
    <cellStyle name="Normal 5 2 3 2 2 9" xfId="9021" xr:uid="{3B27CBFE-09C8-4750-8633-38A00129854E}"/>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644ECEC8-57A8-4877-8CD7-DB5CBA1A70A9}"/>
    <cellStyle name="Normal 5 2 3 2 3 2 2 3" xfId="11581" xr:uid="{82F741F6-B81E-41BD-AA8E-81185BAE731D}"/>
    <cellStyle name="Normal 5 2 3 2 3 2 3" xfId="5215" xr:uid="{00000000-0005-0000-0000-000061180000}"/>
    <cellStyle name="Normal 5 2 3 2 3 2 3 2" xfId="13654" xr:uid="{753FBDBD-106F-4660-9863-4C2E23A1E45E}"/>
    <cellStyle name="Normal 5 2 3 2 3 2 4" xfId="9436" xr:uid="{0503B8C3-1340-43D9-A38B-D0378892BEBC}"/>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448E290F-5BB8-4E0D-961C-EF6158A5109A}"/>
    <cellStyle name="Normal 5 2 3 2 3 3 2 3" xfId="11994" xr:uid="{CE77CEEA-2DBD-47CD-B8FF-37B2BEC0583F}"/>
    <cellStyle name="Normal 5 2 3 2 3 3 3" xfId="5628" xr:uid="{00000000-0005-0000-0000-000065180000}"/>
    <cellStyle name="Normal 5 2 3 2 3 3 3 2" xfId="14067" xr:uid="{03883C64-1F6A-4913-9B51-AB5F2D067099}"/>
    <cellStyle name="Normal 5 2 3 2 3 3 4" xfId="9849" xr:uid="{23A1FCB2-F7A9-46C3-BED3-FCCC172D8802}"/>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59ED9929-5951-4304-B93D-A576821FADF8}"/>
    <cellStyle name="Normal 5 2 3 2 3 4 2 3" xfId="12407" xr:uid="{031ECF33-F221-48C7-BB23-CF17E2881681}"/>
    <cellStyle name="Normal 5 2 3 2 3 4 3" xfId="6041" xr:uid="{00000000-0005-0000-0000-000069180000}"/>
    <cellStyle name="Normal 5 2 3 2 3 4 3 2" xfId="14480" xr:uid="{D116F6EE-CB4A-4921-9232-BEF5C37BBA06}"/>
    <cellStyle name="Normal 5 2 3 2 3 4 4" xfId="10262" xr:uid="{F7776DE6-94C8-4FFF-8637-D0D6B77DAF91}"/>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6E9A44FE-95EA-49F9-98C5-6B19C27CAB27}"/>
    <cellStyle name="Normal 5 2 3 2 3 5 2 3" xfId="12820" xr:uid="{D362BA23-B568-4C8F-97CF-488C722AA121}"/>
    <cellStyle name="Normal 5 2 3 2 3 5 3" xfId="6454" xr:uid="{00000000-0005-0000-0000-00006D180000}"/>
    <cellStyle name="Normal 5 2 3 2 3 5 3 2" xfId="14893" xr:uid="{4D9FF377-1592-43F8-B886-87F350C7CCB2}"/>
    <cellStyle name="Normal 5 2 3 2 3 5 4" xfId="10675" xr:uid="{5984C0F2-AE2F-4101-ADC1-80BCC4E78A96}"/>
    <cellStyle name="Normal 5 2 3 2 3 6" xfId="2583" xr:uid="{00000000-0005-0000-0000-00006E180000}"/>
    <cellStyle name="Normal 5 2 3 2 3 6 2" xfId="6867" xr:uid="{00000000-0005-0000-0000-00006F180000}"/>
    <cellStyle name="Normal 5 2 3 2 3 6 2 2" xfId="15306" xr:uid="{98F2BCB9-80DD-45B5-848C-6C1B125CDD9C}"/>
    <cellStyle name="Normal 5 2 3 2 3 6 3" xfId="11088" xr:uid="{CB61478C-86C1-411E-AAEF-4B46B9A96F0B}"/>
    <cellStyle name="Normal 5 2 3 2 3 7" xfId="4802" xr:uid="{00000000-0005-0000-0000-000070180000}"/>
    <cellStyle name="Normal 5 2 3 2 3 7 2" xfId="13241" xr:uid="{EB05458C-72E2-4E7D-B294-5BD71FF3CCCB}"/>
    <cellStyle name="Normal 5 2 3 2 3 8" xfId="9023" xr:uid="{914427E2-B7F8-4D4B-9095-1C2704C9C4CB}"/>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4D20869A-F8C0-473F-8474-1E6529F16282}"/>
    <cellStyle name="Normal 5 2 3 2 4 2 3" xfId="11578" xr:uid="{DB509039-23DD-422B-84F5-390465C8D3A0}"/>
    <cellStyle name="Normal 5 2 3 2 4 3" xfId="5212" xr:uid="{00000000-0005-0000-0000-000074180000}"/>
    <cellStyle name="Normal 5 2 3 2 4 3 2" xfId="13651" xr:uid="{E5EB9542-532A-4D91-8643-B6F80EFED696}"/>
    <cellStyle name="Normal 5 2 3 2 4 4" xfId="9433" xr:uid="{56514848-B90C-4DDA-A5D6-27E96C019073}"/>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912334EB-4A7E-474A-A42D-2DCEEAD75DF4}"/>
    <cellStyle name="Normal 5 2 3 2 5 2 3" xfId="11991" xr:uid="{9C677375-5FCC-4F16-9666-3ACA7BEC151A}"/>
    <cellStyle name="Normal 5 2 3 2 5 3" xfId="5625" xr:uid="{00000000-0005-0000-0000-000078180000}"/>
    <cellStyle name="Normal 5 2 3 2 5 3 2" xfId="14064" xr:uid="{B3B6F143-EC8E-4497-B5F1-37E337CC1F57}"/>
    <cellStyle name="Normal 5 2 3 2 5 4" xfId="9846" xr:uid="{A755F075-E2D5-4DA0-93C7-22CB5CB1FA3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D86318A9-BB62-4239-B86E-009C4A67ED82}"/>
    <cellStyle name="Normal 5 2 3 2 6 2 3" xfId="12404" xr:uid="{573B351D-6997-40D9-A144-977764958AF1}"/>
    <cellStyle name="Normal 5 2 3 2 6 3" xfId="6038" xr:uid="{00000000-0005-0000-0000-00007C180000}"/>
    <cellStyle name="Normal 5 2 3 2 6 3 2" xfId="14477" xr:uid="{4B7FAEFD-163F-40FD-AE13-E48AEE85A78C}"/>
    <cellStyle name="Normal 5 2 3 2 6 4" xfId="10259" xr:uid="{DF20110A-948F-452B-BF12-2C0E67A8AD44}"/>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85639658-00EF-4FFB-908E-63B3A4694A70}"/>
    <cellStyle name="Normal 5 2 3 2 7 2 3" xfId="12817" xr:uid="{8177978B-7437-446C-BC19-E8994B9F5455}"/>
    <cellStyle name="Normal 5 2 3 2 7 3" xfId="6451" xr:uid="{00000000-0005-0000-0000-000080180000}"/>
    <cellStyle name="Normal 5 2 3 2 7 3 2" xfId="14890" xr:uid="{37832157-B877-43D0-A876-BF1663DFE2F3}"/>
    <cellStyle name="Normal 5 2 3 2 7 4" xfId="10672" xr:uid="{19A73F97-E769-4919-A53F-D3F787C69762}"/>
    <cellStyle name="Normal 5 2 3 2 8" xfId="2580" xr:uid="{00000000-0005-0000-0000-000081180000}"/>
    <cellStyle name="Normal 5 2 3 2 8 2" xfId="6864" xr:uid="{00000000-0005-0000-0000-000082180000}"/>
    <cellStyle name="Normal 5 2 3 2 8 2 2" xfId="15303" xr:uid="{F24082A5-3E75-4A85-B2B5-22DB766AC911}"/>
    <cellStyle name="Normal 5 2 3 2 8 3" xfId="11085" xr:uid="{FC389BBA-4978-4F4E-B385-0EDD9C43A163}"/>
    <cellStyle name="Normal 5 2 3 2 9" xfId="4799" xr:uid="{00000000-0005-0000-0000-000083180000}"/>
    <cellStyle name="Normal 5 2 3 2 9 2" xfId="13238" xr:uid="{9688A298-EAFB-480D-8F2F-1C5B1BC4F4B6}"/>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D476C68A-2C13-4B6D-8AC4-0B22017E0141}"/>
    <cellStyle name="Normal 5 2 3 3 2 2 2 3" xfId="11583" xr:uid="{7304A2E8-F9E9-4567-A5ED-E43366CC8BBC}"/>
    <cellStyle name="Normal 5 2 3 3 2 2 3" xfId="5217" xr:uid="{00000000-0005-0000-0000-000089180000}"/>
    <cellStyle name="Normal 5 2 3 3 2 2 3 2" xfId="13656" xr:uid="{DFF642FA-7A46-466A-A946-C13070D58F7D}"/>
    <cellStyle name="Normal 5 2 3 3 2 2 4" xfId="9438" xr:uid="{2078B34C-1E3F-49DB-A240-089A975B9207}"/>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E571A6AF-C1E4-4FBD-ACA0-55CBCD1ED0FB}"/>
    <cellStyle name="Normal 5 2 3 3 2 3 2 3" xfId="11996" xr:uid="{1660F0FB-CF1B-480F-A09F-31FF953B954D}"/>
    <cellStyle name="Normal 5 2 3 3 2 3 3" xfId="5630" xr:uid="{00000000-0005-0000-0000-00008D180000}"/>
    <cellStyle name="Normal 5 2 3 3 2 3 3 2" xfId="14069" xr:uid="{5DD0851B-39C3-4456-9D0D-763B8A34C217}"/>
    <cellStyle name="Normal 5 2 3 3 2 3 4" xfId="9851" xr:uid="{06BFFE38-4358-421D-9637-D4FF1B17821C}"/>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9D7FE93D-CAAE-4F5C-A40E-7CA420892565}"/>
    <cellStyle name="Normal 5 2 3 3 2 4 2 3" xfId="12409" xr:uid="{0C730E58-6685-44DF-8DAC-0750EF3D7265}"/>
    <cellStyle name="Normal 5 2 3 3 2 4 3" xfId="6043" xr:uid="{00000000-0005-0000-0000-000091180000}"/>
    <cellStyle name="Normal 5 2 3 3 2 4 3 2" xfId="14482" xr:uid="{76923A1B-DDB7-4E12-B6AC-BA84394B871B}"/>
    <cellStyle name="Normal 5 2 3 3 2 4 4" xfId="10264" xr:uid="{54ACDDD6-0DA5-4BCF-87B2-C499FA9A11F5}"/>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FF78F1D0-C49D-49E4-9A04-2BC68FDB3515}"/>
    <cellStyle name="Normal 5 2 3 3 2 5 2 3" xfId="12822" xr:uid="{30FFC037-C103-40A0-B1E0-0AF0C1CCE18A}"/>
    <cellStyle name="Normal 5 2 3 3 2 5 3" xfId="6456" xr:uid="{00000000-0005-0000-0000-000095180000}"/>
    <cellStyle name="Normal 5 2 3 3 2 5 3 2" xfId="14895" xr:uid="{7EC3072B-9965-43BD-BE8E-BF286268497A}"/>
    <cellStyle name="Normal 5 2 3 3 2 5 4" xfId="10677" xr:uid="{263C7CD0-F4E8-43D7-BD50-231909D42D1F}"/>
    <cellStyle name="Normal 5 2 3 3 2 6" xfId="2585" xr:uid="{00000000-0005-0000-0000-000096180000}"/>
    <cellStyle name="Normal 5 2 3 3 2 6 2" xfId="6869" xr:uid="{00000000-0005-0000-0000-000097180000}"/>
    <cellStyle name="Normal 5 2 3 3 2 6 2 2" xfId="15308" xr:uid="{8EEF4C70-8986-4D28-8F6C-068A72421C9D}"/>
    <cellStyle name="Normal 5 2 3 3 2 6 3" xfId="11090" xr:uid="{FDB268A0-C64F-455A-BA42-278E43AC98F9}"/>
    <cellStyle name="Normal 5 2 3 3 2 7" xfId="4804" xr:uid="{00000000-0005-0000-0000-000098180000}"/>
    <cellStyle name="Normal 5 2 3 3 2 7 2" xfId="13243" xr:uid="{FB990C02-BBC0-4463-9CE7-54618EF98A29}"/>
    <cellStyle name="Normal 5 2 3 3 2 8" xfId="9025" xr:uid="{FD1F69B1-A8C5-45BC-98D8-B4AED9DD4BC3}"/>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B5FF77F8-B78C-4E8F-B8CF-CFE1E0CADE35}"/>
    <cellStyle name="Normal 5 2 3 3 3 2 3" xfId="11582" xr:uid="{61A114D8-BDA4-4404-8911-89FDA28035FC}"/>
    <cellStyle name="Normal 5 2 3 3 3 3" xfId="5216" xr:uid="{00000000-0005-0000-0000-00009C180000}"/>
    <cellStyle name="Normal 5 2 3 3 3 3 2" xfId="13655" xr:uid="{13F46923-6346-4CC3-9F4D-1AA26336492A}"/>
    <cellStyle name="Normal 5 2 3 3 3 4" xfId="9437" xr:uid="{5AFC23B2-AD22-4F03-8C16-78E6AB90D81B}"/>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00C9D03D-A9D3-4ED9-8AC0-BAFEB7083D98}"/>
    <cellStyle name="Normal 5 2 3 3 4 2 3" xfId="11995" xr:uid="{EA082251-8593-4EB3-AEFA-A34AA7D6B636}"/>
    <cellStyle name="Normal 5 2 3 3 4 3" xfId="5629" xr:uid="{00000000-0005-0000-0000-0000A0180000}"/>
    <cellStyle name="Normal 5 2 3 3 4 3 2" xfId="14068" xr:uid="{A7BA0A2F-1A68-4865-A532-F48F5D858BC7}"/>
    <cellStyle name="Normal 5 2 3 3 4 4" xfId="9850" xr:uid="{E3C2942C-BE6E-4226-BCCB-43CAFC16E563}"/>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A2652EC2-420B-4B0D-A4DE-571B2AFA79B7}"/>
    <cellStyle name="Normal 5 2 3 3 5 2 3" xfId="12408" xr:uid="{E653D2BD-07A1-4662-9CC3-9C5CD1C36BE4}"/>
    <cellStyle name="Normal 5 2 3 3 5 3" xfId="6042" xr:uid="{00000000-0005-0000-0000-0000A4180000}"/>
    <cellStyle name="Normal 5 2 3 3 5 3 2" xfId="14481" xr:uid="{633C7F5B-9191-419F-9316-3D4646124B6F}"/>
    <cellStyle name="Normal 5 2 3 3 5 4" xfId="10263" xr:uid="{6CEAD771-507A-47BE-8123-F887974823B1}"/>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B3EB6C55-BD5A-4792-A76C-9CA1A39D9548}"/>
    <cellStyle name="Normal 5 2 3 3 6 2 3" xfId="12821" xr:uid="{5B744999-3DD1-4677-82F7-5CD551169415}"/>
    <cellStyle name="Normal 5 2 3 3 6 3" xfId="6455" xr:uid="{00000000-0005-0000-0000-0000A8180000}"/>
    <cellStyle name="Normal 5 2 3 3 6 3 2" xfId="14894" xr:uid="{C2B7C301-A611-43BE-AA68-F2464CD27A87}"/>
    <cellStyle name="Normal 5 2 3 3 6 4" xfId="10676" xr:uid="{F9E53DAC-1F15-4E39-89B7-841177250D3E}"/>
    <cellStyle name="Normal 5 2 3 3 7" xfId="2584" xr:uid="{00000000-0005-0000-0000-0000A9180000}"/>
    <cellStyle name="Normal 5 2 3 3 7 2" xfId="6868" xr:uid="{00000000-0005-0000-0000-0000AA180000}"/>
    <cellStyle name="Normal 5 2 3 3 7 2 2" xfId="15307" xr:uid="{20320843-AECD-42E6-90CC-5B6F2B268DC5}"/>
    <cellStyle name="Normal 5 2 3 3 7 3" xfId="11089" xr:uid="{50101487-7A7A-4B32-868D-820AEBDB9806}"/>
    <cellStyle name="Normal 5 2 3 3 8" xfId="4803" xr:uid="{00000000-0005-0000-0000-0000AB180000}"/>
    <cellStyle name="Normal 5 2 3 3 8 2" xfId="13242" xr:uid="{3C53526E-804E-4127-9A6E-CB6EE9FE07F8}"/>
    <cellStyle name="Normal 5 2 3 3 9" xfId="9024" xr:uid="{D45FBF12-0E01-4DFA-9473-A354ACE67C54}"/>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90F73065-CC97-4FBF-8085-AE47181122FF}"/>
    <cellStyle name="Normal 5 2 3 4 2 2 3" xfId="11584" xr:uid="{0FC437EA-5A1B-4D09-B614-FAC3F4C3CDBF}"/>
    <cellStyle name="Normal 5 2 3 4 2 3" xfId="5218" xr:uid="{00000000-0005-0000-0000-0000B0180000}"/>
    <cellStyle name="Normal 5 2 3 4 2 3 2" xfId="13657" xr:uid="{DFB4E58E-1BA3-4445-B18D-5437A073FCE1}"/>
    <cellStyle name="Normal 5 2 3 4 2 4" xfId="9439" xr:uid="{E8296AA8-C74E-4489-82B7-2953CA768379}"/>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1DA7CA2D-EC0F-4389-A007-B9AE0A8D5B93}"/>
    <cellStyle name="Normal 5 2 3 4 3 2 3" xfId="11997" xr:uid="{1A79AA6A-3892-4D1F-A676-82F99586483C}"/>
    <cellStyle name="Normal 5 2 3 4 3 3" xfId="5631" xr:uid="{00000000-0005-0000-0000-0000B4180000}"/>
    <cellStyle name="Normal 5 2 3 4 3 3 2" xfId="14070" xr:uid="{5191CD5A-EA60-4E9A-944D-42594DBDA960}"/>
    <cellStyle name="Normal 5 2 3 4 3 4" xfId="9852" xr:uid="{80A2F36A-512B-4D60-B2F2-C7BCDC82A39D}"/>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4A99EEDB-7A9A-43DE-99C5-58FF3A97817E}"/>
    <cellStyle name="Normal 5 2 3 4 4 2 3" xfId="12410" xr:uid="{4CFE4DF6-FB7E-4E74-9AF9-3003979477B1}"/>
    <cellStyle name="Normal 5 2 3 4 4 3" xfId="6044" xr:uid="{00000000-0005-0000-0000-0000B8180000}"/>
    <cellStyle name="Normal 5 2 3 4 4 3 2" xfId="14483" xr:uid="{D67954FD-E9AF-4977-ACE6-2FB24FF34F8F}"/>
    <cellStyle name="Normal 5 2 3 4 4 4" xfId="10265" xr:uid="{D021F9D1-87CF-461E-B418-BE0D0FAF76B3}"/>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7966074D-533D-4A97-AB95-55217A18B216}"/>
    <cellStyle name="Normal 5 2 3 4 5 2 3" xfId="12823" xr:uid="{324676F2-388B-41DA-A7B0-0DD38F495AF6}"/>
    <cellStyle name="Normal 5 2 3 4 5 3" xfId="6457" xr:uid="{00000000-0005-0000-0000-0000BC180000}"/>
    <cellStyle name="Normal 5 2 3 4 5 3 2" xfId="14896" xr:uid="{1E7C6E76-5347-47B1-842A-55F773B48B66}"/>
    <cellStyle name="Normal 5 2 3 4 5 4" xfId="10678" xr:uid="{64097B96-62E2-45EE-8D49-704FFED66614}"/>
    <cellStyle name="Normal 5 2 3 4 6" xfId="2586" xr:uid="{00000000-0005-0000-0000-0000BD180000}"/>
    <cellStyle name="Normal 5 2 3 4 6 2" xfId="6870" xr:uid="{00000000-0005-0000-0000-0000BE180000}"/>
    <cellStyle name="Normal 5 2 3 4 6 2 2" xfId="15309" xr:uid="{CE1EF9DD-E0F4-4191-BE4F-952D3D34AAAE}"/>
    <cellStyle name="Normal 5 2 3 4 6 3" xfId="11091" xr:uid="{9097D53A-89BE-42EF-8E72-680E4485000D}"/>
    <cellStyle name="Normal 5 2 3 4 7" xfId="4805" xr:uid="{00000000-0005-0000-0000-0000BF180000}"/>
    <cellStyle name="Normal 5 2 3 4 7 2" xfId="13244" xr:uid="{BFE8F60F-F323-4285-AE74-53C9F86E73C9}"/>
    <cellStyle name="Normal 5 2 3 4 8" xfId="9026" xr:uid="{1A09D618-CDEF-425D-8F7D-865F70B33E53}"/>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E9BDA313-3465-4EA6-82AF-5110D5F0088E}"/>
    <cellStyle name="Normal 5 2 3 5 2 3" xfId="11577" xr:uid="{EAE760D0-FB27-4128-8BC5-44D028516506}"/>
    <cellStyle name="Normal 5 2 3 5 3" xfId="5211" xr:uid="{00000000-0005-0000-0000-0000C3180000}"/>
    <cellStyle name="Normal 5 2 3 5 3 2" xfId="13650" xr:uid="{BF42B77C-7B7C-42EF-815F-B7D8C7A861CA}"/>
    <cellStyle name="Normal 5 2 3 5 4" xfId="9432" xr:uid="{989AA4B0-5FBE-44DD-8866-D2E30653D228}"/>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4079E68F-E59E-47A3-A496-282D84BAFC51}"/>
    <cellStyle name="Normal 5 2 3 6 2 3" xfId="11990" xr:uid="{72A3CDD3-2290-441B-8067-1F62732F0590}"/>
    <cellStyle name="Normal 5 2 3 6 3" xfId="5624" xr:uid="{00000000-0005-0000-0000-0000C7180000}"/>
    <cellStyle name="Normal 5 2 3 6 3 2" xfId="14063" xr:uid="{3920A340-D6F6-4380-9111-7F3E3DE6639D}"/>
    <cellStyle name="Normal 5 2 3 6 4" xfId="9845" xr:uid="{C279F78F-A700-4E7A-B966-F921A8728D28}"/>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7084A77C-3CE3-4E3E-A8E5-DB655FC4817E}"/>
    <cellStyle name="Normal 5 2 3 7 2 3" xfId="12403" xr:uid="{FBECE753-DE05-4600-8819-FB8F7423E163}"/>
    <cellStyle name="Normal 5 2 3 7 3" xfId="6037" xr:uid="{00000000-0005-0000-0000-0000CB180000}"/>
    <cellStyle name="Normal 5 2 3 7 3 2" xfId="14476" xr:uid="{E3D7FD81-67C6-4577-9F02-3860BEFAB91C}"/>
    <cellStyle name="Normal 5 2 3 7 4" xfId="10258" xr:uid="{000D1F87-B5D1-4080-9CFF-6E84EC9637EA}"/>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38F23AE2-FAF0-41EE-AE90-0F9538BEBFC4}"/>
    <cellStyle name="Normal 5 2 3 8 2 3" xfId="12816" xr:uid="{6689023A-7F09-493E-B5DF-C746A7283DE2}"/>
    <cellStyle name="Normal 5 2 3 8 3" xfId="6450" xr:uid="{00000000-0005-0000-0000-0000CF180000}"/>
    <cellStyle name="Normal 5 2 3 8 3 2" xfId="14889" xr:uid="{D49FAE40-6B92-402C-B132-7991BF698E92}"/>
    <cellStyle name="Normal 5 2 3 8 4" xfId="10671" xr:uid="{63E05388-7DD5-491B-B3DD-820FBF51FC88}"/>
    <cellStyle name="Normal 5 2 3 9" xfId="2579" xr:uid="{00000000-0005-0000-0000-0000D0180000}"/>
    <cellStyle name="Normal 5 2 3 9 2" xfId="6863" xr:uid="{00000000-0005-0000-0000-0000D1180000}"/>
    <cellStyle name="Normal 5 2 3 9 2 2" xfId="15302" xr:uid="{FE52D9AE-2C42-4ED5-A7EB-D537FF44802F}"/>
    <cellStyle name="Normal 5 2 3 9 3" xfId="11084" xr:uid="{B57533AC-8A13-401D-BEE8-E62EFAB8C212}"/>
    <cellStyle name="Normal 5 2 4" xfId="432" xr:uid="{00000000-0005-0000-0000-0000D2180000}"/>
    <cellStyle name="Normal 5 2 4 10" xfId="9027" xr:uid="{902A0869-5F01-46A8-BA17-B3A7D2D976BF}"/>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2FFD6821-C399-431A-A3B2-031A0D562D6D}"/>
    <cellStyle name="Normal 5 2 4 2 2 2 2 3" xfId="11587" xr:uid="{A237C128-E43B-4AC2-90E3-272E6F554E31}"/>
    <cellStyle name="Normal 5 2 4 2 2 2 3" xfId="5221" xr:uid="{00000000-0005-0000-0000-0000D8180000}"/>
    <cellStyle name="Normal 5 2 4 2 2 2 3 2" xfId="13660" xr:uid="{C433D23C-697F-43D8-B767-0E6387E7795F}"/>
    <cellStyle name="Normal 5 2 4 2 2 2 4" xfId="9442" xr:uid="{2E496B1D-EF36-428F-95E9-AFED241D9DFC}"/>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2FC9492B-4B28-4452-A495-7C780E2C1CFB}"/>
    <cellStyle name="Normal 5 2 4 2 2 3 2 3" xfId="12000" xr:uid="{AB5576C7-8C63-4317-B1B8-F46DF903518D}"/>
    <cellStyle name="Normal 5 2 4 2 2 3 3" xfId="5634" xr:uid="{00000000-0005-0000-0000-0000DC180000}"/>
    <cellStyle name="Normal 5 2 4 2 2 3 3 2" xfId="14073" xr:uid="{47207959-04F0-4C0E-A571-E99F990267D2}"/>
    <cellStyle name="Normal 5 2 4 2 2 3 4" xfId="9855" xr:uid="{F552C000-09F0-43D1-92B5-77B0D48CCC77}"/>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9DF0D8DB-3600-458A-9E2F-762B2C2ED5DE}"/>
    <cellStyle name="Normal 5 2 4 2 2 4 2 3" xfId="12413" xr:uid="{70CC412F-2439-42C1-AD07-268952F9CB6A}"/>
    <cellStyle name="Normal 5 2 4 2 2 4 3" xfId="6047" xr:uid="{00000000-0005-0000-0000-0000E0180000}"/>
    <cellStyle name="Normal 5 2 4 2 2 4 3 2" xfId="14486" xr:uid="{314667AD-1F1E-4260-8C00-903C3690B940}"/>
    <cellStyle name="Normal 5 2 4 2 2 4 4" xfId="10268" xr:uid="{AC94CF17-77FA-409C-8AE9-7A93C1F31F7F}"/>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C4DABD5E-A638-4D95-96BC-82D05410CBFD}"/>
    <cellStyle name="Normal 5 2 4 2 2 5 2 3" xfId="12826" xr:uid="{9F7549A5-9D7B-4F4A-9833-7DFED6729279}"/>
    <cellStyle name="Normal 5 2 4 2 2 5 3" xfId="6460" xr:uid="{00000000-0005-0000-0000-0000E4180000}"/>
    <cellStyle name="Normal 5 2 4 2 2 5 3 2" xfId="14899" xr:uid="{0B071F5C-93EF-4841-8A12-2BC7813F858E}"/>
    <cellStyle name="Normal 5 2 4 2 2 5 4" xfId="10681" xr:uid="{35AE92FA-80D5-4371-AFC3-0E4AE9F45877}"/>
    <cellStyle name="Normal 5 2 4 2 2 6" xfId="2589" xr:uid="{00000000-0005-0000-0000-0000E5180000}"/>
    <cellStyle name="Normal 5 2 4 2 2 6 2" xfId="6873" xr:uid="{00000000-0005-0000-0000-0000E6180000}"/>
    <cellStyle name="Normal 5 2 4 2 2 6 2 2" xfId="15312" xr:uid="{9E0F57F7-3580-4976-9E8E-41E87868DD1D}"/>
    <cellStyle name="Normal 5 2 4 2 2 6 3" xfId="11094" xr:uid="{2F54B6A2-0546-4370-959A-62EECCE36442}"/>
    <cellStyle name="Normal 5 2 4 2 2 7" xfId="4808" xr:uid="{00000000-0005-0000-0000-0000E7180000}"/>
    <cellStyle name="Normal 5 2 4 2 2 7 2" xfId="13247" xr:uid="{34D5AD84-A3E5-4D8C-A396-A00A9A2184BD}"/>
    <cellStyle name="Normal 5 2 4 2 2 8" xfId="9029" xr:uid="{196AAD93-38CC-41DA-B1B1-587AE95F9FBD}"/>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4E416168-EFF3-430B-A821-6BD6DEE356A2}"/>
    <cellStyle name="Normal 5 2 4 2 3 2 3" xfId="11586" xr:uid="{EDD7CC06-FE9E-4619-BEE5-FD13B18AB0DA}"/>
    <cellStyle name="Normal 5 2 4 2 3 3" xfId="5220" xr:uid="{00000000-0005-0000-0000-0000EB180000}"/>
    <cellStyle name="Normal 5 2 4 2 3 3 2" xfId="13659" xr:uid="{D3FDE3D7-0565-4A8A-800E-4C2683FC22E3}"/>
    <cellStyle name="Normal 5 2 4 2 3 4" xfId="9441" xr:uid="{C8ADAAEB-F1C7-4EA3-B219-D62FC77E9733}"/>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2EEAF1FF-9B04-4155-B9D5-7A549C72BD79}"/>
    <cellStyle name="Normal 5 2 4 2 4 2 3" xfId="11999" xr:uid="{DE74134E-911F-4BBA-A6ED-392DA10C4408}"/>
    <cellStyle name="Normal 5 2 4 2 4 3" xfId="5633" xr:uid="{00000000-0005-0000-0000-0000EF180000}"/>
    <cellStyle name="Normal 5 2 4 2 4 3 2" xfId="14072" xr:uid="{22D99751-27AC-4BDF-9BF7-1B2F67B74958}"/>
    <cellStyle name="Normal 5 2 4 2 4 4" xfId="9854" xr:uid="{61E5A6BD-AF53-4C28-BCA0-FD65D95DBAB3}"/>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3B184BF1-AE5F-4569-B54E-06005A1511A4}"/>
    <cellStyle name="Normal 5 2 4 2 5 2 3" xfId="12412" xr:uid="{A5DD743F-F6D7-4BE9-9B75-43D79D52CA33}"/>
    <cellStyle name="Normal 5 2 4 2 5 3" xfId="6046" xr:uid="{00000000-0005-0000-0000-0000F3180000}"/>
    <cellStyle name="Normal 5 2 4 2 5 3 2" xfId="14485" xr:uid="{83451781-6800-49D3-8BBF-68ADD46A6D94}"/>
    <cellStyle name="Normal 5 2 4 2 5 4" xfId="10267" xr:uid="{0E41D4DA-81F9-430A-8988-CC3B32BF4877}"/>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563EBE66-E8C4-411B-8CFC-94D1BBE0271D}"/>
    <cellStyle name="Normal 5 2 4 2 6 2 3" xfId="12825" xr:uid="{AFCC9F7A-611B-46B1-8167-D5636DC77BC6}"/>
    <cellStyle name="Normal 5 2 4 2 6 3" xfId="6459" xr:uid="{00000000-0005-0000-0000-0000F7180000}"/>
    <cellStyle name="Normal 5 2 4 2 6 3 2" xfId="14898" xr:uid="{65BEB3FD-EC6A-4FAC-B817-DD85489C2EB4}"/>
    <cellStyle name="Normal 5 2 4 2 6 4" xfId="10680" xr:uid="{1C86ACDB-EA71-4798-96D5-06A95CD3F97F}"/>
    <cellStyle name="Normal 5 2 4 2 7" xfId="2588" xr:uid="{00000000-0005-0000-0000-0000F8180000}"/>
    <cellStyle name="Normal 5 2 4 2 7 2" xfId="6872" xr:uid="{00000000-0005-0000-0000-0000F9180000}"/>
    <cellStyle name="Normal 5 2 4 2 7 2 2" xfId="15311" xr:uid="{C5939C25-D398-4F5B-B55E-C6DE799204F0}"/>
    <cellStyle name="Normal 5 2 4 2 7 3" xfId="11093" xr:uid="{B126CB85-DC5C-4002-9399-18C499584008}"/>
    <cellStyle name="Normal 5 2 4 2 8" xfId="4807" xr:uid="{00000000-0005-0000-0000-0000FA180000}"/>
    <cellStyle name="Normal 5 2 4 2 8 2" xfId="13246" xr:uid="{882D42AE-C7A0-43FE-9108-71BD276B3C95}"/>
    <cellStyle name="Normal 5 2 4 2 9" xfId="9028" xr:uid="{738ECC65-BA15-4E19-9891-71AF505E8054}"/>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9526FDB4-49E8-40C0-A6AB-C10185BF3103}"/>
    <cellStyle name="Normal 5 2 4 3 2 2 3" xfId="11588" xr:uid="{C5D44B26-5B4F-4013-86BD-6BFCD7E919CA}"/>
    <cellStyle name="Normal 5 2 4 3 2 3" xfId="5222" xr:uid="{00000000-0005-0000-0000-0000FF180000}"/>
    <cellStyle name="Normal 5 2 4 3 2 3 2" xfId="13661" xr:uid="{CF4152D7-C56A-437A-BD8C-4D1534C09C37}"/>
    <cellStyle name="Normal 5 2 4 3 2 4" xfId="9443" xr:uid="{2B6B6641-DAB9-400B-9CCB-DFEAAE37B3F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62E56C22-79D2-47E0-855E-4244B04A4982}"/>
    <cellStyle name="Normal 5 2 4 3 3 2 3" xfId="12001" xr:uid="{F0A2676C-D228-4424-92A1-BEBAC21996A7}"/>
    <cellStyle name="Normal 5 2 4 3 3 3" xfId="5635" xr:uid="{00000000-0005-0000-0000-000003190000}"/>
    <cellStyle name="Normal 5 2 4 3 3 3 2" xfId="14074" xr:uid="{D17AC501-2B54-44A4-9627-16087379E1E9}"/>
    <cellStyle name="Normal 5 2 4 3 3 4" xfId="9856" xr:uid="{2EF27786-5BD7-4550-AF9A-001E7B9DB4CF}"/>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39BFFF6E-D1B5-475B-9255-71205D4AF239}"/>
    <cellStyle name="Normal 5 2 4 3 4 2 3" xfId="12414" xr:uid="{1A11CE87-14F3-40AB-9002-7C1AEB7BC468}"/>
    <cellStyle name="Normal 5 2 4 3 4 3" xfId="6048" xr:uid="{00000000-0005-0000-0000-000007190000}"/>
    <cellStyle name="Normal 5 2 4 3 4 3 2" xfId="14487" xr:uid="{8EEACB82-F656-4BD4-9186-63B6CC4AB88D}"/>
    <cellStyle name="Normal 5 2 4 3 4 4" xfId="10269" xr:uid="{D898D17F-365D-4CC7-BB49-D58E1BDD8687}"/>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D605D67D-84A8-4845-851E-3721583DFBFB}"/>
    <cellStyle name="Normal 5 2 4 3 5 2 3" xfId="12827" xr:uid="{E396B82A-48CE-4EC7-9154-B42F89E56444}"/>
    <cellStyle name="Normal 5 2 4 3 5 3" xfId="6461" xr:uid="{00000000-0005-0000-0000-00000B190000}"/>
    <cellStyle name="Normal 5 2 4 3 5 3 2" xfId="14900" xr:uid="{38CA8640-7728-44B1-9A43-4768867363E9}"/>
    <cellStyle name="Normal 5 2 4 3 5 4" xfId="10682" xr:uid="{22300159-C9DB-4903-8458-82F94A8152B9}"/>
    <cellStyle name="Normal 5 2 4 3 6" xfId="2590" xr:uid="{00000000-0005-0000-0000-00000C190000}"/>
    <cellStyle name="Normal 5 2 4 3 6 2" xfId="6874" xr:uid="{00000000-0005-0000-0000-00000D190000}"/>
    <cellStyle name="Normal 5 2 4 3 6 2 2" xfId="15313" xr:uid="{3A5CDE59-33D4-473B-A51B-468F9CF05682}"/>
    <cellStyle name="Normal 5 2 4 3 6 3" xfId="11095" xr:uid="{3BD7977F-B3DC-46BA-9F27-6880994E1042}"/>
    <cellStyle name="Normal 5 2 4 3 7" xfId="4809" xr:uid="{00000000-0005-0000-0000-00000E190000}"/>
    <cellStyle name="Normal 5 2 4 3 7 2" xfId="13248" xr:uid="{D0FF377A-F6D1-44ED-9AD5-E17CCFB5F8BA}"/>
    <cellStyle name="Normal 5 2 4 3 8" xfId="9030" xr:uid="{AD06D075-342F-4872-97C4-BA736670C57A}"/>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E9A117A5-7E48-422E-B69A-10FE2CAAC965}"/>
    <cellStyle name="Normal 5 2 4 4 2 3" xfId="11585" xr:uid="{799D7CCB-E256-4597-9185-DC1000BBB79C}"/>
    <cellStyle name="Normal 5 2 4 4 3" xfId="5219" xr:uid="{00000000-0005-0000-0000-000012190000}"/>
    <cellStyle name="Normal 5 2 4 4 3 2" xfId="13658" xr:uid="{78A56969-C690-41B8-865D-B0D2D21AF14F}"/>
    <cellStyle name="Normal 5 2 4 4 4" xfId="9440" xr:uid="{D78D5B99-2B5C-4E35-83B0-851211FE63E8}"/>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476332A8-64A9-41AF-9B08-B3CEE08B0EC3}"/>
    <cellStyle name="Normal 5 2 4 5 2 3" xfId="11998" xr:uid="{22D27EFF-9A2B-47C2-A3DA-E154C3B8CF5A}"/>
    <cellStyle name="Normal 5 2 4 5 3" xfId="5632" xr:uid="{00000000-0005-0000-0000-000016190000}"/>
    <cellStyle name="Normal 5 2 4 5 3 2" xfId="14071" xr:uid="{01BEE109-AE1A-4116-A8DB-DE106E1ADE5A}"/>
    <cellStyle name="Normal 5 2 4 5 4" xfId="9853" xr:uid="{23A6B7AD-9FEB-463F-96DF-859FFEACA699}"/>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13E59A96-2EAB-437A-8620-4C5BF67D6857}"/>
    <cellStyle name="Normal 5 2 4 6 2 3" xfId="12411" xr:uid="{D3DED152-180D-46E3-92DE-829BAB43902F}"/>
    <cellStyle name="Normal 5 2 4 6 3" xfId="6045" xr:uid="{00000000-0005-0000-0000-00001A190000}"/>
    <cellStyle name="Normal 5 2 4 6 3 2" xfId="14484" xr:uid="{90ADD4B1-E510-462B-B7A7-C1A4124FD0A7}"/>
    <cellStyle name="Normal 5 2 4 6 4" xfId="10266" xr:uid="{FAB66A20-6F48-45BA-B114-8C18F96F05E0}"/>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2541EB46-74B8-4ECD-A51A-0B5D7A23DF5C}"/>
    <cellStyle name="Normal 5 2 4 7 2 3" xfId="12824" xr:uid="{65F90949-5599-4EFF-947A-B3094707C5EB}"/>
    <cellStyle name="Normal 5 2 4 7 3" xfId="6458" xr:uid="{00000000-0005-0000-0000-00001E190000}"/>
    <cellStyle name="Normal 5 2 4 7 3 2" xfId="14897" xr:uid="{E03FC846-D32B-4967-9733-3364479BBD85}"/>
    <cellStyle name="Normal 5 2 4 7 4" xfId="10679" xr:uid="{B1FB5CAA-CDFD-4AFC-BAAA-C389B3C1542B}"/>
    <cellStyle name="Normal 5 2 4 8" xfId="2587" xr:uid="{00000000-0005-0000-0000-00001F190000}"/>
    <cellStyle name="Normal 5 2 4 8 2" xfId="6871" xr:uid="{00000000-0005-0000-0000-000020190000}"/>
    <cellStyle name="Normal 5 2 4 8 2 2" xfId="15310" xr:uid="{876D055B-4714-49CB-A756-6F5AF8C2D6F3}"/>
    <cellStyle name="Normal 5 2 4 8 3" xfId="11092" xr:uid="{5D9CC95D-20F1-4B7F-AF19-F407E7BE4754}"/>
    <cellStyle name="Normal 5 2 4 9" xfId="4806" xr:uid="{00000000-0005-0000-0000-000021190000}"/>
    <cellStyle name="Normal 5 2 4 9 2" xfId="13245" xr:uid="{89371E31-9057-4E4A-A60A-5713380FDDC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CC1314A3-BA22-4D12-BD3F-889683C7EB46}"/>
    <cellStyle name="Normal 5 2 5 2 2 2 3" xfId="11590" xr:uid="{24A79977-DC16-49C3-87E7-1FC8C4D36D37}"/>
    <cellStyle name="Normal 5 2 5 2 2 3" xfId="5224" xr:uid="{00000000-0005-0000-0000-000027190000}"/>
    <cellStyle name="Normal 5 2 5 2 2 3 2" xfId="13663" xr:uid="{729261E4-5BDC-4E3A-AAAB-D2BB99FC2444}"/>
    <cellStyle name="Normal 5 2 5 2 2 4" xfId="9445" xr:uid="{CE70C664-1AAA-404B-B38D-B55FF63EEC3D}"/>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F015A980-C7D6-4330-BA5C-2AED1BAB8CF2}"/>
    <cellStyle name="Normal 5 2 5 2 3 2 3" xfId="12003" xr:uid="{33F5E9CA-5B82-49AD-920C-A4D440555903}"/>
    <cellStyle name="Normal 5 2 5 2 3 3" xfId="5637" xr:uid="{00000000-0005-0000-0000-00002B190000}"/>
    <cellStyle name="Normal 5 2 5 2 3 3 2" xfId="14076" xr:uid="{93CEAC36-7135-47B0-B896-2AC47A3395C5}"/>
    <cellStyle name="Normal 5 2 5 2 3 4" xfId="9858" xr:uid="{8F72ABFB-D1E2-4030-8C45-8EA6CA5917ED}"/>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B4ABCE3C-3120-4048-B05B-7C28C3739B99}"/>
    <cellStyle name="Normal 5 2 5 2 4 2 3" xfId="12416" xr:uid="{0DD31854-EC53-40DE-B901-2A989F3CCDBA}"/>
    <cellStyle name="Normal 5 2 5 2 4 3" xfId="6050" xr:uid="{00000000-0005-0000-0000-00002F190000}"/>
    <cellStyle name="Normal 5 2 5 2 4 3 2" xfId="14489" xr:uid="{D5806055-BC99-49B9-ABEE-033B21A19A95}"/>
    <cellStyle name="Normal 5 2 5 2 4 4" xfId="10271" xr:uid="{586A011C-6CEE-401A-B748-D6B4C6A9A978}"/>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D24E0CCE-FB12-47DF-9776-CD94B6C827C9}"/>
    <cellStyle name="Normal 5 2 5 2 5 2 3" xfId="12829" xr:uid="{84A08D03-9FB2-4E5A-92B7-FF4F8DDF8B27}"/>
    <cellStyle name="Normal 5 2 5 2 5 3" xfId="6463" xr:uid="{00000000-0005-0000-0000-000033190000}"/>
    <cellStyle name="Normal 5 2 5 2 5 3 2" xfId="14902" xr:uid="{72B7FF1D-3A6A-4CB3-B3FA-FED1ACD77D86}"/>
    <cellStyle name="Normal 5 2 5 2 5 4" xfId="10684" xr:uid="{4B5BA231-739B-4A15-80BE-5F11798A5626}"/>
    <cellStyle name="Normal 5 2 5 2 6" xfId="2592" xr:uid="{00000000-0005-0000-0000-000034190000}"/>
    <cellStyle name="Normal 5 2 5 2 6 2" xfId="6876" xr:uid="{00000000-0005-0000-0000-000035190000}"/>
    <cellStyle name="Normal 5 2 5 2 6 2 2" xfId="15315" xr:uid="{819AD118-32E6-4A29-B30C-55FBEE098EE0}"/>
    <cellStyle name="Normal 5 2 5 2 6 3" xfId="11097" xr:uid="{D615BE72-C6B4-4BFA-8851-EC76C4A40391}"/>
    <cellStyle name="Normal 5 2 5 2 7" xfId="4811" xr:uid="{00000000-0005-0000-0000-000036190000}"/>
    <cellStyle name="Normal 5 2 5 2 7 2" xfId="13250" xr:uid="{3895D5CA-51C8-4F80-98BA-A68B5B8D6E3B}"/>
    <cellStyle name="Normal 5 2 5 2 8" xfId="9032" xr:uid="{AD89C523-49F6-4055-AF8C-E0EB9ABD0E56}"/>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DB26713D-97D2-45B7-AD0E-8520ADFE6AA5}"/>
    <cellStyle name="Normal 5 2 5 3 2 3" xfId="11589" xr:uid="{57DEAF95-E4F8-4562-8DBE-03FDD28C1721}"/>
    <cellStyle name="Normal 5 2 5 3 3" xfId="5223" xr:uid="{00000000-0005-0000-0000-00003A190000}"/>
    <cellStyle name="Normal 5 2 5 3 3 2" xfId="13662" xr:uid="{5684DCAA-F4CA-4AE5-9F9A-6108E2B38B7F}"/>
    <cellStyle name="Normal 5 2 5 3 4" xfId="9444" xr:uid="{C90129DC-54EC-4E5E-A35C-6A0BD8A1965E}"/>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29C06993-3DA5-44B6-B78F-A2F670C6B3A9}"/>
    <cellStyle name="Normal 5 2 5 4 2 3" xfId="12002" xr:uid="{8559911A-3939-4E53-AD8A-7ADE63F04738}"/>
    <cellStyle name="Normal 5 2 5 4 3" xfId="5636" xr:uid="{00000000-0005-0000-0000-00003E190000}"/>
    <cellStyle name="Normal 5 2 5 4 3 2" xfId="14075" xr:uid="{7FCD3B5C-90D1-4479-BCDC-0EBF9EE5DF48}"/>
    <cellStyle name="Normal 5 2 5 4 4" xfId="9857" xr:uid="{54C686FD-4F6D-4C3F-AACF-874741735423}"/>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B9786374-E7CF-41AC-ADA5-249815881922}"/>
    <cellStyle name="Normal 5 2 5 5 2 3" xfId="12415" xr:uid="{49E2A253-D02F-4EEA-BC9A-9B8919E79E02}"/>
    <cellStyle name="Normal 5 2 5 5 3" xfId="6049" xr:uid="{00000000-0005-0000-0000-000042190000}"/>
    <cellStyle name="Normal 5 2 5 5 3 2" xfId="14488" xr:uid="{D5EBF745-DD36-41EB-91AD-023E23E6341F}"/>
    <cellStyle name="Normal 5 2 5 5 4" xfId="10270" xr:uid="{23332764-89A9-4DCC-BBD5-D41242E7CC1F}"/>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5EE7CA3F-3C1B-4690-AEEA-089D6E2AA887}"/>
    <cellStyle name="Normal 5 2 5 6 2 3" xfId="12828" xr:uid="{3D22F24A-6D70-44CF-914A-F4729FE87DA8}"/>
    <cellStyle name="Normal 5 2 5 6 3" xfId="6462" xr:uid="{00000000-0005-0000-0000-000046190000}"/>
    <cellStyle name="Normal 5 2 5 6 3 2" xfId="14901" xr:uid="{7E2809EB-45A2-4956-A030-2A379BA84A45}"/>
    <cellStyle name="Normal 5 2 5 6 4" xfId="10683" xr:uid="{B3DF5DDC-3D24-47BE-98F4-75E3E15596D8}"/>
    <cellStyle name="Normal 5 2 5 7" xfId="2591" xr:uid="{00000000-0005-0000-0000-000047190000}"/>
    <cellStyle name="Normal 5 2 5 7 2" xfId="6875" xr:uid="{00000000-0005-0000-0000-000048190000}"/>
    <cellStyle name="Normal 5 2 5 7 2 2" xfId="15314" xr:uid="{89589848-4B13-4D07-9974-D842734F98F7}"/>
    <cellStyle name="Normal 5 2 5 7 3" xfId="11096" xr:uid="{5E389E4D-15A4-4784-85E2-2D207BFD3C5B}"/>
    <cellStyle name="Normal 5 2 5 8" xfId="4810" xr:uid="{00000000-0005-0000-0000-000049190000}"/>
    <cellStyle name="Normal 5 2 5 8 2" xfId="13249" xr:uid="{1FD824C0-1A2A-45D7-B5AE-6D5D986F29AE}"/>
    <cellStyle name="Normal 5 2 5 9" xfId="9031" xr:uid="{74571594-B53F-4A08-82D1-6F04E5D49F6E}"/>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FC0B7817-2CA0-47FB-849D-1367DF2CCCDC}"/>
    <cellStyle name="Normal 5 2 6 2 2 3" xfId="11591" xr:uid="{B90C1221-53C2-470C-B006-4E577FC176DA}"/>
    <cellStyle name="Normal 5 2 6 2 3" xfId="5225" xr:uid="{00000000-0005-0000-0000-00004E190000}"/>
    <cellStyle name="Normal 5 2 6 2 3 2" xfId="13664" xr:uid="{5CACADFA-6363-4327-822F-D4983EE6DB71}"/>
    <cellStyle name="Normal 5 2 6 2 4" xfId="9446" xr:uid="{E65E94B3-FC7D-4D28-904C-B4E13840A629}"/>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22B0C4D4-7416-43CC-A603-D92651500343}"/>
    <cellStyle name="Normal 5 2 6 3 2 3" xfId="12004" xr:uid="{6E8DE67E-F8DE-4C1F-A917-FEABAB3D5D16}"/>
    <cellStyle name="Normal 5 2 6 3 3" xfId="5638" xr:uid="{00000000-0005-0000-0000-000052190000}"/>
    <cellStyle name="Normal 5 2 6 3 3 2" xfId="14077" xr:uid="{A0175C4B-34F5-4B2D-AADA-54A26577952F}"/>
    <cellStyle name="Normal 5 2 6 3 4" xfId="9859" xr:uid="{080A0C13-6228-4853-8FEE-C1392D0D7BEB}"/>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8F71E3AA-B6E1-430B-BB9E-EEC20430DBBD}"/>
    <cellStyle name="Normal 5 2 6 4 2 3" xfId="12417" xr:uid="{C1991841-DC68-47CB-B07D-AD604788C356}"/>
    <cellStyle name="Normal 5 2 6 4 3" xfId="6051" xr:uid="{00000000-0005-0000-0000-000056190000}"/>
    <cellStyle name="Normal 5 2 6 4 3 2" xfId="14490" xr:uid="{BA2E3838-9831-4570-90BD-6CA6FD46044F}"/>
    <cellStyle name="Normal 5 2 6 4 4" xfId="10272" xr:uid="{F28358E3-196F-42A3-AB3F-D96DA99C6ADB}"/>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C2C53FD0-C9A0-4F85-B53F-C7B30C290C78}"/>
    <cellStyle name="Normal 5 2 6 5 2 3" xfId="12830" xr:uid="{5D5F5B6B-333F-46B9-BF65-49FF44954CC1}"/>
    <cellStyle name="Normal 5 2 6 5 3" xfId="6464" xr:uid="{00000000-0005-0000-0000-00005A190000}"/>
    <cellStyle name="Normal 5 2 6 5 3 2" xfId="14903" xr:uid="{805B2EC3-D55C-4DFA-8F85-64F7E52FC8E8}"/>
    <cellStyle name="Normal 5 2 6 5 4" xfId="10685" xr:uid="{0520CE1E-6C08-4F8C-8B61-96280876FC9F}"/>
    <cellStyle name="Normal 5 2 6 6" xfId="2593" xr:uid="{00000000-0005-0000-0000-00005B190000}"/>
    <cellStyle name="Normal 5 2 6 6 2" xfId="6877" xr:uid="{00000000-0005-0000-0000-00005C190000}"/>
    <cellStyle name="Normal 5 2 6 6 2 2" xfId="15316" xr:uid="{D946BE23-543F-41BC-8F31-9093E85B983F}"/>
    <cellStyle name="Normal 5 2 6 6 3" xfId="11098" xr:uid="{C938F030-5298-4C2A-906F-BE1728867196}"/>
    <cellStyle name="Normal 5 2 6 7" xfId="4812" xr:uid="{00000000-0005-0000-0000-00005D190000}"/>
    <cellStyle name="Normal 5 2 6 7 2" xfId="13251" xr:uid="{375C9A84-74B8-4696-87B3-FC6B2FB1F967}"/>
    <cellStyle name="Normal 5 2 6 8" xfId="9033" xr:uid="{F742126A-E2D6-4CF5-9C0C-5B0740FDBBEE}"/>
    <cellStyle name="Normal 5 2 7" xfId="881" xr:uid="{00000000-0005-0000-0000-00005E190000}"/>
    <cellStyle name="Normal 5 2 7 2" xfId="3116" xr:uid="{00000000-0005-0000-0000-00005F190000}"/>
    <cellStyle name="Normal 5 2 7 2 2" xfId="7339" xr:uid="{00000000-0005-0000-0000-000060190000}"/>
    <cellStyle name="Normal 5 2 7 2 2 2" xfId="15778" xr:uid="{24E37C04-486E-44EC-B73D-F6C77ADB8614}"/>
    <cellStyle name="Normal 5 2 7 2 3" xfId="11560" xr:uid="{6BA28DD6-0C10-4B92-8BFD-AB7D3D6D456C}"/>
    <cellStyle name="Normal 5 2 7 3" xfId="5194" xr:uid="{00000000-0005-0000-0000-000061190000}"/>
    <cellStyle name="Normal 5 2 7 3 2" xfId="13633" xr:uid="{BEE54420-A803-46D9-877F-B6454A75348E}"/>
    <cellStyle name="Normal 5 2 7 4" xfId="9415" xr:uid="{7CE9C362-8B66-488F-80CC-C9EB8ACAFFAD}"/>
    <cellStyle name="Normal 5 2 8" xfId="1299" xr:uid="{00000000-0005-0000-0000-000062190000}"/>
    <cellStyle name="Normal 5 2 8 2" xfId="3529" xr:uid="{00000000-0005-0000-0000-000063190000}"/>
    <cellStyle name="Normal 5 2 8 2 2" xfId="7752" xr:uid="{00000000-0005-0000-0000-000064190000}"/>
    <cellStyle name="Normal 5 2 8 2 2 2" xfId="16191" xr:uid="{42F380BD-E84C-4A1A-AEF5-2BE6CF8C4C65}"/>
    <cellStyle name="Normal 5 2 8 2 3" xfId="11973" xr:uid="{5D01BF91-2AD4-499B-AD8E-2F9FDA19736D}"/>
    <cellStyle name="Normal 5 2 8 3" xfId="5607" xr:uid="{00000000-0005-0000-0000-000065190000}"/>
    <cellStyle name="Normal 5 2 8 3 2" xfId="14046" xr:uid="{4ED41C73-5484-4600-8EAB-20A0D650068B}"/>
    <cellStyle name="Normal 5 2 8 4" xfId="9828" xr:uid="{01C15132-F03F-4D93-BB5B-A1D8510CB90E}"/>
    <cellStyle name="Normal 5 2 9" xfId="1712" xr:uid="{00000000-0005-0000-0000-000066190000}"/>
    <cellStyle name="Normal 5 2 9 2" xfId="3942" xr:uid="{00000000-0005-0000-0000-000067190000}"/>
    <cellStyle name="Normal 5 2 9 2 2" xfId="8165" xr:uid="{00000000-0005-0000-0000-000068190000}"/>
    <cellStyle name="Normal 5 2 9 2 2 2" xfId="16604" xr:uid="{63F04C82-32CD-49DC-9119-1B5A6F7D8188}"/>
    <cellStyle name="Normal 5 2 9 2 3" xfId="12386" xr:uid="{6148186A-6F7D-41EB-B257-3CF646787998}"/>
    <cellStyle name="Normal 5 2 9 3" xfId="6020" xr:uid="{00000000-0005-0000-0000-000069190000}"/>
    <cellStyle name="Normal 5 2 9 3 2" xfId="14459" xr:uid="{5D4336C5-62E6-468E-BB6F-B5445744228C}"/>
    <cellStyle name="Normal 5 2 9 4" xfId="10241" xr:uid="{79D767D2-8C2F-432A-AC64-A0E1219CED64}"/>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2204C484-4D43-4487-9627-4CCAE89B2BED}"/>
    <cellStyle name="Normal 5 3 10 2 3" xfId="12831" xr:uid="{5D7427DD-6F07-47A6-8983-95C67A6413CE}"/>
    <cellStyle name="Normal 5 3 10 3" xfId="6465" xr:uid="{00000000-0005-0000-0000-00006E190000}"/>
    <cellStyle name="Normal 5 3 10 3 2" xfId="14904" xr:uid="{7DB14929-6EEE-4CD7-BD6E-7DB97FAB54FA}"/>
    <cellStyle name="Normal 5 3 10 4" xfId="10686" xr:uid="{1C0D598A-2D7C-4D19-B062-5BF2B1FC0984}"/>
    <cellStyle name="Normal 5 3 11" xfId="2594" xr:uid="{00000000-0005-0000-0000-00006F190000}"/>
    <cellStyle name="Normal 5 3 11 2" xfId="6878" xr:uid="{00000000-0005-0000-0000-000070190000}"/>
    <cellStyle name="Normal 5 3 11 2 2" xfId="15317" xr:uid="{8B2336DE-D97A-4048-A2C5-8B327953EFAF}"/>
    <cellStyle name="Normal 5 3 11 3" xfId="11099" xr:uid="{85CD1C22-1638-4AD1-90F0-8EF127BC491B}"/>
    <cellStyle name="Normal 5 3 12" xfId="4813" xr:uid="{00000000-0005-0000-0000-000071190000}"/>
    <cellStyle name="Normal 5 3 12 2" xfId="13252" xr:uid="{EE9A66C1-02E9-42E3-BD48-D9F06F15435C}"/>
    <cellStyle name="Normal 5 3 13" xfId="9034" xr:uid="{7A63C095-E274-4D40-A4B8-CE00CCACFC5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F68039C6-27D7-4F71-9EA5-8DBF4D16B3E5}"/>
    <cellStyle name="Normal 5 3 3 11" xfId="9035" xr:uid="{97EF6CB4-90C1-4264-9B55-9A0FA2E6109F}"/>
    <cellStyle name="Normal 5 3 3 2" xfId="442" xr:uid="{00000000-0005-0000-0000-000076190000}"/>
    <cellStyle name="Normal 5 3 3 2 10" xfId="9036" xr:uid="{A45DDF88-8BAF-4477-9F71-1ABFDED300F4}"/>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D15D4EF1-2EF2-4670-9B2C-7C0A51E7719F}"/>
    <cellStyle name="Normal 5 3 3 2 2 2 2 2 3" xfId="11596" xr:uid="{12C10ED1-032A-45E2-B071-76A93B7A85F5}"/>
    <cellStyle name="Normal 5 3 3 2 2 2 2 3" xfId="5230" xr:uid="{00000000-0005-0000-0000-00007C190000}"/>
    <cellStyle name="Normal 5 3 3 2 2 2 2 3 2" xfId="13669" xr:uid="{B18EE85B-7BA7-4E50-A80C-EFE19EFAA7C4}"/>
    <cellStyle name="Normal 5 3 3 2 2 2 2 4" xfId="9451" xr:uid="{B159F410-72F8-457B-922F-7D4BDEE57A9E}"/>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3761CB9C-582A-4A52-AAA3-EEA7FB934EAC}"/>
    <cellStyle name="Normal 5 3 3 2 2 2 3 2 3" xfId="12009" xr:uid="{4F8C0FEB-CA99-4B37-9EDE-E3883B45EDB7}"/>
    <cellStyle name="Normal 5 3 3 2 2 2 3 3" xfId="5643" xr:uid="{00000000-0005-0000-0000-000080190000}"/>
    <cellStyle name="Normal 5 3 3 2 2 2 3 3 2" xfId="14082" xr:uid="{AECCDF64-D42F-4197-B622-ED97AFAA5072}"/>
    <cellStyle name="Normal 5 3 3 2 2 2 3 4" xfId="9864" xr:uid="{FBB14900-4DCF-4D4B-8991-675B90147CED}"/>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0C331ADA-EC3B-4A31-BEB1-18696220D8BA}"/>
    <cellStyle name="Normal 5 3 3 2 2 2 4 2 3" xfId="12422" xr:uid="{DCADD754-762E-43D7-B5B2-FF45E34C945C}"/>
    <cellStyle name="Normal 5 3 3 2 2 2 4 3" xfId="6056" xr:uid="{00000000-0005-0000-0000-000084190000}"/>
    <cellStyle name="Normal 5 3 3 2 2 2 4 3 2" xfId="14495" xr:uid="{E34B7E29-107B-4111-BA8B-B8EA6F83B243}"/>
    <cellStyle name="Normal 5 3 3 2 2 2 4 4" xfId="10277" xr:uid="{CFF65F92-DEF3-4BF2-A06F-A6D71471C2D5}"/>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EAC14F30-F737-450F-97B7-CF890B1640A3}"/>
    <cellStyle name="Normal 5 3 3 2 2 2 5 2 3" xfId="12835" xr:uid="{1ADC974D-0977-43DE-9121-113A03B4F82C}"/>
    <cellStyle name="Normal 5 3 3 2 2 2 5 3" xfId="6469" xr:uid="{00000000-0005-0000-0000-000088190000}"/>
    <cellStyle name="Normal 5 3 3 2 2 2 5 3 2" xfId="14908" xr:uid="{D60067F2-BB0E-4029-8501-70D573CB9E0C}"/>
    <cellStyle name="Normal 5 3 3 2 2 2 5 4" xfId="10690" xr:uid="{D0874654-84D0-494E-A384-5BCE55A34DA4}"/>
    <cellStyle name="Normal 5 3 3 2 2 2 6" xfId="2598" xr:uid="{00000000-0005-0000-0000-000089190000}"/>
    <cellStyle name="Normal 5 3 3 2 2 2 6 2" xfId="6882" xr:uid="{00000000-0005-0000-0000-00008A190000}"/>
    <cellStyle name="Normal 5 3 3 2 2 2 6 2 2" xfId="15321" xr:uid="{257200EB-FDFF-4A50-9683-2FEC333EF8E4}"/>
    <cellStyle name="Normal 5 3 3 2 2 2 6 3" xfId="11103" xr:uid="{77BE86DB-B795-444D-8A53-6FD32F211EE5}"/>
    <cellStyle name="Normal 5 3 3 2 2 2 7" xfId="4817" xr:uid="{00000000-0005-0000-0000-00008B190000}"/>
    <cellStyle name="Normal 5 3 3 2 2 2 7 2" xfId="13256" xr:uid="{9B6AD0C3-5CCD-43BF-A853-AE7ED478C4C7}"/>
    <cellStyle name="Normal 5 3 3 2 2 2 8" xfId="9038" xr:uid="{8456C5CD-5F83-4E43-B955-B1B05C68345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132FD84B-220A-42A9-B867-33E7B9D76BD4}"/>
    <cellStyle name="Normal 5 3 3 2 2 3 2 3" xfId="11595" xr:uid="{829666DB-78EE-4365-9B5A-5ED091DDE762}"/>
    <cellStyle name="Normal 5 3 3 2 2 3 3" xfId="5229" xr:uid="{00000000-0005-0000-0000-00008F190000}"/>
    <cellStyle name="Normal 5 3 3 2 2 3 3 2" xfId="13668" xr:uid="{3CEBE094-EEAD-41EB-A124-1324E8D938E1}"/>
    <cellStyle name="Normal 5 3 3 2 2 3 4" xfId="9450" xr:uid="{59C499F7-9818-45E1-B6E8-845DBFBB65AA}"/>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BB98981A-EC10-4A57-A505-AE84CA78C534}"/>
    <cellStyle name="Normal 5 3 3 2 2 4 2 3" xfId="12008" xr:uid="{589AA8C0-369C-4931-884A-54CD9303D26D}"/>
    <cellStyle name="Normal 5 3 3 2 2 4 3" xfId="5642" xr:uid="{00000000-0005-0000-0000-000093190000}"/>
    <cellStyle name="Normal 5 3 3 2 2 4 3 2" xfId="14081" xr:uid="{72374A85-A263-4CD8-8AA9-F9C625DADCE2}"/>
    <cellStyle name="Normal 5 3 3 2 2 4 4" xfId="9863" xr:uid="{506176EA-28B4-4F10-B7F9-0046C7EC96C5}"/>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3F5840CC-E07F-4E44-9F26-217FE7ACAA50}"/>
    <cellStyle name="Normal 5 3 3 2 2 5 2 3" xfId="12421" xr:uid="{575E50D2-8290-459B-A422-39CDA95D4B9D}"/>
    <cellStyle name="Normal 5 3 3 2 2 5 3" xfId="6055" xr:uid="{00000000-0005-0000-0000-000097190000}"/>
    <cellStyle name="Normal 5 3 3 2 2 5 3 2" xfId="14494" xr:uid="{665F3DBC-972D-4394-A8AC-9DB5AC47B39B}"/>
    <cellStyle name="Normal 5 3 3 2 2 5 4" xfId="10276" xr:uid="{FA5C4ED8-4403-46A4-ADAD-0AFC1F47EC94}"/>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900678C2-FE50-42BD-B69E-D109C302CAF8}"/>
    <cellStyle name="Normal 5 3 3 2 2 6 2 3" xfId="12834" xr:uid="{272AE084-2BE2-4ABC-88DC-F18290C9460B}"/>
    <cellStyle name="Normal 5 3 3 2 2 6 3" xfId="6468" xr:uid="{00000000-0005-0000-0000-00009B190000}"/>
    <cellStyle name="Normal 5 3 3 2 2 6 3 2" xfId="14907" xr:uid="{55A8F80C-1329-4D9E-84A6-162372503B7F}"/>
    <cellStyle name="Normal 5 3 3 2 2 6 4" xfId="10689" xr:uid="{0740A59D-E1E2-4476-B88B-27170506D7BB}"/>
    <cellStyle name="Normal 5 3 3 2 2 7" xfId="2597" xr:uid="{00000000-0005-0000-0000-00009C190000}"/>
    <cellStyle name="Normal 5 3 3 2 2 7 2" xfId="6881" xr:uid="{00000000-0005-0000-0000-00009D190000}"/>
    <cellStyle name="Normal 5 3 3 2 2 7 2 2" xfId="15320" xr:uid="{4FAB20DC-40D7-4FF7-8E98-51452F6A63D9}"/>
    <cellStyle name="Normal 5 3 3 2 2 7 3" xfId="11102" xr:uid="{B975459B-4284-4160-8E95-39463EA7911F}"/>
    <cellStyle name="Normal 5 3 3 2 2 8" xfId="4816" xr:uid="{00000000-0005-0000-0000-00009E190000}"/>
    <cellStyle name="Normal 5 3 3 2 2 8 2" xfId="13255" xr:uid="{AD3D3428-1CA6-41E2-807E-7CD728B92C65}"/>
    <cellStyle name="Normal 5 3 3 2 2 9" xfId="9037" xr:uid="{09EC1C63-D475-4B06-89C2-2D8E1A1EFD6F}"/>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179D6419-DBEC-40BD-ABE6-2D3C474CE101}"/>
    <cellStyle name="Normal 5 3 3 2 3 2 2 3" xfId="11597" xr:uid="{304D3B45-EF0D-4BB6-B47B-4E8E9BBEF76F}"/>
    <cellStyle name="Normal 5 3 3 2 3 2 3" xfId="5231" xr:uid="{00000000-0005-0000-0000-0000A3190000}"/>
    <cellStyle name="Normal 5 3 3 2 3 2 3 2" xfId="13670" xr:uid="{9CCD4E95-B4A7-44CA-BEF7-BAD648E88FFB}"/>
    <cellStyle name="Normal 5 3 3 2 3 2 4" xfId="9452" xr:uid="{CFFC2531-E36F-4EBA-93B5-335F18A9A6C1}"/>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6BF67561-573E-4A32-95C4-93FE353BC23C}"/>
    <cellStyle name="Normal 5 3 3 2 3 3 2 3" xfId="12010" xr:uid="{2A9F897D-C609-4681-A0BC-CC3079F66E11}"/>
    <cellStyle name="Normal 5 3 3 2 3 3 3" xfId="5644" xr:uid="{00000000-0005-0000-0000-0000A7190000}"/>
    <cellStyle name="Normal 5 3 3 2 3 3 3 2" xfId="14083" xr:uid="{0FD417EA-8DE1-4272-A723-DD9E3919F544}"/>
    <cellStyle name="Normal 5 3 3 2 3 3 4" xfId="9865" xr:uid="{74C2F982-292A-42B2-BC2C-F792637D163F}"/>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544C86D8-BA23-4102-912B-C5DC2A0C768F}"/>
    <cellStyle name="Normal 5 3 3 2 3 4 2 3" xfId="12423" xr:uid="{3D302089-B2F3-4645-B747-C0B8D120E0CE}"/>
    <cellStyle name="Normal 5 3 3 2 3 4 3" xfId="6057" xr:uid="{00000000-0005-0000-0000-0000AB190000}"/>
    <cellStyle name="Normal 5 3 3 2 3 4 3 2" xfId="14496" xr:uid="{18D6F433-E0AA-4774-87BC-0012C7BED910}"/>
    <cellStyle name="Normal 5 3 3 2 3 4 4" xfId="10278" xr:uid="{BD7822E1-A137-4E5E-A6F9-9042298BD6E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ACFF26AE-FC90-4053-B077-39EA9B615990}"/>
    <cellStyle name="Normal 5 3 3 2 3 5 2 3" xfId="12836" xr:uid="{11549951-AEB7-47E1-92A9-0CE70B2EEBDC}"/>
    <cellStyle name="Normal 5 3 3 2 3 5 3" xfId="6470" xr:uid="{00000000-0005-0000-0000-0000AF190000}"/>
    <cellStyle name="Normal 5 3 3 2 3 5 3 2" xfId="14909" xr:uid="{7541CE92-6CCE-42F8-911B-915C14610954}"/>
    <cellStyle name="Normal 5 3 3 2 3 5 4" xfId="10691" xr:uid="{D09B4117-385D-4E15-AEAC-530271EA2353}"/>
    <cellStyle name="Normal 5 3 3 2 3 6" xfId="2599" xr:uid="{00000000-0005-0000-0000-0000B0190000}"/>
    <cellStyle name="Normal 5 3 3 2 3 6 2" xfId="6883" xr:uid="{00000000-0005-0000-0000-0000B1190000}"/>
    <cellStyle name="Normal 5 3 3 2 3 6 2 2" xfId="15322" xr:uid="{116D814A-7980-4439-BA2A-23EE3445C61F}"/>
    <cellStyle name="Normal 5 3 3 2 3 6 3" xfId="11104" xr:uid="{FF1A2BDB-61FF-4D3C-A267-6BC7640F0DF5}"/>
    <cellStyle name="Normal 5 3 3 2 3 7" xfId="4818" xr:uid="{00000000-0005-0000-0000-0000B2190000}"/>
    <cellStyle name="Normal 5 3 3 2 3 7 2" xfId="13257" xr:uid="{F764E106-020A-496C-A723-767557CC63C1}"/>
    <cellStyle name="Normal 5 3 3 2 3 8" xfId="9039" xr:uid="{26DA41F1-06DC-4645-A172-0BFA83D333D8}"/>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88360687-EE25-4EE2-A4CF-37F31376A75B}"/>
    <cellStyle name="Normal 5 3 3 2 4 2 3" xfId="11594" xr:uid="{BCD6A583-BB2A-46D7-8333-4C022939F44D}"/>
    <cellStyle name="Normal 5 3 3 2 4 3" xfId="5228" xr:uid="{00000000-0005-0000-0000-0000B6190000}"/>
    <cellStyle name="Normal 5 3 3 2 4 3 2" xfId="13667" xr:uid="{E135A610-38BE-475C-86A9-C4B1AB835D1E}"/>
    <cellStyle name="Normal 5 3 3 2 4 4" xfId="9449" xr:uid="{FD9C3A2D-B032-4AEF-BD17-C5A47752EA4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33A3D8E6-1BAC-4DA1-9D0A-BDBEB90204E3}"/>
    <cellStyle name="Normal 5 3 3 2 5 2 3" xfId="12007" xr:uid="{8AAA9338-36C3-470A-BA79-CAA457786283}"/>
    <cellStyle name="Normal 5 3 3 2 5 3" xfId="5641" xr:uid="{00000000-0005-0000-0000-0000BA190000}"/>
    <cellStyle name="Normal 5 3 3 2 5 3 2" xfId="14080" xr:uid="{B0FFBAD4-AD4B-45BC-9306-B32937D5309D}"/>
    <cellStyle name="Normal 5 3 3 2 5 4" xfId="9862" xr:uid="{893B462A-2E92-4736-970B-ECCDD827FF12}"/>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81BA6602-CE9B-45C4-9E3F-B45FD1EF9657}"/>
    <cellStyle name="Normal 5 3 3 2 6 2 3" xfId="12420" xr:uid="{2B161EA9-C99D-4351-9AD3-32263F9F1664}"/>
    <cellStyle name="Normal 5 3 3 2 6 3" xfId="6054" xr:uid="{00000000-0005-0000-0000-0000BE190000}"/>
    <cellStyle name="Normal 5 3 3 2 6 3 2" xfId="14493" xr:uid="{D0D45DB6-4DB1-4833-B31D-F6C614F9FED6}"/>
    <cellStyle name="Normal 5 3 3 2 6 4" xfId="10275" xr:uid="{0146C584-BE88-40E3-8D9D-32D1A329983F}"/>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6A63F3DF-8A66-4FC0-82F5-39B1A788C2D0}"/>
    <cellStyle name="Normal 5 3 3 2 7 2 3" xfId="12833" xr:uid="{EED7A5B2-F702-4985-991B-BDAB7ABA515B}"/>
    <cellStyle name="Normal 5 3 3 2 7 3" xfId="6467" xr:uid="{00000000-0005-0000-0000-0000C2190000}"/>
    <cellStyle name="Normal 5 3 3 2 7 3 2" xfId="14906" xr:uid="{631DA165-0AC6-4224-A01A-26441AB33403}"/>
    <cellStyle name="Normal 5 3 3 2 7 4" xfId="10688" xr:uid="{07B62F84-6932-41B7-93BC-849BC52FEAFB}"/>
    <cellStyle name="Normal 5 3 3 2 8" xfId="2596" xr:uid="{00000000-0005-0000-0000-0000C3190000}"/>
    <cellStyle name="Normal 5 3 3 2 8 2" xfId="6880" xr:uid="{00000000-0005-0000-0000-0000C4190000}"/>
    <cellStyle name="Normal 5 3 3 2 8 2 2" xfId="15319" xr:uid="{9BE157D9-E118-417B-89E1-54BACAAE147D}"/>
    <cellStyle name="Normal 5 3 3 2 8 3" xfId="11101" xr:uid="{68CEECA3-825B-45E9-81B7-3468E4F38174}"/>
    <cellStyle name="Normal 5 3 3 2 9" xfId="4815" xr:uid="{00000000-0005-0000-0000-0000C5190000}"/>
    <cellStyle name="Normal 5 3 3 2 9 2" xfId="13254" xr:uid="{AF6745F2-87FF-4095-A36B-B44D36A763A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C5AD3380-D40D-4F02-B3D1-5042C276D0A0}"/>
    <cellStyle name="Normal 5 3 3 3 2 2 2 3" xfId="11599" xr:uid="{A8798597-AF50-4523-96E7-25527677364A}"/>
    <cellStyle name="Normal 5 3 3 3 2 2 3" xfId="5233" xr:uid="{00000000-0005-0000-0000-0000CB190000}"/>
    <cellStyle name="Normal 5 3 3 3 2 2 3 2" xfId="13672" xr:uid="{A113662F-B82F-4658-9B0F-4F3CF95AB1CE}"/>
    <cellStyle name="Normal 5 3 3 3 2 2 4" xfId="9454" xr:uid="{2AF41288-06F9-4826-A5B2-1DAE59ABEA54}"/>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E78AF2AC-4CB0-4986-BB5F-98A9C5359879}"/>
    <cellStyle name="Normal 5 3 3 3 2 3 2 3" xfId="12012" xr:uid="{7289CABF-3EAF-46D1-8F69-5D81BDA2D9EE}"/>
    <cellStyle name="Normal 5 3 3 3 2 3 3" xfId="5646" xr:uid="{00000000-0005-0000-0000-0000CF190000}"/>
    <cellStyle name="Normal 5 3 3 3 2 3 3 2" xfId="14085" xr:uid="{64183B48-2C84-460D-A56A-CE4C4FDCBD00}"/>
    <cellStyle name="Normal 5 3 3 3 2 3 4" xfId="9867" xr:uid="{BFF9752A-8432-493A-87D3-B2A5351A9F1E}"/>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EB34CB21-9217-4C22-B5DD-24665CF85A7C}"/>
    <cellStyle name="Normal 5 3 3 3 2 4 2 3" xfId="12425" xr:uid="{1ABDF9E2-1835-4984-B64F-9DB20EEC08AF}"/>
    <cellStyle name="Normal 5 3 3 3 2 4 3" xfId="6059" xr:uid="{00000000-0005-0000-0000-0000D3190000}"/>
    <cellStyle name="Normal 5 3 3 3 2 4 3 2" xfId="14498" xr:uid="{CE48DBE3-29E6-405C-A898-2259532DEFC2}"/>
    <cellStyle name="Normal 5 3 3 3 2 4 4" xfId="10280" xr:uid="{27191B91-7B2A-457F-A8AB-F75728BC4E0C}"/>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EC696E34-6C33-4018-A959-0C54480A36EA}"/>
    <cellStyle name="Normal 5 3 3 3 2 5 2 3" xfId="12838" xr:uid="{57571E2D-ACAA-4C1A-BCBD-EBBC4DFA729E}"/>
    <cellStyle name="Normal 5 3 3 3 2 5 3" xfId="6472" xr:uid="{00000000-0005-0000-0000-0000D7190000}"/>
    <cellStyle name="Normal 5 3 3 3 2 5 3 2" xfId="14911" xr:uid="{EDD2DBFC-2467-4B1F-8037-2BEE070B789C}"/>
    <cellStyle name="Normal 5 3 3 3 2 5 4" xfId="10693" xr:uid="{44C1B8C2-75D3-4D0E-9CE8-DA389BA8D4BE}"/>
    <cellStyle name="Normal 5 3 3 3 2 6" xfId="2601" xr:uid="{00000000-0005-0000-0000-0000D8190000}"/>
    <cellStyle name="Normal 5 3 3 3 2 6 2" xfId="6885" xr:uid="{00000000-0005-0000-0000-0000D9190000}"/>
    <cellStyle name="Normal 5 3 3 3 2 6 2 2" xfId="15324" xr:uid="{0B9641C2-8CEA-4FDD-B83D-9B29032766CB}"/>
    <cellStyle name="Normal 5 3 3 3 2 6 3" xfId="11106" xr:uid="{87DA90FC-DCC3-45D7-9855-6EC0FD8039CD}"/>
    <cellStyle name="Normal 5 3 3 3 2 7" xfId="4820" xr:uid="{00000000-0005-0000-0000-0000DA190000}"/>
    <cellStyle name="Normal 5 3 3 3 2 7 2" xfId="13259" xr:uid="{654C701B-89B2-4CF4-A2FA-FCA9777A259C}"/>
    <cellStyle name="Normal 5 3 3 3 2 8" xfId="9041" xr:uid="{AEF40028-EFFA-48E0-8D65-B131358A4F07}"/>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38B984B5-F267-4420-BDFF-8BCC1321EB86}"/>
    <cellStyle name="Normal 5 3 3 3 3 2 3" xfId="11598" xr:uid="{4713D00E-CCED-4223-A66B-326D3903344F}"/>
    <cellStyle name="Normal 5 3 3 3 3 3" xfId="5232" xr:uid="{00000000-0005-0000-0000-0000DE190000}"/>
    <cellStyle name="Normal 5 3 3 3 3 3 2" xfId="13671" xr:uid="{036B668F-7BB0-4FDD-8B56-2918659A24C8}"/>
    <cellStyle name="Normal 5 3 3 3 3 4" xfId="9453" xr:uid="{3A11C952-B682-4B2A-B5EB-092FA4F510DF}"/>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1806AC07-EF19-445E-B227-F26C6D1B9E65}"/>
    <cellStyle name="Normal 5 3 3 3 4 2 3" xfId="12011" xr:uid="{AF9F11D1-9324-40E8-8A53-10F394BB6857}"/>
    <cellStyle name="Normal 5 3 3 3 4 3" xfId="5645" xr:uid="{00000000-0005-0000-0000-0000E2190000}"/>
    <cellStyle name="Normal 5 3 3 3 4 3 2" xfId="14084" xr:uid="{25CEFA2D-912B-4E18-9CCF-69825710FEED}"/>
    <cellStyle name="Normal 5 3 3 3 4 4" xfId="9866" xr:uid="{45D03A6E-37A7-458A-9CEF-2845E00F7D8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796C781C-5514-43D6-8CBF-EFB8C6FB2B5B}"/>
    <cellStyle name="Normal 5 3 3 3 5 2 3" xfId="12424" xr:uid="{1542BDDB-35E1-4BB9-8427-94FEB890CE98}"/>
    <cellStyle name="Normal 5 3 3 3 5 3" xfId="6058" xr:uid="{00000000-0005-0000-0000-0000E6190000}"/>
    <cellStyle name="Normal 5 3 3 3 5 3 2" xfId="14497" xr:uid="{91E7ABE2-1BD6-408A-8894-30538E9B67DE}"/>
    <cellStyle name="Normal 5 3 3 3 5 4" xfId="10279" xr:uid="{58E38666-E4AE-4F00-9C23-9F5B9822B154}"/>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6A777279-0E11-4E4B-A0DF-985516B47369}"/>
    <cellStyle name="Normal 5 3 3 3 6 2 3" xfId="12837" xr:uid="{C4BD8623-21A4-40D6-B0D8-9D2BAC318880}"/>
    <cellStyle name="Normal 5 3 3 3 6 3" xfId="6471" xr:uid="{00000000-0005-0000-0000-0000EA190000}"/>
    <cellStyle name="Normal 5 3 3 3 6 3 2" xfId="14910" xr:uid="{3B6954A8-3C79-453D-8342-0B4CFED5FFCF}"/>
    <cellStyle name="Normal 5 3 3 3 6 4" xfId="10692" xr:uid="{EA98A5A1-00D1-43AF-B757-8FDC1EC672C4}"/>
    <cellStyle name="Normal 5 3 3 3 7" xfId="2600" xr:uid="{00000000-0005-0000-0000-0000EB190000}"/>
    <cellStyle name="Normal 5 3 3 3 7 2" xfId="6884" xr:uid="{00000000-0005-0000-0000-0000EC190000}"/>
    <cellStyle name="Normal 5 3 3 3 7 2 2" xfId="15323" xr:uid="{385393F3-B5BD-4D45-8E8B-EC8CB508056A}"/>
    <cellStyle name="Normal 5 3 3 3 7 3" xfId="11105" xr:uid="{0A5B2BBC-CFFA-41B1-AE2C-D55D9A22751E}"/>
    <cellStyle name="Normal 5 3 3 3 8" xfId="4819" xr:uid="{00000000-0005-0000-0000-0000ED190000}"/>
    <cellStyle name="Normal 5 3 3 3 8 2" xfId="13258" xr:uid="{D1211EC9-C569-4B40-A356-BB3C5456FA43}"/>
    <cellStyle name="Normal 5 3 3 3 9" xfId="9040" xr:uid="{DD55E79B-A0CF-437B-B819-F5B76C41B446}"/>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D927CB9C-75F9-41C5-ABFF-771F25AF9ACB}"/>
    <cellStyle name="Normal 5 3 3 4 2 2 3" xfId="11600" xr:uid="{972BF919-DD0C-4EA4-B95D-C30643069F34}"/>
    <cellStyle name="Normal 5 3 3 4 2 3" xfId="5234" xr:uid="{00000000-0005-0000-0000-0000F2190000}"/>
    <cellStyle name="Normal 5 3 3 4 2 3 2" xfId="13673" xr:uid="{7864BCDE-1417-45F3-9F1E-4E39FFE1E451}"/>
    <cellStyle name="Normal 5 3 3 4 2 4" xfId="9455" xr:uid="{FFFA06F8-ECF5-414D-BADC-47A96195F401}"/>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6B18A3F5-EEEC-4BD6-ADC8-B922E225A0E2}"/>
    <cellStyle name="Normal 5 3 3 4 3 2 3" xfId="12013" xr:uid="{9AF64948-401B-413A-BA3F-8F6B9058BCB1}"/>
    <cellStyle name="Normal 5 3 3 4 3 3" xfId="5647" xr:uid="{00000000-0005-0000-0000-0000F6190000}"/>
    <cellStyle name="Normal 5 3 3 4 3 3 2" xfId="14086" xr:uid="{BADC9604-313B-4FC3-ABFC-B2C1F2F14771}"/>
    <cellStyle name="Normal 5 3 3 4 3 4" xfId="9868" xr:uid="{1183A56C-C975-4A31-935A-B285D53E202E}"/>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5DAFA38D-E5B6-45CC-A610-1540F9FF0BC6}"/>
    <cellStyle name="Normal 5 3 3 4 4 2 3" xfId="12426" xr:uid="{4A54145A-78F9-4FB3-9425-F1E2E8740F0C}"/>
    <cellStyle name="Normal 5 3 3 4 4 3" xfId="6060" xr:uid="{00000000-0005-0000-0000-0000FA190000}"/>
    <cellStyle name="Normal 5 3 3 4 4 3 2" xfId="14499" xr:uid="{3A3C9B29-60BA-466B-90F9-84B61F06E7F9}"/>
    <cellStyle name="Normal 5 3 3 4 4 4" xfId="10281" xr:uid="{4D0ABFEC-4163-422C-B94B-4266A7081DF1}"/>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E82D33A4-0853-43AE-877D-FA73641F1F05}"/>
    <cellStyle name="Normal 5 3 3 4 5 2 3" xfId="12839" xr:uid="{7499DBC8-3EA1-4C52-89B2-F85DE5418FFE}"/>
    <cellStyle name="Normal 5 3 3 4 5 3" xfId="6473" xr:uid="{00000000-0005-0000-0000-0000FE190000}"/>
    <cellStyle name="Normal 5 3 3 4 5 3 2" xfId="14912" xr:uid="{FBC08581-D149-424E-96A2-6D6C0449D743}"/>
    <cellStyle name="Normal 5 3 3 4 5 4" xfId="10694" xr:uid="{00D54DC2-97F0-4338-A7FA-CE952A6595E5}"/>
    <cellStyle name="Normal 5 3 3 4 6" xfId="2602" xr:uid="{00000000-0005-0000-0000-0000FF190000}"/>
    <cellStyle name="Normal 5 3 3 4 6 2" xfId="6886" xr:uid="{00000000-0005-0000-0000-0000001A0000}"/>
    <cellStyle name="Normal 5 3 3 4 6 2 2" xfId="15325" xr:uid="{FA864259-C429-4F0D-87BE-44F9BE7DE92B}"/>
    <cellStyle name="Normal 5 3 3 4 6 3" xfId="11107" xr:uid="{BF9E9AE1-64F0-414F-B7A0-071AAD2710A4}"/>
    <cellStyle name="Normal 5 3 3 4 7" xfId="4821" xr:uid="{00000000-0005-0000-0000-0000011A0000}"/>
    <cellStyle name="Normal 5 3 3 4 7 2" xfId="13260" xr:uid="{A23B21D9-70FC-4B8F-B2E2-5EA775932A7F}"/>
    <cellStyle name="Normal 5 3 3 4 8" xfId="9042" xr:uid="{07F1ED9C-4E19-4C05-9FE6-B971BD486802}"/>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CBFD3BEC-380C-48BA-820F-49F6167C8019}"/>
    <cellStyle name="Normal 5 3 3 5 2 3" xfId="11593" xr:uid="{84D6936D-025E-4EB2-90AF-20603BCE040C}"/>
    <cellStyle name="Normal 5 3 3 5 3" xfId="5227" xr:uid="{00000000-0005-0000-0000-0000051A0000}"/>
    <cellStyle name="Normal 5 3 3 5 3 2" xfId="13666" xr:uid="{2A56CF6F-3700-4847-90B9-50129CF2101A}"/>
    <cellStyle name="Normal 5 3 3 5 4" xfId="9448" xr:uid="{6B82E2A9-0686-4765-90C9-6DD3D7EA6208}"/>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E7C1638A-70C8-41BA-B731-5B7E7D3566B4}"/>
    <cellStyle name="Normal 5 3 3 6 2 3" xfId="12006" xr:uid="{0884EAF2-DAD4-4C95-9399-46C28E58EAEF}"/>
    <cellStyle name="Normal 5 3 3 6 3" xfId="5640" xr:uid="{00000000-0005-0000-0000-0000091A0000}"/>
    <cellStyle name="Normal 5 3 3 6 3 2" xfId="14079" xr:uid="{4DC5A059-D37A-478E-85F5-57946F22EBC9}"/>
    <cellStyle name="Normal 5 3 3 6 4" xfId="9861" xr:uid="{95129175-4C28-495D-878D-8CC734822C6D}"/>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F73F13DD-C8DF-4925-8F8E-E036B363DD98}"/>
    <cellStyle name="Normal 5 3 3 7 2 3" xfId="12419" xr:uid="{DB6F93C7-9B02-4E92-A67C-9733D856EE02}"/>
    <cellStyle name="Normal 5 3 3 7 3" xfId="6053" xr:uid="{00000000-0005-0000-0000-00000D1A0000}"/>
    <cellStyle name="Normal 5 3 3 7 3 2" xfId="14492" xr:uid="{52B93BAD-B0E3-4F08-B93B-983C073B3C0D}"/>
    <cellStyle name="Normal 5 3 3 7 4" xfId="10274" xr:uid="{7AFA07D3-9ECB-43E6-9FEC-A4EA59A0142D}"/>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B9BDCE53-B6F6-4521-B402-D21ED767DCE1}"/>
    <cellStyle name="Normal 5 3 3 8 2 3" xfId="12832" xr:uid="{6A07B25A-44D5-47CC-883A-67D85EDE3D7E}"/>
    <cellStyle name="Normal 5 3 3 8 3" xfId="6466" xr:uid="{00000000-0005-0000-0000-0000111A0000}"/>
    <cellStyle name="Normal 5 3 3 8 3 2" xfId="14905" xr:uid="{037CB807-FD53-4997-8EC7-1E918A851285}"/>
    <cellStyle name="Normal 5 3 3 8 4" xfId="10687" xr:uid="{DABE6D50-E8EB-41DA-8F7C-2292140D2A8B}"/>
    <cellStyle name="Normal 5 3 3 9" xfId="2595" xr:uid="{00000000-0005-0000-0000-0000121A0000}"/>
    <cellStyle name="Normal 5 3 3 9 2" xfId="6879" xr:uid="{00000000-0005-0000-0000-0000131A0000}"/>
    <cellStyle name="Normal 5 3 3 9 2 2" xfId="15318" xr:uid="{204C3672-5109-4472-A301-5FEFEAA59581}"/>
    <cellStyle name="Normal 5 3 3 9 3" xfId="11100" xr:uid="{69FE459E-A42D-4040-A7D6-2B66F9A8F291}"/>
    <cellStyle name="Normal 5 3 4" xfId="449" xr:uid="{00000000-0005-0000-0000-0000141A0000}"/>
    <cellStyle name="Normal 5 3 4 10" xfId="9043" xr:uid="{544E1207-C3A8-45CA-BB9C-D62445517F12}"/>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9CD96144-383F-420E-BD93-C88C3A482E57}"/>
    <cellStyle name="Normal 5 3 4 2 2 2 2 3" xfId="11603" xr:uid="{BF41A8EC-42F0-4A09-A667-988DA53A869F}"/>
    <cellStyle name="Normal 5 3 4 2 2 2 3" xfId="5237" xr:uid="{00000000-0005-0000-0000-00001A1A0000}"/>
    <cellStyle name="Normal 5 3 4 2 2 2 3 2" xfId="13676" xr:uid="{C535D2E6-477D-48FD-A4F7-5524FB66825E}"/>
    <cellStyle name="Normal 5 3 4 2 2 2 4" xfId="9458" xr:uid="{CF873693-2AA1-4873-AD8F-63E0C7F3FB3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EA8F465E-904D-4667-848E-AFA58FBE3348}"/>
    <cellStyle name="Normal 5 3 4 2 2 3 2 3" xfId="12016" xr:uid="{5AA33806-C025-41AD-B071-77C38CB24D5D}"/>
    <cellStyle name="Normal 5 3 4 2 2 3 3" xfId="5650" xr:uid="{00000000-0005-0000-0000-00001E1A0000}"/>
    <cellStyle name="Normal 5 3 4 2 2 3 3 2" xfId="14089" xr:uid="{F013B06B-7FE6-40DC-BCD1-E2E6B926B7D4}"/>
    <cellStyle name="Normal 5 3 4 2 2 3 4" xfId="9871" xr:uid="{0971861A-EF36-4D82-B806-0C35A977AD63}"/>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10E12BEE-3CA8-4ECC-AA39-37EE099D4C85}"/>
    <cellStyle name="Normal 5 3 4 2 2 4 2 3" xfId="12429" xr:uid="{95611C3C-5A48-44E0-A49C-29BC508CFA32}"/>
    <cellStyle name="Normal 5 3 4 2 2 4 3" xfId="6063" xr:uid="{00000000-0005-0000-0000-0000221A0000}"/>
    <cellStyle name="Normal 5 3 4 2 2 4 3 2" xfId="14502" xr:uid="{585C6B3F-4DA5-4A4D-9168-A2FAC6038F28}"/>
    <cellStyle name="Normal 5 3 4 2 2 4 4" xfId="10284" xr:uid="{E77FE326-D417-45F0-A963-AFA259AB43B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7ADE940D-B775-43D9-B7DA-75CB0C8C37DF}"/>
    <cellStyle name="Normal 5 3 4 2 2 5 2 3" xfId="12842" xr:uid="{F7CB12DD-5782-4027-B774-670CA9046859}"/>
    <cellStyle name="Normal 5 3 4 2 2 5 3" xfId="6476" xr:uid="{00000000-0005-0000-0000-0000261A0000}"/>
    <cellStyle name="Normal 5 3 4 2 2 5 3 2" xfId="14915" xr:uid="{335D00B7-9157-4F27-80EC-0EE3DD980276}"/>
    <cellStyle name="Normal 5 3 4 2 2 5 4" xfId="10697" xr:uid="{9C435431-D0A3-4078-9A43-3BB8B81AE9AC}"/>
    <cellStyle name="Normal 5 3 4 2 2 6" xfId="2605" xr:uid="{00000000-0005-0000-0000-0000271A0000}"/>
    <cellStyle name="Normal 5 3 4 2 2 6 2" xfId="6889" xr:uid="{00000000-0005-0000-0000-0000281A0000}"/>
    <cellStyle name="Normal 5 3 4 2 2 6 2 2" xfId="15328" xr:uid="{F404DC51-0409-42C0-93EB-C97C0B64001C}"/>
    <cellStyle name="Normal 5 3 4 2 2 6 3" xfId="11110" xr:uid="{773E763D-F1E2-4866-ACC3-E983B112EABA}"/>
    <cellStyle name="Normal 5 3 4 2 2 7" xfId="4824" xr:uid="{00000000-0005-0000-0000-0000291A0000}"/>
    <cellStyle name="Normal 5 3 4 2 2 7 2" xfId="13263" xr:uid="{474309DB-721E-4DF3-81F7-63438FAAD9CB}"/>
    <cellStyle name="Normal 5 3 4 2 2 8" xfId="9045" xr:uid="{7AF9EF68-E9DA-4619-96B2-9D642DA9C108}"/>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97E4B48D-CCBA-40B6-AA46-0176FB3894F4}"/>
    <cellStyle name="Normal 5 3 4 2 3 2 3" xfId="11602" xr:uid="{8A2ED5F6-9D29-43C2-A8BC-00FE1D41896E}"/>
    <cellStyle name="Normal 5 3 4 2 3 3" xfId="5236" xr:uid="{00000000-0005-0000-0000-00002D1A0000}"/>
    <cellStyle name="Normal 5 3 4 2 3 3 2" xfId="13675" xr:uid="{B88EE525-38A9-42B6-93B4-FC247B40A226}"/>
    <cellStyle name="Normal 5 3 4 2 3 4" xfId="9457" xr:uid="{52C387F5-C7AF-4CA3-BD22-B2C2C0CC9E2E}"/>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6859F739-0496-446B-B273-100E6102682B}"/>
    <cellStyle name="Normal 5 3 4 2 4 2 3" xfId="12015" xr:uid="{04795895-5BEC-45D3-9093-0F723EECC07E}"/>
    <cellStyle name="Normal 5 3 4 2 4 3" xfId="5649" xr:uid="{00000000-0005-0000-0000-0000311A0000}"/>
    <cellStyle name="Normal 5 3 4 2 4 3 2" xfId="14088" xr:uid="{ECBC28E4-578F-47D8-A5D0-40505AA35419}"/>
    <cellStyle name="Normal 5 3 4 2 4 4" xfId="9870" xr:uid="{6249666F-05C0-4785-98B4-143BC75ACAA4}"/>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EB2495CC-592E-42F3-A681-271BA2E3DDBE}"/>
    <cellStyle name="Normal 5 3 4 2 5 2 3" xfId="12428" xr:uid="{E202FC78-BE7A-4C19-B88B-7BF424F58EC2}"/>
    <cellStyle name="Normal 5 3 4 2 5 3" xfId="6062" xr:uid="{00000000-0005-0000-0000-0000351A0000}"/>
    <cellStyle name="Normal 5 3 4 2 5 3 2" xfId="14501" xr:uid="{8E5C97E2-F974-4E5D-A69F-05E85EC2EE21}"/>
    <cellStyle name="Normal 5 3 4 2 5 4" xfId="10283" xr:uid="{AE6931A7-B570-4051-9ED7-68F97AAD1481}"/>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731B8AC1-6ED8-4593-B09E-9051FC32CAB0}"/>
    <cellStyle name="Normal 5 3 4 2 6 2 3" xfId="12841" xr:uid="{E555751E-B556-43B4-BE35-73ACA91C765E}"/>
    <cellStyle name="Normal 5 3 4 2 6 3" xfId="6475" xr:uid="{00000000-0005-0000-0000-0000391A0000}"/>
    <cellStyle name="Normal 5 3 4 2 6 3 2" xfId="14914" xr:uid="{E855C9DE-0145-4BAF-84D5-049727C9CAEE}"/>
    <cellStyle name="Normal 5 3 4 2 6 4" xfId="10696" xr:uid="{AE93B669-0FF1-44C8-A73F-179DAA816275}"/>
    <cellStyle name="Normal 5 3 4 2 7" xfId="2604" xr:uid="{00000000-0005-0000-0000-00003A1A0000}"/>
    <cellStyle name="Normal 5 3 4 2 7 2" xfId="6888" xr:uid="{00000000-0005-0000-0000-00003B1A0000}"/>
    <cellStyle name="Normal 5 3 4 2 7 2 2" xfId="15327" xr:uid="{ECF487A4-A9CF-44F7-A9A6-AF05A7C70E0F}"/>
    <cellStyle name="Normal 5 3 4 2 7 3" xfId="11109" xr:uid="{5DAA9FD1-AE79-4041-A967-457DB5E1D80F}"/>
    <cellStyle name="Normal 5 3 4 2 8" xfId="4823" xr:uid="{00000000-0005-0000-0000-00003C1A0000}"/>
    <cellStyle name="Normal 5 3 4 2 8 2" xfId="13262" xr:uid="{8F22C790-A5A2-4592-8272-007F5C102FF1}"/>
    <cellStyle name="Normal 5 3 4 2 9" xfId="9044" xr:uid="{A21AD219-4928-45B7-9DF8-19674D41E1C8}"/>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AAA55413-3F14-42FA-80D3-559FC296DFF4}"/>
    <cellStyle name="Normal 5 3 4 3 2 2 3" xfId="11604" xr:uid="{A4E98EBF-FD27-4B48-8EC3-68F351C07F36}"/>
    <cellStyle name="Normal 5 3 4 3 2 3" xfId="5238" xr:uid="{00000000-0005-0000-0000-0000411A0000}"/>
    <cellStyle name="Normal 5 3 4 3 2 3 2" xfId="13677" xr:uid="{E2234727-D423-4A62-89D8-51FC6D7C4F8E}"/>
    <cellStyle name="Normal 5 3 4 3 2 4" xfId="9459" xr:uid="{B00B84C4-198F-4A41-8C0D-7B1BD8FA0CC8}"/>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F1BF6792-3238-480B-937A-58BEF06818A3}"/>
    <cellStyle name="Normal 5 3 4 3 3 2 3" xfId="12017" xr:uid="{47776B7E-005B-453F-B52E-2496767AA612}"/>
    <cellStyle name="Normal 5 3 4 3 3 3" xfId="5651" xr:uid="{00000000-0005-0000-0000-0000451A0000}"/>
    <cellStyle name="Normal 5 3 4 3 3 3 2" xfId="14090" xr:uid="{13AC905D-95CC-4122-902A-38C3E4E1AD15}"/>
    <cellStyle name="Normal 5 3 4 3 3 4" xfId="9872" xr:uid="{C372E868-2AF9-4A9C-BB19-B08430EAE9DA}"/>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389F6CAA-1561-4870-B592-60185CA2BFFD}"/>
    <cellStyle name="Normal 5 3 4 3 4 2 3" xfId="12430" xr:uid="{075F2651-E6C9-4E1B-B7C3-79D51D50B592}"/>
    <cellStyle name="Normal 5 3 4 3 4 3" xfId="6064" xr:uid="{00000000-0005-0000-0000-0000491A0000}"/>
    <cellStyle name="Normal 5 3 4 3 4 3 2" xfId="14503" xr:uid="{B71A67A9-6007-4848-A5B4-AD0433E2DCC9}"/>
    <cellStyle name="Normal 5 3 4 3 4 4" xfId="10285" xr:uid="{A8F3C41C-BD7F-46DA-AA68-374495EB8408}"/>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3D2A6DF1-563B-40CA-A27C-DD6ECC5832E2}"/>
    <cellStyle name="Normal 5 3 4 3 5 2 3" xfId="12843" xr:uid="{F7C8DD9B-996B-475A-9B35-1CA74C1248D1}"/>
    <cellStyle name="Normal 5 3 4 3 5 3" xfId="6477" xr:uid="{00000000-0005-0000-0000-00004D1A0000}"/>
    <cellStyle name="Normal 5 3 4 3 5 3 2" xfId="14916" xr:uid="{B6CFEBCA-4D47-4918-99AD-19821C6B0E22}"/>
    <cellStyle name="Normal 5 3 4 3 5 4" xfId="10698" xr:uid="{C7FF7C87-C05B-4A75-8B3A-4824BEE981A7}"/>
    <cellStyle name="Normal 5 3 4 3 6" xfId="2606" xr:uid="{00000000-0005-0000-0000-00004E1A0000}"/>
    <cellStyle name="Normal 5 3 4 3 6 2" xfId="6890" xr:uid="{00000000-0005-0000-0000-00004F1A0000}"/>
    <cellStyle name="Normal 5 3 4 3 6 2 2" xfId="15329" xr:uid="{6946D267-C759-4857-8260-33BD26606E4E}"/>
    <cellStyle name="Normal 5 3 4 3 6 3" xfId="11111" xr:uid="{9D4CFB5E-F316-453B-9938-8091E56BD8AF}"/>
    <cellStyle name="Normal 5 3 4 3 7" xfId="4825" xr:uid="{00000000-0005-0000-0000-0000501A0000}"/>
    <cellStyle name="Normal 5 3 4 3 7 2" xfId="13264" xr:uid="{74EE3E79-7885-426D-8AE1-96C5765AA06C}"/>
    <cellStyle name="Normal 5 3 4 3 8" xfId="9046" xr:uid="{87F975F7-E897-42DA-817B-DAF58642EF17}"/>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E7E7EC46-270E-4019-82BD-31DFDB5405C6}"/>
    <cellStyle name="Normal 5 3 4 4 2 3" xfId="11601" xr:uid="{5B5F5ED7-F87B-47A8-B349-0A6EDB55C11F}"/>
    <cellStyle name="Normal 5 3 4 4 3" xfId="5235" xr:uid="{00000000-0005-0000-0000-0000541A0000}"/>
    <cellStyle name="Normal 5 3 4 4 3 2" xfId="13674" xr:uid="{5C44E50D-9020-41A2-AB02-6E37395167DC}"/>
    <cellStyle name="Normal 5 3 4 4 4" xfId="9456" xr:uid="{8DB3D179-29B3-4BF6-AD9D-489087FB5243}"/>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7E40A629-09DE-4A42-BC26-CA4A40A35472}"/>
    <cellStyle name="Normal 5 3 4 5 2 3" xfId="12014" xr:uid="{9F4EE6E0-E143-4D78-A9C1-B03C4A42E24A}"/>
    <cellStyle name="Normal 5 3 4 5 3" xfId="5648" xr:uid="{00000000-0005-0000-0000-0000581A0000}"/>
    <cellStyle name="Normal 5 3 4 5 3 2" xfId="14087" xr:uid="{2F74A06E-8B22-4D41-B5E1-338DE4A70CC7}"/>
    <cellStyle name="Normal 5 3 4 5 4" xfId="9869" xr:uid="{9D00EB8D-2D67-4E20-BF1B-DE8800BF13D9}"/>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AC5ABC43-9329-4C75-86C8-31998BD9C772}"/>
    <cellStyle name="Normal 5 3 4 6 2 3" xfId="12427" xr:uid="{137D5B44-B4BB-4AA6-8CEE-A1CC187F1EC4}"/>
    <cellStyle name="Normal 5 3 4 6 3" xfId="6061" xr:uid="{00000000-0005-0000-0000-00005C1A0000}"/>
    <cellStyle name="Normal 5 3 4 6 3 2" xfId="14500" xr:uid="{0F958E94-9EB4-4B12-A1D1-4D66B58929C8}"/>
    <cellStyle name="Normal 5 3 4 6 4" xfId="10282" xr:uid="{CB342B96-AA4D-476B-A68A-C69A4B854C4A}"/>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801E4FB2-0F11-4485-B044-F947A8F4AACF}"/>
    <cellStyle name="Normal 5 3 4 7 2 3" xfId="12840" xr:uid="{B9A73537-5BB2-46DD-8FFD-4F6A76DBB8CC}"/>
    <cellStyle name="Normal 5 3 4 7 3" xfId="6474" xr:uid="{00000000-0005-0000-0000-0000601A0000}"/>
    <cellStyle name="Normal 5 3 4 7 3 2" xfId="14913" xr:uid="{0CDB3684-B26F-4BAA-9196-4A4FAA817EF1}"/>
    <cellStyle name="Normal 5 3 4 7 4" xfId="10695" xr:uid="{CCA16C28-253D-47D7-8821-0B1E98CC1B6D}"/>
    <cellStyle name="Normal 5 3 4 8" xfId="2603" xr:uid="{00000000-0005-0000-0000-0000611A0000}"/>
    <cellStyle name="Normal 5 3 4 8 2" xfId="6887" xr:uid="{00000000-0005-0000-0000-0000621A0000}"/>
    <cellStyle name="Normal 5 3 4 8 2 2" xfId="15326" xr:uid="{57B3E6BB-12DB-4D26-887E-67F6CB39BB4D}"/>
    <cellStyle name="Normal 5 3 4 8 3" xfId="11108" xr:uid="{ACCCF5BA-DAE5-44E2-81C8-2A19BF80A2FF}"/>
    <cellStyle name="Normal 5 3 4 9" xfId="4822" xr:uid="{00000000-0005-0000-0000-0000631A0000}"/>
    <cellStyle name="Normal 5 3 4 9 2" xfId="13261" xr:uid="{D843F568-96DE-4B9E-ABFE-8565BAC7C0B4}"/>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39B9B93A-DEA9-42A5-A27E-8D21F3B00863}"/>
    <cellStyle name="Normal 5 3 5 2 2 2 3" xfId="11606" xr:uid="{5AF44C09-DC69-4B66-95B2-53091A41568A}"/>
    <cellStyle name="Normal 5 3 5 2 2 3" xfId="5240" xr:uid="{00000000-0005-0000-0000-0000691A0000}"/>
    <cellStyle name="Normal 5 3 5 2 2 3 2" xfId="13679" xr:uid="{075E46BE-AB1C-429C-A341-F2F3401F21D3}"/>
    <cellStyle name="Normal 5 3 5 2 2 4" xfId="9461" xr:uid="{D36B054E-A28C-4CCB-8B1A-A1244DF49FF2}"/>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EEAA91BE-95A2-4AA8-B5DA-339793963E6F}"/>
    <cellStyle name="Normal 5 3 5 2 3 2 3" xfId="12019" xr:uid="{ED44FA43-6853-46BB-AAB0-FA4B4A962806}"/>
    <cellStyle name="Normal 5 3 5 2 3 3" xfId="5653" xr:uid="{00000000-0005-0000-0000-00006D1A0000}"/>
    <cellStyle name="Normal 5 3 5 2 3 3 2" xfId="14092" xr:uid="{71399308-2065-465D-8E89-50A2A091B27A}"/>
    <cellStyle name="Normal 5 3 5 2 3 4" xfId="9874" xr:uid="{1089ABA4-C2E5-4BBC-B1E9-7FD7C62BC08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8A9F401B-A01A-44B3-8064-D1DB5C06E1A6}"/>
    <cellStyle name="Normal 5 3 5 2 4 2 3" xfId="12432" xr:uid="{97435496-8ECD-4C59-A7E4-F1959C9BEE57}"/>
    <cellStyle name="Normal 5 3 5 2 4 3" xfId="6066" xr:uid="{00000000-0005-0000-0000-0000711A0000}"/>
    <cellStyle name="Normal 5 3 5 2 4 3 2" xfId="14505" xr:uid="{4E182266-DD05-402A-BB01-B5E2B8366037}"/>
    <cellStyle name="Normal 5 3 5 2 4 4" xfId="10287" xr:uid="{602A6C07-B136-49BD-94C7-9A373B39E98C}"/>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6854A2BE-EF15-4DF4-B56F-D5B014BBE16E}"/>
    <cellStyle name="Normal 5 3 5 2 5 2 3" xfId="12845" xr:uid="{7FBE0CA7-5916-456F-A7D5-897235AE140E}"/>
    <cellStyle name="Normal 5 3 5 2 5 3" xfId="6479" xr:uid="{00000000-0005-0000-0000-0000751A0000}"/>
    <cellStyle name="Normal 5 3 5 2 5 3 2" xfId="14918" xr:uid="{9FA326A0-4FC5-4690-9ABC-C48C5D6BB969}"/>
    <cellStyle name="Normal 5 3 5 2 5 4" xfId="10700" xr:uid="{F29A8FD5-19A4-421F-B4BA-3BF2EC27169E}"/>
    <cellStyle name="Normal 5 3 5 2 6" xfId="2608" xr:uid="{00000000-0005-0000-0000-0000761A0000}"/>
    <cellStyle name="Normal 5 3 5 2 6 2" xfId="6892" xr:uid="{00000000-0005-0000-0000-0000771A0000}"/>
    <cellStyle name="Normal 5 3 5 2 6 2 2" xfId="15331" xr:uid="{8FBD31C0-001D-42AD-8196-1C7C9949E4D3}"/>
    <cellStyle name="Normal 5 3 5 2 6 3" xfId="11113" xr:uid="{F2049E18-E58E-499F-ABFA-73CFEED01388}"/>
    <cellStyle name="Normal 5 3 5 2 7" xfId="4827" xr:uid="{00000000-0005-0000-0000-0000781A0000}"/>
    <cellStyle name="Normal 5 3 5 2 7 2" xfId="13266" xr:uid="{F6EB59FC-FF8F-4EF9-A642-2AE35AD5F9F5}"/>
    <cellStyle name="Normal 5 3 5 2 8" xfId="9048" xr:uid="{9F269175-14D9-4672-8E48-5756BC02C452}"/>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B1EBBBC2-0993-4674-81B2-BE1B0C0BBA0E}"/>
    <cellStyle name="Normal 5 3 5 3 2 3" xfId="11605" xr:uid="{CE4C31C1-60C9-4450-B4BF-1BF4849084F9}"/>
    <cellStyle name="Normal 5 3 5 3 3" xfId="5239" xr:uid="{00000000-0005-0000-0000-00007C1A0000}"/>
    <cellStyle name="Normal 5 3 5 3 3 2" xfId="13678" xr:uid="{711B1474-7DE1-478B-9459-A84374855466}"/>
    <cellStyle name="Normal 5 3 5 3 4" xfId="9460" xr:uid="{B209EB56-A4C0-44B3-9803-F0C173D9E270}"/>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5CE4EE3C-969E-4572-BE40-84DB20F196DB}"/>
    <cellStyle name="Normal 5 3 5 4 2 3" xfId="12018" xr:uid="{735A91E3-F767-41DA-ACBC-3019849B22CF}"/>
    <cellStyle name="Normal 5 3 5 4 3" xfId="5652" xr:uid="{00000000-0005-0000-0000-0000801A0000}"/>
    <cellStyle name="Normal 5 3 5 4 3 2" xfId="14091" xr:uid="{287F732B-9425-4B87-AD6A-6753E3BE9658}"/>
    <cellStyle name="Normal 5 3 5 4 4" xfId="9873" xr:uid="{8F498156-07D6-4320-897F-2A1CE5771062}"/>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A1368709-9CCD-4907-97CC-CBC046E2A06D}"/>
    <cellStyle name="Normal 5 3 5 5 2 3" xfId="12431" xr:uid="{FD9CC68B-FF91-4EB7-9645-CFDFEF2FCB02}"/>
    <cellStyle name="Normal 5 3 5 5 3" xfId="6065" xr:uid="{00000000-0005-0000-0000-0000841A0000}"/>
    <cellStyle name="Normal 5 3 5 5 3 2" xfId="14504" xr:uid="{FCF10EE0-9C09-4650-A08A-471C11FEAAF4}"/>
    <cellStyle name="Normal 5 3 5 5 4" xfId="10286" xr:uid="{19FB55BA-167D-466E-98DD-41A34DD5FA96}"/>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AEF2FD00-1BBA-4A02-A091-1723458486C2}"/>
    <cellStyle name="Normal 5 3 5 6 2 3" xfId="12844" xr:uid="{DA39DB45-7FDB-42DE-ABA2-AF6B36DFC67B}"/>
    <cellStyle name="Normal 5 3 5 6 3" xfId="6478" xr:uid="{00000000-0005-0000-0000-0000881A0000}"/>
    <cellStyle name="Normal 5 3 5 6 3 2" xfId="14917" xr:uid="{787CC062-FBDB-4E00-8D20-45A11842B7AF}"/>
    <cellStyle name="Normal 5 3 5 6 4" xfId="10699" xr:uid="{F51A341E-60D3-47F7-8756-D6D3347035AB}"/>
    <cellStyle name="Normal 5 3 5 7" xfId="2607" xr:uid="{00000000-0005-0000-0000-0000891A0000}"/>
    <cellStyle name="Normal 5 3 5 7 2" xfId="6891" xr:uid="{00000000-0005-0000-0000-00008A1A0000}"/>
    <cellStyle name="Normal 5 3 5 7 2 2" xfId="15330" xr:uid="{3FA9C7BE-D1CA-41F0-9EBF-45D3166041B4}"/>
    <cellStyle name="Normal 5 3 5 7 3" xfId="11112" xr:uid="{4385AFB0-55C8-4363-B768-77FDCD8E14CD}"/>
    <cellStyle name="Normal 5 3 5 8" xfId="4826" xr:uid="{00000000-0005-0000-0000-00008B1A0000}"/>
    <cellStyle name="Normal 5 3 5 8 2" xfId="13265" xr:uid="{147FEE9E-B11C-469B-A4FA-43A6E2FAA778}"/>
    <cellStyle name="Normal 5 3 5 9" xfId="9047" xr:uid="{D642B872-0681-487C-8A86-C182091F1EAB}"/>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F62EB9C2-EBB6-4122-8F3E-BCD280706807}"/>
    <cellStyle name="Normal 5 3 6 2 2 3" xfId="11607" xr:uid="{26FFBB94-E5B8-4CE9-A9A5-924C91ADEF45}"/>
    <cellStyle name="Normal 5 3 6 2 3" xfId="5241" xr:uid="{00000000-0005-0000-0000-0000901A0000}"/>
    <cellStyle name="Normal 5 3 6 2 3 2" xfId="13680" xr:uid="{09AEF1AC-BF41-4F4F-9EE8-EB044154E197}"/>
    <cellStyle name="Normal 5 3 6 2 4" xfId="9462" xr:uid="{37867001-C4A5-4B64-A698-5987628FA72C}"/>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40D58A7C-00FD-40C8-BCD8-FA134B36C388}"/>
    <cellStyle name="Normal 5 3 6 3 2 3" xfId="12020" xr:uid="{FC79F6AE-1602-4451-B267-3B05A875BD3C}"/>
    <cellStyle name="Normal 5 3 6 3 3" xfId="5654" xr:uid="{00000000-0005-0000-0000-0000941A0000}"/>
    <cellStyle name="Normal 5 3 6 3 3 2" xfId="14093" xr:uid="{559DA67C-31A0-426C-BD3A-FF5B97508680}"/>
    <cellStyle name="Normal 5 3 6 3 4" xfId="9875" xr:uid="{10CA3F98-2E97-4048-94B8-DA8E209585F7}"/>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EA187361-D1A3-419E-912C-03480884722F}"/>
    <cellStyle name="Normal 5 3 6 4 2 3" xfId="12433" xr:uid="{C17FCD8C-65FB-421F-8485-4EFC35F0C38E}"/>
    <cellStyle name="Normal 5 3 6 4 3" xfId="6067" xr:uid="{00000000-0005-0000-0000-0000981A0000}"/>
    <cellStyle name="Normal 5 3 6 4 3 2" xfId="14506" xr:uid="{269D5D44-30E9-41F4-9E60-B2B1F7F342D4}"/>
    <cellStyle name="Normal 5 3 6 4 4" xfId="10288" xr:uid="{ACD8EBDC-582D-43A0-8189-DC014EC895CE}"/>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01784732-14B4-4330-AF53-C04A85602E87}"/>
    <cellStyle name="Normal 5 3 6 5 2 3" xfId="12846" xr:uid="{A05C791B-8DD1-491A-8073-F3D07787C91C}"/>
    <cellStyle name="Normal 5 3 6 5 3" xfId="6480" xr:uid="{00000000-0005-0000-0000-00009C1A0000}"/>
    <cellStyle name="Normal 5 3 6 5 3 2" xfId="14919" xr:uid="{38C086DA-915B-4C0F-9E05-0C30FCDCA02D}"/>
    <cellStyle name="Normal 5 3 6 5 4" xfId="10701" xr:uid="{A50E0CE3-6328-4571-966F-F09E2F4B379F}"/>
    <cellStyle name="Normal 5 3 6 6" xfId="2609" xr:uid="{00000000-0005-0000-0000-00009D1A0000}"/>
    <cellStyle name="Normal 5 3 6 6 2" xfId="6893" xr:uid="{00000000-0005-0000-0000-00009E1A0000}"/>
    <cellStyle name="Normal 5 3 6 6 2 2" xfId="15332" xr:uid="{C3335196-FDB1-4416-9B36-13F550023936}"/>
    <cellStyle name="Normal 5 3 6 6 3" xfId="11114" xr:uid="{DCCB647A-6096-44E3-AA02-EF7D3B97E6F7}"/>
    <cellStyle name="Normal 5 3 6 7" xfId="4828" xr:uid="{00000000-0005-0000-0000-00009F1A0000}"/>
    <cellStyle name="Normal 5 3 6 7 2" xfId="13267" xr:uid="{E01C0C3F-C68B-4BBE-9C76-6D38DD5325B5}"/>
    <cellStyle name="Normal 5 3 6 8" xfId="9049" xr:uid="{8AB22DD2-6A29-459A-A005-E53B566929BA}"/>
    <cellStyle name="Normal 5 3 7" xfId="913" xr:uid="{00000000-0005-0000-0000-0000A01A0000}"/>
    <cellStyle name="Normal 5 3 7 2" xfId="3148" xr:uid="{00000000-0005-0000-0000-0000A11A0000}"/>
    <cellStyle name="Normal 5 3 7 2 2" xfId="7371" xr:uid="{00000000-0005-0000-0000-0000A21A0000}"/>
    <cellStyle name="Normal 5 3 7 2 2 2" xfId="15810" xr:uid="{6C04E3CA-1EBC-43A1-93A2-B2F52CF2AD81}"/>
    <cellStyle name="Normal 5 3 7 2 3" xfId="11592" xr:uid="{A949EDCA-DEF7-4BEB-81D3-7DFE6BDF1F4F}"/>
    <cellStyle name="Normal 5 3 7 3" xfId="5226" xr:uid="{00000000-0005-0000-0000-0000A31A0000}"/>
    <cellStyle name="Normal 5 3 7 3 2" xfId="13665" xr:uid="{65BDE751-913D-44E1-A762-908414F16457}"/>
    <cellStyle name="Normal 5 3 7 4" xfId="9447" xr:uid="{69DB4398-98CB-4E21-8B6D-4D6359AC2FF1}"/>
    <cellStyle name="Normal 5 3 8" xfId="1331" xr:uid="{00000000-0005-0000-0000-0000A41A0000}"/>
    <cellStyle name="Normal 5 3 8 2" xfId="3561" xr:uid="{00000000-0005-0000-0000-0000A51A0000}"/>
    <cellStyle name="Normal 5 3 8 2 2" xfId="7784" xr:uid="{00000000-0005-0000-0000-0000A61A0000}"/>
    <cellStyle name="Normal 5 3 8 2 2 2" xfId="16223" xr:uid="{A21EC079-0F90-425A-BF98-B0290BA373DE}"/>
    <cellStyle name="Normal 5 3 8 2 3" xfId="12005" xr:uid="{B9B03C28-C82F-4C19-8C4D-E9BA5E9E633C}"/>
    <cellStyle name="Normal 5 3 8 3" xfId="5639" xr:uid="{00000000-0005-0000-0000-0000A71A0000}"/>
    <cellStyle name="Normal 5 3 8 3 2" xfId="14078" xr:uid="{89AFCC74-71F7-462F-965D-78C2243C1F96}"/>
    <cellStyle name="Normal 5 3 8 4" xfId="9860" xr:uid="{54006890-BBE9-4376-B0A9-7B1B767E216A}"/>
    <cellStyle name="Normal 5 3 9" xfId="1744" xr:uid="{00000000-0005-0000-0000-0000A81A0000}"/>
    <cellStyle name="Normal 5 3 9 2" xfId="3974" xr:uid="{00000000-0005-0000-0000-0000A91A0000}"/>
    <cellStyle name="Normal 5 3 9 2 2" xfId="8197" xr:uid="{00000000-0005-0000-0000-0000AA1A0000}"/>
    <cellStyle name="Normal 5 3 9 2 2 2" xfId="16636" xr:uid="{6BEA21DE-D801-48F2-83D7-E18903C840BB}"/>
    <cellStyle name="Normal 5 3 9 2 3" xfId="12418" xr:uid="{4F220916-0FA4-4CA5-B1DF-B4A1E39387F6}"/>
    <cellStyle name="Normal 5 3 9 3" xfId="6052" xr:uid="{00000000-0005-0000-0000-0000AB1A0000}"/>
    <cellStyle name="Normal 5 3 9 3 2" xfId="14491" xr:uid="{D362641A-478C-467B-B2CE-2AB612584D31}"/>
    <cellStyle name="Normal 5 3 9 4" xfId="10273" xr:uid="{7D80327E-6FC0-44C0-BDFC-5162CAFBB40B}"/>
    <cellStyle name="Normal 5 4" xfId="456" xr:uid="{00000000-0005-0000-0000-0000AC1A0000}"/>
    <cellStyle name="Normal 5 4 10" xfId="4829" xr:uid="{00000000-0005-0000-0000-0000AD1A0000}"/>
    <cellStyle name="Normal 5 4 10 2" xfId="13268" xr:uid="{00B5107A-9ABC-45EE-82B2-0E6CDE2C8EF7}"/>
    <cellStyle name="Normal 5 4 11" xfId="9050" xr:uid="{DD5A4CE0-A05B-4A55-8301-1A9FB613C8DB}"/>
    <cellStyle name="Normal 5 4 2" xfId="457" xr:uid="{00000000-0005-0000-0000-0000AE1A0000}"/>
    <cellStyle name="Normal 5 4 2 10" xfId="9051" xr:uid="{B1621BE7-39E8-4C69-9732-B338449060F5}"/>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F1292971-10A0-47C4-ABC2-C604F281DC90}"/>
    <cellStyle name="Normal 5 4 2 2 2 2 2 3" xfId="11611" xr:uid="{142524B1-3C23-4498-8282-4518D76EBE07}"/>
    <cellStyle name="Normal 5 4 2 2 2 2 3" xfId="5245" xr:uid="{00000000-0005-0000-0000-0000B41A0000}"/>
    <cellStyle name="Normal 5 4 2 2 2 2 3 2" xfId="13684" xr:uid="{CBB96478-8212-445D-A5FF-AE1DAC2FC926}"/>
    <cellStyle name="Normal 5 4 2 2 2 2 4" xfId="9466" xr:uid="{879A45D3-7B2D-43D9-9EEA-EAC007610132}"/>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1B696B26-0183-4A00-B3C1-53CEEFED11A0}"/>
    <cellStyle name="Normal 5 4 2 2 2 3 2 3" xfId="12024" xr:uid="{57CBDD91-8C8D-4ECB-BBF6-F95AAB3BF7CD}"/>
    <cellStyle name="Normal 5 4 2 2 2 3 3" xfId="5658" xr:uid="{00000000-0005-0000-0000-0000B81A0000}"/>
    <cellStyle name="Normal 5 4 2 2 2 3 3 2" xfId="14097" xr:uid="{547399B3-7D92-40C2-96D4-EF1D24565E85}"/>
    <cellStyle name="Normal 5 4 2 2 2 3 4" xfId="9879" xr:uid="{0AD459B9-6807-4DF6-8B59-089BC6AAE2BB}"/>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AA796ACC-868F-46F0-889B-7DB3A2119DD2}"/>
    <cellStyle name="Normal 5 4 2 2 2 4 2 3" xfId="12437" xr:uid="{CE50B11C-BDED-49A7-A878-D3931E6425BE}"/>
    <cellStyle name="Normal 5 4 2 2 2 4 3" xfId="6071" xr:uid="{00000000-0005-0000-0000-0000BC1A0000}"/>
    <cellStyle name="Normal 5 4 2 2 2 4 3 2" xfId="14510" xr:uid="{77EFF729-3EE9-462C-8D7D-BE70EE24862A}"/>
    <cellStyle name="Normal 5 4 2 2 2 4 4" xfId="10292" xr:uid="{B10EBDC3-D5E8-4D46-93C4-7754D8AB0CF5}"/>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A897B089-DE9C-4989-A839-F92784811852}"/>
    <cellStyle name="Normal 5 4 2 2 2 5 2 3" xfId="12850" xr:uid="{ADBF3374-913D-40BE-BD60-3B5CEBDA02F6}"/>
    <cellStyle name="Normal 5 4 2 2 2 5 3" xfId="6484" xr:uid="{00000000-0005-0000-0000-0000C01A0000}"/>
    <cellStyle name="Normal 5 4 2 2 2 5 3 2" xfId="14923" xr:uid="{29F550E0-BF0F-41B1-9A5D-EC094A49372B}"/>
    <cellStyle name="Normal 5 4 2 2 2 5 4" xfId="10705" xr:uid="{3BB4E7FB-FE89-4290-98E6-4905CFFE1B0C}"/>
    <cellStyle name="Normal 5 4 2 2 2 6" xfId="2613" xr:uid="{00000000-0005-0000-0000-0000C11A0000}"/>
    <cellStyle name="Normal 5 4 2 2 2 6 2" xfId="6897" xr:uid="{00000000-0005-0000-0000-0000C21A0000}"/>
    <cellStyle name="Normal 5 4 2 2 2 6 2 2" xfId="15336" xr:uid="{0095E222-B778-4A6F-B8CA-AF589CD3BCD0}"/>
    <cellStyle name="Normal 5 4 2 2 2 6 3" xfId="11118" xr:uid="{97E59D71-EF50-4D15-9BF4-B9E4234CCEEB}"/>
    <cellStyle name="Normal 5 4 2 2 2 7" xfId="4832" xr:uid="{00000000-0005-0000-0000-0000C31A0000}"/>
    <cellStyle name="Normal 5 4 2 2 2 7 2" xfId="13271" xr:uid="{E4B47DD9-923F-4332-A2E2-AA28BC696CF7}"/>
    <cellStyle name="Normal 5 4 2 2 2 8" xfId="9053" xr:uid="{166D5039-69C7-4880-8398-7B24C407FE77}"/>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6610A4E5-3897-48B3-8963-4FD1FCDD05F5}"/>
    <cellStyle name="Normal 5 4 2 2 3 2 3" xfId="11610" xr:uid="{6B55CD96-2F14-4B01-A49A-358B92602736}"/>
    <cellStyle name="Normal 5 4 2 2 3 3" xfId="5244" xr:uid="{00000000-0005-0000-0000-0000C71A0000}"/>
    <cellStyle name="Normal 5 4 2 2 3 3 2" xfId="13683" xr:uid="{BF2C0602-0F4A-4D6C-BA27-4704172D726A}"/>
    <cellStyle name="Normal 5 4 2 2 3 4" xfId="9465" xr:uid="{19D4E964-57BC-4420-9407-DD2745DCAC04}"/>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8D6A3D12-262C-451A-99CA-5EB141E76505}"/>
    <cellStyle name="Normal 5 4 2 2 4 2 3" xfId="12023" xr:uid="{1DE10A97-23D4-4B18-A810-CBB8ED8CF06F}"/>
    <cellStyle name="Normal 5 4 2 2 4 3" xfId="5657" xr:uid="{00000000-0005-0000-0000-0000CB1A0000}"/>
    <cellStyle name="Normal 5 4 2 2 4 3 2" xfId="14096" xr:uid="{713D9537-A63C-4D31-8A36-42ED4EF47433}"/>
    <cellStyle name="Normal 5 4 2 2 4 4" xfId="9878" xr:uid="{4E734561-0152-43A0-8AB9-ADE3B5AF2E90}"/>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A484A9EB-14AA-4E28-9A31-B4D665E9885C}"/>
    <cellStyle name="Normal 5 4 2 2 5 2 3" xfId="12436" xr:uid="{3B16F5D4-ABA2-4718-A451-94BC4879B3A4}"/>
    <cellStyle name="Normal 5 4 2 2 5 3" xfId="6070" xr:uid="{00000000-0005-0000-0000-0000CF1A0000}"/>
    <cellStyle name="Normal 5 4 2 2 5 3 2" xfId="14509" xr:uid="{EE5CA449-4C43-4777-BECD-B5D7B7D982B8}"/>
    <cellStyle name="Normal 5 4 2 2 5 4" xfId="10291" xr:uid="{B9FDD257-589F-4346-9404-AE25837E50C9}"/>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C467C5A4-6691-4D82-B958-6C4E37EA1EC1}"/>
    <cellStyle name="Normal 5 4 2 2 6 2 3" xfId="12849" xr:uid="{73CE4546-8430-459E-8EA0-94C1E667CC4D}"/>
    <cellStyle name="Normal 5 4 2 2 6 3" xfId="6483" xr:uid="{00000000-0005-0000-0000-0000D31A0000}"/>
    <cellStyle name="Normal 5 4 2 2 6 3 2" xfId="14922" xr:uid="{92FEFB52-3404-4981-AE42-C7A7C76B5564}"/>
    <cellStyle name="Normal 5 4 2 2 6 4" xfId="10704" xr:uid="{A817280F-AA86-4B14-AD53-636915C1DC24}"/>
    <cellStyle name="Normal 5 4 2 2 7" xfId="2612" xr:uid="{00000000-0005-0000-0000-0000D41A0000}"/>
    <cellStyle name="Normal 5 4 2 2 7 2" xfId="6896" xr:uid="{00000000-0005-0000-0000-0000D51A0000}"/>
    <cellStyle name="Normal 5 4 2 2 7 2 2" xfId="15335" xr:uid="{01E73EA2-E308-4573-8F27-E016C5EA45AB}"/>
    <cellStyle name="Normal 5 4 2 2 7 3" xfId="11117" xr:uid="{CEF70943-27C2-4BB8-A1E3-5ADC5BB1B3AC}"/>
    <cellStyle name="Normal 5 4 2 2 8" xfId="4831" xr:uid="{00000000-0005-0000-0000-0000D61A0000}"/>
    <cellStyle name="Normal 5 4 2 2 8 2" xfId="13270" xr:uid="{AB23D6C7-2672-4CDA-A0DA-91971B464251}"/>
    <cellStyle name="Normal 5 4 2 2 9" xfId="9052" xr:uid="{71EE191C-66FC-4A41-89E7-A8DCEC70FA7E}"/>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C421B0B6-0067-4467-9143-3A2B4EB3AC72}"/>
    <cellStyle name="Normal 5 4 2 3 2 2 3" xfId="11612" xr:uid="{0E474C02-E7CD-4387-945D-26FCAE3B79E3}"/>
    <cellStyle name="Normal 5 4 2 3 2 3" xfId="5246" xr:uid="{00000000-0005-0000-0000-0000DB1A0000}"/>
    <cellStyle name="Normal 5 4 2 3 2 3 2" xfId="13685" xr:uid="{786EDE12-2375-4718-9568-B81091F53550}"/>
    <cellStyle name="Normal 5 4 2 3 2 4" xfId="9467" xr:uid="{B3B04001-FE81-4664-A2C9-3683C7B64E59}"/>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7039EF66-3323-472A-B1EC-99A1F1B5F248}"/>
    <cellStyle name="Normal 5 4 2 3 3 2 3" xfId="12025" xr:uid="{A1B5177C-206B-49BB-8D6A-9AB3DC4C7D1E}"/>
    <cellStyle name="Normal 5 4 2 3 3 3" xfId="5659" xr:uid="{00000000-0005-0000-0000-0000DF1A0000}"/>
    <cellStyle name="Normal 5 4 2 3 3 3 2" xfId="14098" xr:uid="{95F2EFF2-66C0-47FC-A753-FD6D59097310}"/>
    <cellStyle name="Normal 5 4 2 3 3 4" xfId="9880" xr:uid="{D722B0F5-1821-49B5-A675-C4385C279341}"/>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4E3A47FD-DB8E-47D0-AA55-5D2CC10D0DDB}"/>
    <cellStyle name="Normal 5 4 2 3 4 2 3" xfId="12438" xr:uid="{2A45A27A-81D3-4AC5-B844-4276AC6E65C9}"/>
    <cellStyle name="Normal 5 4 2 3 4 3" xfId="6072" xr:uid="{00000000-0005-0000-0000-0000E31A0000}"/>
    <cellStyle name="Normal 5 4 2 3 4 3 2" xfId="14511" xr:uid="{D0A4A221-153B-4B6B-A175-43632BE21B41}"/>
    <cellStyle name="Normal 5 4 2 3 4 4" xfId="10293" xr:uid="{25AB923C-974D-4691-B589-D0E78366BDB6}"/>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4640E10E-6C67-4466-9E89-AB719DBC7D3E}"/>
    <cellStyle name="Normal 5 4 2 3 5 2 3" xfId="12851" xr:uid="{13717D94-E232-4C37-A327-41E94C22B440}"/>
    <cellStyle name="Normal 5 4 2 3 5 3" xfId="6485" xr:uid="{00000000-0005-0000-0000-0000E71A0000}"/>
    <cellStyle name="Normal 5 4 2 3 5 3 2" xfId="14924" xr:uid="{5527030E-7C26-4508-BB3C-D2410E5126EA}"/>
    <cellStyle name="Normal 5 4 2 3 5 4" xfId="10706" xr:uid="{9C8067EE-9605-4EFE-B2A4-E61F525D99D6}"/>
    <cellStyle name="Normal 5 4 2 3 6" xfId="2614" xr:uid="{00000000-0005-0000-0000-0000E81A0000}"/>
    <cellStyle name="Normal 5 4 2 3 6 2" xfId="6898" xr:uid="{00000000-0005-0000-0000-0000E91A0000}"/>
    <cellStyle name="Normal 5 4 2 3 6 2 2" xfId="15337" xr:uid="{D79927CC-9136-4117-BA5F-665AF3C03BC7}"/>
    <cellStyle name="Normal 5 4 2 3 6 3" xfId="11119" xr:uid="{67089E10-D704-4841-8769-AE0AF22D3BE2}"/>
    <cellStyle name="Normal 5 4 2 3 7" xfId="4833" xr:uid="{00000000-0005-0000-0000-0000EA1A0000}"/>
    <cellStyle name="Normal 5 4 2 3 7 2" xfId="13272" xr:uid="{5BBD9C35-AA10-404D-8CF7-F434A255968A}"/>
    <cellStyle name="Normal 5 4 2 3 8" xfId="9054" xr:uid="{AF0F258B-60E5-43FC-971C-CD663EF5234F}"/>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8D3DD111-E834-41E5-B3AA-086F7307FB22}"/>
    <cellStyle name="Normal 5 4 2 4 2 3" xfId="11609" xr:uid="{30D65413-D883-4407-8BAB-92DB194F1889}"/>
    <cellStyle name="Normal 5 4 2 4 3" xfId="5243" xr:uid="{00000000-0005-0000-0000-0000EE1A0000}"/>
    <cellStyle name="Normal 5 4 2 4 3 2" xfId="13682" xr:uid="{55098E64-E90E-4D4A-B955-D7843CEF539E}"/>
    <cellStyle name="Normal 5 4 2 4 4" xfId="9464" xr:uid="{0C4701FE-BE0B-4ACD-9D30-990147687726}"/>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FD035B9E-F556-42F2-AA55-AC86C70BF6C8}"/>
    <cellStyle name="Normal 5 4 2 5 2 3" xfId="12022" xr:uid="{6CE82F8B-5A44-4A01-9A52-183D3389E924}"/>
    <cellStyle name="Normal 5 4 2 5 3" xfId="5656" xr:uid="{00000000-0005-0000-0000-0000F21A0000}"/>
    <cellStyle name="Normal 5 4 2 5 3 2" xfId="14095" xr:uid="{38777245-852C-4AE7-BC42-6179C93D2DAC}"/>
    <cellStyle name="Normal 5 4 2 5 4" xfId="9877" xr:uid="{2856BB48-9309-4A08-AF7D-167D5ACA56AE}"/>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945B4F69-0117-4EB4-93C2-0008A8BBCF58}"/>
    <cellStyle name="Normal 5 4 2 6 2 3" xfId="12435" xr:uid="{F8A4A57C-D2F2-4F75-94E2-0F0E133AAAE0}"/>
    <cellStyle name="Normal 5 4 2 6 3" xfId="6069" xr:uid="{00000000-0005-0000-0000-0000F61A0000}"/>
    <cellStyle name="Normal 5 4 2 6 3 2" xfId="14508" xr:uid="{8A394C72-7F26-470A-BD13-2872AFFBDF12}"/>
    <cellStyle name="Normal 5 4 2 6 4" xfId="10290" xr:uid="{7BD23285-7440-40FA-B4D0-04EC7077C5E6}"/>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C5D08382-DBEB-48B7-9A89-890F11155F55}"/>
    <cellStyle name="Normal 5 4 2 7 2 3" xfId="12848" xr:uid="{18078B10-8453-4F82-A6D0-DDEA2F1C1D0B}"/>
    <cellStyle name="Normal 5 4 2 7 3" xfId="6482" xr:uid="{00000000-0005-0000-0000-0000FA1A0000}"/>
    <cellStyle name="Normal 5 4 2 7 3 2" xfId="14921" xr:uid="{2FEABEF5-ED7D-4436-B329-E242C5039E81}"/>
    <cellStyle name="Normal 5 4 2 7 4" xfId="10703" xr:uid="{6468AAFD-7AD3-45A0-9556-472DED0DAB8A}"/>
    <cellStyle name="Normal 5 4 2 8" xfId="2611" xr:uid="{00000000-0005-0000-0000-0000FB1A0000}"/>
    <cellStyle name="Normal 5 4 2 8 2" xfId="6895" xr:uid="{00000000-0005-0000-0000-0000FC1A0000}"/>
    <cellStyle name="Normal 5 4 2 8 2 2" xfId="15334" xr:uid="{94F0BC91-8F5F-447D-AF7B-4006D61C9B5A}"/>
    <cellStyle name="Normal 5 4 2 8 3" xfId="11116" xr:uid="{4A545F43-02F4-43F2-9906-041E3C6E2613}"/>
    <cellStyle name="Normal 5 4 2 9" xfId="4830" xr:uid="{00000000-0005-0000-0000-0000FD1A0000}"/>
    <cellStyle name="Normal 5 4 2 9 2" xfId="13269" xr:uid="{9B267ADF-328F-4A11-8F46-D786FAC48DCF}"/>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4A4F1F0C-964B-4D30-803D-2E4F26DED8AE}"/>
    <cellStyle name="Normal 5 4 3 2 2 2 3" xfId="11614" xr:uid="{F89A4A3F-3DCB-41D6-8057-21CC9DFC1FB2}"/>
    <cellStyle name="Normal 5 4 3 2 2 3" xfId="5248" xr:uid="{00000000-0005-0000-0000-0000031B0000}"/>
    <cellStyle name="Normal 5 4 3 2 2 3 2" xfId="13687" xr:uid="{8DEE7689-6FFD-4795-ADF1-73BB4A9FC2B4}"/>
    <cellStyle name="Normal 5 4 3 2 2 4" xfId="9469" xr:uid="{4D1137F0-1892-456D-8C50-07DD662FCD17}"/>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C8D04560-E4EF-45BE-B963-ED7AB2E0936E}"/>
    <cellStyle name="Normal 5 4 3 2 3 2 3" xfId="12027" xr:uid="{B38ABCDD-BC35-4A09-A5EA-3C271E1B2F06}"/>
    <cellStyle name="Normal 5 4 3 2 3 3" xfId="5661" xr:uid="{00000000-0005-0000-0000-0000071B0000}"/>
    <cellStyle name="Normal 5 4 3 2 3 3 2" xfId="14100" xr:uid="{00E5B78C-A49C-4294-B73B-2C3DC15ABA96}"/>
    <cellStyle name="Normal 5 4 3 2 3 4" xfId="9882" xr:uid="{E4919365-8722-4AA6-A2E7-DE8620EA7C9B}"/>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391B160C-4FAF-435F-B74B-F198DA7EFF86}"/>
    <cellStyle name="Normal 5 4 3 2 4 2 3" xfId="12440" xr:uid="{D1D16438-752D-47B0-BB69-95770336ECF1}"/>
    <cellStyle name="Normal 5 4 3 2 4 3" xfId="6074" xr:uid="{00000000-0005-0000-0000-00000B1B0000}"/>
    <cellStyle name="Normal 5 4 3 2 4 3 2" xfId="14513" xr:uid="{0FF3D7CF-A28C-46A7-8E76-2349051D7480}"/>
    <cellStyle name="Normal 5 4 3 2 4 4" xfId="10295" xr:uid="{BD50198D-4933-4146-8E7A-8CEB9F5973E8}"/>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9CAFECF1-DA83-4588-84B1-E99825B8A7B2}"/>
    <cellStyle name="Normal 5 4 3 2 5 2 3" xfId="12853" xr:uid="{6179F6FB-21FC-4FAC-A579-ACF7156A786D}"/>
    <cellStyle name="Normal 5 4 3 2 5 3" xfId="6487" xr:uid="{00000000-0005-0000-0000-00000F1B0000}"/>
    <cellStyle name="Normal 5 4 3 2 5 3 2" xfId="14926" xr:uid="{84B476D5-73CD-415C-B25F-829487F3C4DF}"/>
    <cellStyle name="Normal 5 4 3 2 5 4" xfId="10708" xr:uid="{8829E7E2-B64D-479C-91F0-320FCE6E9578}"/>
    <cellStyle name="Normal 5 4 3 2 6" xfId="2616" xr:uid="{00000000-0005-0000-0000-0000101B0000}"/>
    <cellStyle name="Normal 5 4 3 2 6 2" xfId="6900" xr:uid="{00000000-0005-0000-0000-0000111B0000}"/>
    <cellStyle name="Normal 5 4 3 2 6 2 2" xfId="15339" xr:uid="{1FD54428-BCB6-4301-BE43-073DC579D86E}"/>
    <cellStyle name="Normal 5 4 3 2 6 3" xfId="11121" xr:uid="{6015ACBC-8360-4F20-B404-5A56530595ED}"/>
    <cellStyle name="Normal 5 4 3 2 7" xfId="4835" xr:uid="{00000000-0005-0000-0000-0000121B0000}"/>
    <cellStyle name="Normal 5 4 3 2 7 2" xfId="13274" xr:uid="{FEE97158-52F5-4334-B6C9-0BC20279C15C}"/>
    <cellStyle name="Normal 5 4 3 2 8" xfId="9056" xr:uid="{7F53A205-6F39-4620-867B-3A7F43E2E558}"/>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CE85C579-85AE-4791-B24B-2CBB6556B963}"/>
    <cellStyle name="Normal 5 4 3 3 2 3" xfId="11613" xr:uid="{F78C5D98-526D-4D54-BDF4-31590806BBE9}"/>
    <cellStyle name="Normal 5 4 3 3 3" xfId="5247" xr:uid="{00000000-0005-0000-0000-0000161B0000}"/>
    <cellStyle name="Normal 5 4 3 3 3 2" xfId="13686" xr:uid="{5CA30178-6D48-4464-A3C6-68731F4CBC8A}"/>
    <cellStyle name="Normal 5 4 3 3 4" xfId="9468" xr:uid="{4791DCB2-19F1-4722-BFD9-D035CB209139}"/>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C7D29E55-E656-463F-91A9-EFC0C19F0E16}"/>
    <cellStyle name="Normal 5 4 3 4 2 3" xfId="12026" xr:uid="{A4FA405F-C1D2-4FCB-8205-7AE578A3C72F}"/>
    <cellStyle name="Normal 5 4 3 4 3" xfId="5660" xr:uid="{00000000-0005-0000-0000-00001A1B0000}"/>
    <cellStyle name="Normal 5 4 3 4 3 2" xfId="14099" xr:uid="{C8A616AA-17D1-4294-805F-74AF740FBFAB}"/>
    <cellStyle name="Normal 5 4 3 4 4" xfId="9881" xr:uid="{4902A93A-3BF4-45C4-9765-B6BD69235996}"/>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162146E9-CD2F-4229-9751-69CA3D66EF73}"/>
    <cellStyle name="Normal 5 4 3 5 2 3" xfId="12439" xr:uid="{4631EE08-BA83-42D2-95D9-C4D21576C48B}"/>
    <cellStyle name="Normal 5 4 3 5 3" xfId="6073" xr:uid="{00000000-0005-0000-0000-00001E1B0000}"/>
    <cellStyle name="Normal 5 4 3 5 3 2" xfId="14512" xr:uid="{B8838808-9056-4055-8DD4-E8F7F68C2B33}"/>
    <cellStyle name="Normal 5 4 3 5 4" xfId="10294" xr:uid="{B71E92B5-0B32-488C-8082-8B6AC63A988F}"/>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866378BD-AD04-4FEF-8A5C-5BCB41D4EA89}"/>
    <cellStyle name="Normal 5 4 3 6 2 3" xfId="12852" xr:uid="{768C0BA1-42AE-4412-A2F6-7566F6CCCC73}"/>
    <cellStyle name="Normal 5 4 3 6 3" xfId="6486" xr:uid="{00000000-0005-0000-0000-0000221B0000}"/>
    <cellStyle name="Normal 5 4 3 6 3 2" xfId="14925" xr:uid="{50C723B1-CB08-4107-85FF-9C16DA218616}"/>
    <cellStyle name="Normal 5 4 3 6 4" xfId="10707" xr:uid="{92863D63-184A-4CD6-A8C1-45D0B253B0EC}"/>
    <cellStyle name="Normal 5 4 3 7" xfId="2615" xr:uid="{00000000-0005-0000-0000-0000231B0000}"/>
    <cellStyle name="Normal 5 4 3 7 2" xfId="6899" xr:uid="{00000000-0005-0000-0000-0000241B0000}"/>
    <cellStyle name="Normal 5 4 3 7 2 2" xfId="15338" xr:uid="{92BFE04E-D80F-43DC-9D63-C60DBB6532BE}"/>
    <cellStyle name="Normal 5 4 3 7 3" xfId="11120" xr:uid="{5D15EF52-EDDA-4E57-AB8A-273F56665913}"/>
    <cellStyle name="Normal 5 4 3 8" xfId="4834" xr:uid="{00000000-0005-0000-0000-0000251B0000}"/>
    <cellStyle name="Normal 5 4 3 8 2" xfId="13273" xr:uid="{D1A8A165-A6CA-4809-80A2-77E31DC7B822}"/>
    <cellStyle name="Normal 5 4 3 9" xfId="9055" xr:uid="{C86BDDBA-4C22-4BD7-A6FB-CE20AFE5A817}"/>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49D56F7E-346A-4C9D-9DC2-55ABB9ECA684}"/>
    <cellStyle name="Normal 5 4 4 2 2 3" xfId="11615" xr:uid="{A4540DD5-ACC3-4070-B640-4F3F253CD81A}"/>
    <cellStyle name="Normal 5 4 4 2 3" xfId="5249" xr:uid="{00000000-0005-0000-0000-00002A1B0000}"/>
    <cellStyle name="Normal 5 4 4 2 3 2" xfId="13688" xr:uid="{EB669F37-51AB-4FDE-ACBC-5F57ED0EA659}"/>
    <cellStyle name="Normal 5 4 4 2 4" xfId="9470" xr:uid="{97515C62-FFE7-4917-9EC3-09AA9ECAD6CF}"/>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8764990C-34B8-4C3D-B9B9-880A3C524BAF}"/>
    <cellStyle name="Normal 5 4 4 3 2 3" xfId="12028" xr:uid="{D5577063-4BCA-46C1-825C-D5B6420B5D96}"/>
    <cellStyle name="Normal 5 4 4 3 3" xfId="5662" xr:uid="{00000000-0005-0000-0000-00002E1B0000}"/>
    <cellStyle name="Normal 5 4 4 3 3 2" xfId="14101" xr:uid="{5E96DEF5-CAA2-4B3C-A9DD-C26009A693A4}"/>
    <cellStyle name="Normal 5 4 4 3 4" xfId="9883" xr:uid="{CB419928-63C0-4954-89B2-3F15898F6E6F}"/>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7341F343-B676-4D31-BD60-F943DBB9CCCE}"/>
    <cellStyle name="Normal 5 4 4 4 2 3" xfId="12441" xr:uid="{0AFD7ABB-96C2-4DF6-BD3D-37A5BA4B3DE0}"/>
    <cellStyle name="Normal 5 4 4 4 3" xfId="6075" xr:uid="{00000000-0005-0000-0000-0000321B0000}"/>
    <cellStyle name="Normal 5 4 4 4 3 2" xfId="14514" xr:uid="{F864DD08-2477-4DE6-9E6F-11A9AD12A7DC}"/>
    <cellStyle name="Normal 5 4 4 4 4" xfId="10296" xr:uid="{D393B919-7717-4739-A5C6-F122228C9AA2}"/>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37FD17B9-CEA4-4DA5-92B2-F460CC3B828B}"/>
    <cellStyle name="Normal 5 4 4 5 2 3" xfId="12854" xr:uid="{F2BFDF5A-111B-4B74-BCEF-1170121A2E18}"/>
    <cellStyle name="Normal 5 4 4 5 3" xfId="6488" xr:uid="{00000000-0005-0000-0000-0000361B0000}"/>
    <cellStyle name="Normal 5 4 4 5 3 2" xfId="14927" xr:uid="{C67076FD-45D1-4915-AD61-26B10FAEACFF}"/>
    <cellStyle name="Normal 5 4 4 5 4" xfId="10709" xr:uid="{CDF7C399-0577-4E43-BD8B-CF243FD979DC}"/>
    <cellStyle name="Normal 5 4 4 6" xfId="2617" xr:uid="{00000000-0005-0000-0000-0000371B0000}"/>
    <cellStyle name="Normal 5 4 4 6 2" xfId="6901" xr:uid="{00000000-0005-0000-0000-0000381B0000}"/>
    <cellStyle name="Normal 5 4 4 6 2 2" xfId="15340" xr:uid="{24A21865-516C-48A4-B17D-734C50AED4BB}"/>
    <cellStyle name="Normal 5 4 4 6 3" xfId="11122" xr:uid="{A5D12152-663C-47C2-B3B5-C440DA1F8AB1}"/>
    <cellStyle name="Normal 5 4 4 7" xfId="4836" xr:uid="{00000000-0005-0000-0000-0000391B0000}"/>
    <cellStyle name="Normal 5 4 4 7 2" xfId="13275" xr:uid="{1DB8119D-059A-4D85-BF74-C1FD818F044D}"/>
    <cellStyle name="Normal 5 4 4 8" xfId="9057" xr:uid="{2A76E84B-7D42-40C0-8D2E-DD74B2FC6346}"/>
    <cellStyle name="Normal 5 4 5" xfId="930" xr:uid="{00000000-0005-0000-0000-00003A1B0000}"/>
    <cellStyle name="Normal 5 4 5 2" xfId="3164" xr:uid="{00000000-0005-0000-0000-00003B1B0000}"/>
    <cellStyle name="Normal 5 4 5 2 2" xfId="7387" xr:uid="{00000000-0005-0000-0000-00003C1B0000}"/>
    <cellStyle name="Normal 5 4 5 2 2 2" xfId="15826" xr:uid="{51145344-0163-4CBD-A74F-8642A5769E38}"/>
    <cellStyle name="Normal 5 4 5 2 3" xfId="11608" xr:uid="{55D2F1AB-981C-49E6-AB10-6456750A31CA}"/>
    <cellStyle name="Normal 5 4 5 3" xfId="5242" xr:uid="{00000000-0005-0000-0000-00003D1B0000}"/>
    <cellStyle name="Normal 5 4 5 3 2" xfId="13681" xr:uid="{143AA1D9-1005-4C9E-B575-90A340C82468}"/>
    <cellStyle name="Normal 5 4 5 4" xfId="9463" xr:uid="{18445491-0872-4A9B-A66F-07F5FB2E9705}"/>
    <cellStyle name="Normal 5 4 6" xfId="1347" xr:uid="{00000000-0005-0000-0000-00003E1B0000}"/>
    <cellStyle name="Normal 5 4 6 2" xfId="3577" xr:uid="{00000000-0005-0000-0000-00003F1B0000}"/>
    <cellStyle name="Normal 5 4 6 2 2" xfId="7800" xr:uid="{00000000-0005-0000-0000-0000401B0000}"/>
    <cellStyle name="Normal 5 4 6 2 2 2" xfId="16239" xr:uid="{8169273C-4F24-42A7-A717-41F47A8E3492}"/>
    <cellStyle name="Normal 5 4 6 2 3" xfId="12021" xr:uid="{AAA8C992-2E4B-439D-885F-18A253925B83}"/>
    <cellStyle name="Normal 5 4 6 3" xfId="5655" xr:uid="{00000000-0005-0000-0000-0000411B0000}"/>
    <cellStyle name="Normal 5 4 6 3 2" xfId="14094" xr:uid="{D1E84B1F-1F9F-4CED-8FD7-F52D3253697A}"/>
    <cellStyle name="Normal 5 4 6 4" xfId="9876" xr:uid="{FFC3085D-AF46-477D-870F-787F8C82180B}"/>
    <cellStyle name="Normal 5 4 7" xfId="1760" xr:uid="{00000000-0005-0000-0000-0000421B0000}"/>
    <cellStyle name="Normal 5 4 7 2" xfId="3990" xr:uid="{00000000-0005-0000-0000-0000431B0000}"/>
    <cellStyle name="Normal 5 4 7 2 2" xfId="8213" xr:uid="{00000000-0005-0000-0000-0000441B0000}"/>
    <cellStyle name="Normal 5 4 7 2 2 2" xfId="16652" xr:uid="{DF292989-5D47-4AB1-BF8C-BF645CA71AB6}"/>
    <cellStyle name="Normal 5 4 7 2 3" xfId="12434" xr:uid="{248B7583-8760-4574-97A9-6E7FF6FB4557}"/>
    <cellStyle name="Normal 5 4 7 3" xfId="6068" xr:uid="{00000000-0005-0000-0000-0000451B0000}"/>
    <cellStyle name="Normal 5 4 7 3 2" xfId="14507" xr:uid="{73CC424F-9B50-4BAB-B431-760D845628F1}"/>
    <cellStyle name="Normal 5 4 7 4" xfId="10289" xr:uid="{512696E8-55F0-4D3B-A472-79CD5C93B732}"/>
    <cellStyle name="Normal 5 4 8" xfId="2174" xr:uid="{00000000-0005-0000-0000-0000461B0000}"/>
    <cellStyle name="Normal 5 4 8 2" xfId="4403" xr:uid="{00000000-0005-0000-0000-0000471B0000}"/>
    <cellStyle name="Normal 5 4 8 2 2" xfId="8626" xr:uid="{00000000-0005-0000-0000-0000481B0000}"/>
    <cellStyle name="Normal 5 4 8 2 2 2" xfId="17065" xr:uid="{81B4E1DF-A714-4547-8C4A-AE8ABD88754A}"/>
    <cellStyle name="Normal 5 4 8 2 3" xfId="12847" xr:uid="{B5B331B0-DAA9-4B48-B0C6-DA43632CB72C}"/>
    <cellStyle name="Normal 5 4 8 3" xfId="6481" xr:uid="{00000000-0005-0000-0000-0000491B0000}"/>
    <cellStyle name="Normal 5 4 8 3 2" xfId="14920" xr:uid="{AB8D48C0-B830-4DC3-BA0F-819DE95E44CA}"/>
    <cellStyle name="Normal 5 4 8 4" xfId="10702" xr:uid="{2B2864B2-1ACD-4B3F-96BB-19650E63A544}"/>
    <cellStyle name="Normal 5 4 9" xfId="2610" xr:uid="{00000000-0005-0000-0000-00004A1B0000}"/>
    <cellStyle name="Normal 5 4 9 2" xfId="6894" xr:uid="{00000000-0005-0000-0000-00004B1B0000}"/>
    <cellStyle name="Normal 5 4 9 2 2" xfId="15333" xr:uid="{8636BA20-9EED-4A17-9B92-664C7F7984EC}"/>
    <cellStyle name="Normal 5 4 9 3" xfId="11115" xr:uid="{FC11EECB-9161-49A3-A73B-CF3F46FA2A88}"/>
    <cellStyle name="Normal 5 5" xfId="464" xr:uid="{00000000-0005-0000-0000-00004C1B0000}"/>
    <cellStyle name="Normal 5 5 10" xfId="9058" xr:uid="{022FB00A-5208-4806-8F1D-99A84FAEE5FC}"/>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369C08AD-5F98-4BBB-BCE3-D82C09F59D83}"/>
    <cellStyle name="Normal 5 5 2 2 2 2 3" xfId="11618" xr:uid="{9D1AD310-5570-449A-881C-BCFC6859387A}"/>
    <cellStyle name="Normal 5 5 2 2 2 3" xfId="5252" xr:uid="{00000000-0005-0000-0000-0000521B0000}"/>
    <cellStyle name="Normal 5 5 2 2 2 3 2" xfId="13691" xr:uid="{7FC19013-39CE-4AE3-8E22-B8BEA2DF2770}"/>
    <cellStyle name="Normal 5 5 2 2 2 4" xfId="9473" xr:uid="{68643222-6AA5-4D68-858C-9AD9EC24009B}"/>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208499B2-EB49-433D-AA69-B7CD1851F385}"/>
    <cellStyle name="Normal 5 5 2 2 3 2 3" xfId="12031" xr:uid="{63B7CABE-8525-4B53-A2E3-E0266248A853}"/>
    <cellStyle name="Normal 5 5 2 2 3 3" xfId="5665" xr:uid="{00000000-0005-0000-0000-0000561B0000}"/>
    <cellStyle name="Normal 5 5 2 2 3 3 2" xfId="14104" xr:uid="{6AFF1B43-4678-4FD6-A680-38ABBF0624BE}"/>
    <cellStyle name="Normal 5 5 2 2 3 4" xfId="9886" xr:uid="{8488D15B-21F0-4A51-95D0-F66D0942F15F}"/>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5166E912-8228-4C72-868C-F8D2DEB972B0}"/>
    <cellStyle name="Normal 5 5 2 2 4 2 3" xfId="12444" xr:uid="{AFBD3C15-F060-4C35-B35A-40068E01C75A}"/>
    <cellStyle name="Normal 5 5 2 2 4 3" xfId="6078" xr:uid="{00000000-0005-0000-0000-00005A1B0000}"/>
    <cellStyle name="Normal 5 5 2 2 4 3 2" xfId="14517" xr:uid="{4C362E15-2D94-41D5-B927-B20DF6C33263}"/>
    <cellStyle name="Normal 5 5 2 2 4 4" xfId="10299" xr:uid="{E421408C-529A-4312-AF8C-AC80AA82167D}"/>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C54D445A-C37F-4217-823A-E760F7613DD6}"/>
    <cellStyle name="Normal 5 5 2 2 5 2 3" xfId="12857" xr:uid="{993FE7F0-CC26-4049-907D-13F7732DA884}"/>
    <cellStyle name="Normal 5 5 2 2 5 3" xfId="6491" xr:uid="{00000000-0005-0000-0000-00005E1B0000}"/>
    <cellStyle name="Normal 5 5 2 2 5 3 2" xfId="14930" xr:uid="{4A8115D0-2ECB-4B87-8CBA-96F415A41118}"/>
    <cellStyle name="Normal 5 5 2 2 5 4" xfId="10712" xr:uid="{0F555A91-6DBF-4859-9A0A-E178853115C3}"/>
    <cellStyle name="Normal 5 5 2 2 6" xfId="2620" xr:uid="{00000000-0005-0000-0000-00005F1B0000}"/>
    <cellStyle name="Normal 5 5 2 2 6 2" xfId="6904" xr:uid="{00000000-0005-0000-0000-0000601B0000}"/>
    <cellStyle name="Normal 5 5 2 2 6 2 2" xfId="15343" xr:uid="{8BCC5AE4-6FEF-49E1-9FDE-9113EDA06039}"/>
    <cellStyle name="Normal 5 5 2 2 6 3" xfId="11125" xr:uid="{E1C7D2EF-15B9-45C6-B599-F5EC4EDF95D9}"/>
    <cellStyle name="Normal 5 5 2 2 7" xfId="4839" xr:uid="{00000000-0005-0000-0000-0000611B0000}"/>
    <cellStyle name="Normal 5 5 2 2 7 2" xfId="13278" xr:uid="{C3CEBFB9-45D2-40E8-B6EB-BBBCD3940747}"/>
    <cellStyle name="Normal 5 5 2 2 8" xfId="9060" xr:uid="{052A9771-DF66-442B-87E9-78834710A925}"/>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84E2D3DF-A06B-42C8-9390-541A689F93AD}"/>
    <cellStyle name="Normal 5 5 2 3 2 3" xfId="11617" xr:uid="{64C16109-B057-46E3-8B7D-A916216EF0D5}"/>
    <cellStyle name="Normal 5 5 2 3 3" xfId="5251" xr:uid="{00000000-0005-0000-0000-0000651B0000}"/>
    <cellStyle name="Normal 5 5 2 3 3 2" xfId="13690" xr:uid="{919F4DAE-76E1-4743-8B76-B494378330F8}"/>
    <cellStyle name="Normal 5 5 2 3 4" xfId="9472" xr:uid="{214CDD60-812C-43BB-811E-340135268D43}"/>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B2A4D93A-D80B-41CC-8011-58A680C5F4C4}"/>
    <cellStyle name="Normal 5 5 2 4 2 3" xfId="12030" xr:uid="{EA850592-D777-48CE-9612-6BEF3EC0CA2D}"/>
    <cellStyle name="Normal 5 5 2 4 3" xfId="5664" xr:uid="{00000000-0005-0000-0000-0000691B0000}"/>
    <cellStyle name="Normal 5 5 2 4 3 2" xfId="14103" xr:uid="{E992AC84-55E5-4AE5-BFFF-77FE69D96DB1}"/>
    <cellStyle name="Normal 5 5 2 4 4" xfId="9885" xr:uid="{3A1C1797-0D41-4CDB-A887-82D3B5BA2626}"/>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668535F0-EC54-4E29-B0FC-AC74A71C001F}"/>
    <cellStyle name="Normal 5 5 2 5 2 3" xfId="12443" xr:uid="{179C9030-AE5F-4D52-AC49-085FA6594E14}"/>
    <cellStyle name="Normal 5 5 2 5 3" xfId="6077" xr:uid="{00000000-0005-0000-0000-00006D1B0000}"/>
    <cellStyle name="Normal 5 5 2 5 3 2" xfId="14516" xr:uid="{959B4257-8BE6-4EC6-A443-F108C6D311F0}"/>
    <cellStyle name="Normal 5 5 2 5 4" xfId="10298" xr:uid="{54561394-59EB-4ACE-AFDD-6C8429BBF87A}"/>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82F8CB77-BA10-4DDD-80DD-29DC567EC535}"/>
    <cellStyle name="Normal 5 5 2 6 2 3" xfId="12856" xr:uid="{F99BA59F-E26F-4B47-B8F4-11344961ED36}"/>
    <cellStyle name="Normal 5 5 2 6 3" xfId="6490" xr:uid="{00000000-0005-0000-0000-0000711B0000}"/>
    <cellStyle name="Normal 5 5 2 6 3 2" xfId="14929" xr:uid="{CD834E3C-C4AB-4F02-A4CF-C3407F395424}"/>
    <cellStyle name="Normal 5 5 2 6 4" xfId="10711" xr:uid="{685C2EEC-7D08-49B4-BBBF-F5000204515B}"/>
    <cellStyle name="Normal 5 5 2 7" xfId="2619" xr:uid="{00000000-0005-0000-0000-0000721B0000}"/>
    <cellStyle name="Normal 5 5 2 7 2" xfId="6903" xr:uid="{00000000-0005-0000-0000-0000731B0000}"/>
    <cellStyle name="Normal 5 5 2 7 2 2" xfId="15342" xr:uid="{760EC51B-F18A-495B-9F90-B920746BC465}"/>
    <cellStyle name="Normal 5 5 2 7 3" xfId="11124" xr:uid="{DE3A8E49-FFE6-41AC-8DC4-9B0DB8C8DFEE}"/>
    <cellStyle name="Normal 5 5 2 8" xfId="4838" xr:uid="{00000000-0005-0000-0000-0000741B0000}"/>
    <cellStyle name="Normal 5 5 2 8 2" xfId="13277" xr:uid="{5148A6AE-02A3-46DE-BBC0-803FCD4E447B}"/>
    <cellStyle name="Normal 5 5 2 9" xfId="9059" xr:uid="{0E5EBA98-3A97-4EBD-BB34-30E5D91F2FC8}"/>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5A83E7A9-176F-4E7E-9247-C19D955276A9}"/>
    <cellStyle name="Normal 5 5 3 2 2 3" xfId="11619" xr:uid="{A7EFA085-1536-43A5-A922-688A7A8DFC96}"/>
    <cellStyle name="Normal 5 5 3 2 3" xfId="5253" xr:uid="{00000000-0005-0000-0000-0000791B0000}"/>
    <cellStyle name="Normal 5 5 3 2 3 2" xfId="13692" xr:uid="{22D322C2-99A6-4D80-97DC-26138220CCA8}"/>
    <cellStyle name="Normal 5 5 3 2 4" xfId="9474" xr:uid="{7982E0D1-7855-45C7-9518-FC2FF72EDEF0}"/>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108F2C6F-191C-47E5-A6C6-EA20071FC39C}"/>
    <cellStyle name="Normal 5 5 3 3 2 3" xfId="12032" xr:uid="{53E7E3F2-650F-4067-98F9-01C53AF66CDB}"/>
    <cellStyle name="Normal 5 5 3 3 3" xfId="5666" xr:uid="{00000000-0005-0000-0000-00007D1B0000}"/>
    <cellStyle name="Normal 5 5 3 3 3 2" xfId="14105" xr:uid="{F026813E-AB67-4B93-9695-10567E381D7A}"/>
    <cellStyle name="Normal 5 5 3 3 4" xfId="9887" xr:uid="{00CF04DD-F916-4F5D-8001-B6791C09CAE9}"/>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E740AFFA-6730-484E-A5E5-CE9D14FE2995}"/>
    <cellStyle name="Normal 5 5 3 4 2 3" xfId="12445" xr:uid="{128D0D2C-E254-4164-98E3-6996D6949117}"/>
    <cellStyle name="Normal 5 5 3 4 3" xfId="6079" xr:uid="{00000000-0005-0000-0000-0000811B0000}"/>
    <cellStyle name="Normal 5 5 3 4 3 2" xfId="14518" xr:uid="{021D2EA5-C016-4197-B6CC-74BC731EBD55}"/>
    <cellStyle name="Normal 5 5 3 4 4" xfId="10300" xr:uid="{679CF824-485F-453F-BC36-C47CBBFE1C66}"/>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05BECDE4-805C-4D8F-A52D-AFC32A2D795A}"/>
    <cellStyle name="Normal 5 5 3 5 2 3" xfId="12858" xr:uid="{F5DF4B0B-C484-41A6-803B-F24DAF8F4B78}"/>
    <cellStyle name="Normal 5 5 3 5 3" xfId="6492" xr:uid="{00000000-0005-0000-0000-0000851B0000}"/>
    <cellStyle name="Normal 5 5 3 5 3 2" xfId="14931" xr:uid="{C0BCCE9D-46DA-49D3-9848-6F7753B69E13}"/>
    <cellStyle name="Normal 5 5 3 5 4" xfId="10713" xr:uid="{9D6859E6-0E5A-4FCC-A94A-6740E1CF0BE1}"/>
    <cellStyle name="Normal 5 5 3 6" xfId="2621" xr:uid="{00000000-0005-0000-0000-0000861B0000}"/>
    <cellStyle name="Normal 5 5 3 6 2" xfId="6905" xr:uid="{00000000-0005-0000-0000-0000871B0000}"/>
    <cellStyle name="Normal 5 5 3 6 2 2" xfId="15344" xr:uid="{E04AD2BC-331E-4280-8B7D-D6DAD4B8AC83}"/>
    <cellStyle name="Normal 5 5 3 6 3" xfId="11126" xr:uid="{57D07886-4C83-403C-97DE-437C1DC45739}"/>
    <cellStyle name="Normal 5 5 3 7" xfId="4840" xr:uid="{00000000-0005-0000-0000-0000881B0000}"/>
    <cellStyle name="Normal 5 5 3 7 2" xfId="13279" xr:uid="{5C9C8ED7-2120-46CA-BD98-D5014B42EADD}"/>
    <cellStyle name="Normal 5 5 3 8" xfId="9061" xr:uid="{FD5FDE6B-FC54-44BF-8459-1556C7605139}"/>
    <cellStyle name="Normal 5 5 4" xfId="938" xr:uid="{00000000-0005-0000-0000-0000891B0000}"/>
    <cellStyle name="Normal 5 5 4 2" xfId="3172" xr:uid="{00000000-0005-0000-0000-00008A1B0000}"/>
    <cellStyle name="Normal 5 5 4 2 2" xfId="7395" xr:uid="{00000000-0005-0000-0000-00008B1B0000}"/>
    <cellStyle name="Normal 5 5 4 2 2 2" xfId="15834" xr:uid="{D1A6221A-E745-4A3E-8CED-7831BDF5B0DB}"/>
    <cellStyle name="Normal 5 5 4 2 3" xfId="11616" xr:uid="{F38D2EDF-C5EC-4918-97A8-6DF19B1C19E8}"/>
    <cellStyle name="Normal 5 5 4 3" xfId="5250" xr:uid="{00000000-0005-0000-0000-00008C1B0000}"/>
    <cellStyle name="Normal 5 5 4 3 2" xfId="13689" xr:uid="{54B42E2B-9E4F-4959-8943-500B73F2E464}"/>
    <cellStyle name="Normal 5 5 4 4" xfId="9471" xr:uid="{71A9CFBF-B790-4AEC-9E92-1365ED08F133}"/>
    <cellStyle name="Normal 5 5 5" xfId="1355" xr:uid="{00000000-0005-0000-0000-00008D1B0000}"/>
    <cellStyle name="Normal 5 5 5 2" xfId="3585" xr:uid="{00000000-0005-0000-0000-00008E1B0000}"/>
    <cellStyle name="Normal 5 5 5 2 2" xfId="7808" xr:uid="{00000000-0005-0000-0000-00008F1B0000}"/>
    <cellStyle name="Normal 5 5 5 2 2 2" xfId="16247" xr:uid="{23642FA9-DE33-4525-A0D8-ECD435828DA7}"/>
    <cellStyle name="Normal 5 5 5 2 3" xfId="12029" xr:uid="{4A045F60-D3BA-4AA7-9E7B-37A2BFF814D8}"/>
    <cellStyle name="Normal 5 5 5 3" xfId="5663" xr:uid="{00000000-0005-0000-0000-0000901B0000}"/>
    <cellStyle name="Normal 5 5 5 3 2" xfId="14102" xr:uid="{AE08FCB6-4F7E-4A51-97D5-0FF6475EDA15}"/>
    <cellStyle name="Normal 5 5 5 4" xfId="9884" xr:uid="{05727DEA-2735-4DEA-93F1-EA51EC6ED614}"/>
    <cellStyle name="Normal 5 5 6" xfId="1768" xr:uid="{00000000-0005-0000-0000-0000911B0000}"/>
    <cellStyle name="Normal 5 5 6 2" xfId="3998" xr:uid="{00000000-0005-0000-0000-0000921B0000}"/>
    <cellStyle name="Normal 5 5 6 2 2" xfId="8221" xr:uid="{00000000-0005-0000-0000-0000931B0000}"/>
    <cellStyle name="Normal 5 5 6 2 2 2" xfId="16660" xr:uid="{F701304B-D773-48A2-B1E6-E29DBDE96430}"/>
    <cellStyle name="Normal 5 5 6 2 3" xfId="12442" xr:uid="{38334548-4FDA-47FC-A89B-D6490EB5FB73}"/>
    <cellStyle name="Normal 5 5 6 3" xfId="6076" xr:uid="{00000000-0005-0000-0000-0000941B0000}"/>
    <cellStyle name="Normal 5 5 6 3 2" xfId="14515" xr:uid="{742221BA-AAA6-4A32-9726-9412ED366027}"/>
    <cellStyle name="Normal 5 5 6 4" xfId="10297" xr:uid="{2E6D413C-6D1A-4529-A5E8-BD8FC78D6993}"/>
    <cellStyle name="Normal 5 5 7" xfId="2182" xr:uid="{00000000-0005-0000-0000-0000951B0000}"/>
    <cellStyle name="Normal 5 5 7 2" xfId="4411" xr:uid="{00000000-0005-0000-0000-0000961B0000}"/>
    <cellStyle name="Normal 5 5 7 2 2" xfId="8634" xr:uid="{00000000-0005-0000-0000-0000971B0000}"/>
    <cellStyle name="Normal 5 5 7 2 2 2" xfId="17073" xr:uid="{C8516509-BA14-4E2A-BC24-3DEB958F6761}"/>
    <cellStyle name="Normal 5 5 7 2 3" xfId="12855" xr:uid="{3A785B05-174A-42F6-B03B-143460055C13}"/>
    <cellStyle name="Normal 5 5 7 3" xfId="6489" xr:uid="{00000000-0005-0000-0000-0000981B0000}"/>
    <cellStyle name="Normal 5 5 7 3 2" xfId="14928" xr:uid="{3213FAD3-DBCF-46E4-AB84-7630A63E0BE5}"/>
    <cellStyle name="Normal 5 5 7 4" xfId="10710" xr:uid="{5431043B-324D-436F-B4E3-A87C7780D82D}"/>
    <cellStyle name="Normal 5 5 8" xfId="2618" xr:uid="{00000000-0005-0000-0000-0000991B0000}"/>
    <cellStyle name="Normal 5 5 8 2" xfId="6902" xr:uid="{00000000-0005-0000-0000-00009A1B0000}"/>
    <cellStyle name="Normal 5 5 8 2 2" xfId="15341" xr:uid="{7DB8612F-D76E-40F8-850D-17929B8B3C3E}"/>
    <cellStyle name="Normal 5 5 8 3" xfId="11123" xr:uid="{B893D3BD-7F53-41AC-B714-9CEFFC0CCCA0}"/>
    <cellStyle name="Normal 5 5 9" xfId="4837" xr:uid="{00000000-0005-0000-0000-00009B1B0000}"/>
    <cellStyle name="Normal 5 5 9 2" xfId="13276" xr:uid="{574BF361-BD1E-4B2F-AEBE-947795E81D72}"/>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DE3AD8F4-D8EC-4157-AC1A-C61B9B407C8A}"/>
    <cellStyle name="Normal 5 6 2 2 2 3" xfId="11621" xr:uid="{E3E683EC-5162-4DA6-8340-5FBB5FBCED7F}"/>
    <cellStyle name="Normal 5 6 2 2 3" xfId="5255" xr:uid="{00000000-0005-0000-0000-0000A11B0000}"/>
    <cellStyle name="Normal 5 6 2 2 3 2" xfId="13694" xr:uid="{570FA680-E3F9-411C-B09F-A1191AE5A43E}"/>
    <cellStyle name="Normal 5 6 2 2 4" xfId="9476" xr:uid="{8D81D4BE-7BAB-4DE6-8193-5FFC5BAEB921}"/>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93DCD8BD-616C-4D3C-9DA6-BC9C5054539A}"/>
    <cellStyle name="Normal 5 6 2 3 2 3" xfId="12034" xr:uid="{9C18899A-69EB-4CBD-A1D2-21345009680A}"/>
    <cellStyle name="Normal 5 6 2 3 3" xfId="5668" xr:uid="{00000000-0005-0000-0000-0000A51B0000}"/>
    <cellStyle name="Normal 5 6 2 3 3 2" xfId="14107" xr:uid="{1D8D0492-BD08-48F0-A42B-51F882AD966D}"/>
    <cellStyle name="Normal 5 6 2 3 4" xfId="9889" xr:uid="{F69713C3-A7AD-4458-9F8E-399276C203C1}"/>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203D141D-409F-4B9F-9244-5A303D047437}"/>
    <cellStyle name="Normal 5 6 2 4 2 3" xfId="12447" xr:uid="{F293D262-BF5D-42D7-AB41-C4C20BD1C7EE}"/>
    <cellStyle name="Normal 5 6 2 4 3" xfId="6081" xr:uid="{00000000-0005-0000-0000-0000A91B0000}"/>
    <cellStyle name="Normal 5 6 2 4 3 2" xfId="14520" xr:uid="{2196E12F-8ADD-475D-8BC2-832403F93688}"/>
    <cellStyle name="Normal 5 6 2 4 4" xfId="10302" xr:uid="{71E57D65-E420-48CD-8ED5-0C8164569A26}"/>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88B2375E-5CCA-496A-B92E-3E5DB917477E}"/>
    <cellStyle name="Normal 5 6 2 5 2 3" xfId="12860" xr:uid="{BD46CC23-6CC2-4876-99FC-7E108B9513C2}"/>
    <cellStyle name="Normal 5 6 2 5 3" xfId="6494" xr:uid="{00000000-0005-0000-0000-0000AD1B0000}"/>
    <cellStyle name="Normal 5 6 2 5 3 2" xfId="14933" xr:uid="{90B6255A-4C30-4D47-9ABA-13F6391BBFF4}"/>
    <cellStyle name="Normal 5 6 2 5 4" xfId="10715" xr:uid="{2F9E5316-68AA-4788-A596-DF87B804AEBD}"/>
    <cellStyle name="Normal 5 6 2 6" xfId="2623" xr:uid="{00000000-0005-0000-0000-0000AE1B0000}"/>
    <cellStyle name="Normal 5 6 2 6 2" xfId="6907" xr:uid="{00000000-0005-0000-0000-0000AF1B0000}"/>
    <cellStyle name="Normal 5 6 2 6 2 2" xfId="15346" xr:uid="{431E1295-CC5A-4998-841A-63CE03A4502D}"/>
    <cellStyle name="Normal 5 6 2 6 3" xfId="11128" xr:uid="{D0490F17-9A61-4456-AC0E-FABD2D0F19BF}"/>
    <cellStyle name="Normal 5 6 2 7" xfId="4842" xr:uid="{00000000-0005-0000-0000-0000B01B0000}"/>
    <cellStyle name="Normal 5 6 2 7 2" xfId="13281" xr:uid="{2AE437A0-2B7A-47AF-834D-D33B414410A5}"/>
    <cellStyle name="Normal 5 6 2 8" xfId="9063" xr:uid="{85C32FAE-8684-4237-B7F2-E5AE0B25FE0C}"/>
    <cellStyle name="Normal 5 6 3" xfId="942" xr:uid="{00000000-0005-0000-0000-0000B11B0000}"/>
    <cellStyle name="Normal 5 6 3 2" xfId="3176" xr:uid="{00000000-0005-0000-0000-0000B21B0000}"/>
    <cellStyle name="Normal 5 6 3 2 2" xfId="7399" xr:uid="{00000000-0005-0000-0000-0000B31B0000}"/>
    <cellStyle name="Normal 5 6 3 2 2 2" xfId="15838" xr:uid="{18B22588-F11B-408B-A049-0ED5025D68BE}"/>
    <cellStyle name="Normal 5 6 3 2 3" xfId="11620" xr:uid="{71F5EA52-6E91-490D-BBE7-0C49E03685B1}"/>
    <cellStyle name="Normal 5 6 3 3" xfId="5254" xr:uid="{00000000-0005-0000-0000-0000B41B0000}"/>
    <cellStyle name="Normal 5 6 3 3 2" xfId="13693" xr:uid="{F71F574E-7EBC-49EF-A42D-99DCF873C764}"/>
    <cellStyle name="Normal 5 6 3 4" xfId="9475" xr:uid="{43104F68-14E4-4059-A1C6-54236B4BAC46}"/>
    <cellStyle name="Normal 5 6 4" xfId="1359" xr:uid="{00000000-0005-0000-0000-0000B51B0000}"/>
    <cellStyle name="Normal 5 6 4 2" xfId="3589" xr:uid="{00000000-0005-0000-0000-0000B61B0000}"/>
    <cellStyle name="Normal 5 6 4 2 2" xfId="7812" xr:uid="{00000000-0005-0000-0000-0000B71B0000}"/>
    <cellStyle name="Normal 5 6 4 2 2 2" xfId="16251" xr:uid="{9599CE69-D261-40E4-8D95-EF44740D776F}"/>
    <cellStyle name="Normal 5 6 4 2 3" xfId="12033" xr:uid="{F108BF98-3940-4494-AB1B-0354B50F5038}"/>
    <cellStyle name="Normal 5 6 4 3" xfId="5667" xr:uid="{00000000-0005-0000-0000-0000B81B0000}"/>
    <cellStyle name="Normal 5 6 4 3 2" xfId="14106" xr:uid="{A267E077-53E8-4292-ADFF-36D28C6CFD03}"/>
    <cellStyle name="Normal 5 6 4 4" xfId="9888" xr:uid="{8D59DA86-E06A-405B-A1DB-F89E92F67BA2}"/>
    <cellStyle name="Normal 5 6 5" xfId="1772" xr:uid="{00000000-0005-0000-0000-0000B91B0000}"/>
    <cellStyle name="Normal 5 6 5 2" xfId="4002" xr:uid="{00000000-0005-0000-0000-0000BA1B0000}"/>
    <cellStyle name="Normal 5 6 5 2 2" xfId="8225" xr:uid="{00000000-0005-0000-0000-0000BB1B0000}"/>
    <cellStyle name="Normal 5 6 5 2 2 2" xfId="16664" xr:uid="{1743DC07-56AD-4BCC-886B-235865298CDE}"/>
    <cellStyle name="Normal 5 6 5 2 3" xfId="12446" xr:uid="{F683A43D-F14B-4046-865F-5AE6BB2F0DC2}"/>
    <cellStyle name="Normal 5 6 5 3" xfId="6080" xr:uid="{00000000-0005-0000-0000-0000BC1B0000}"/>
    <cellStyle name="Normal 5 6 5 3 2" xfId="14519" xr:uid="{E5E16291-A995-4627-AFEE-6C0C8B22837A}"/>
    <cellStyle name="Normal 5 6 5 4" xfId="10301" xr:uid="{E5A114F8-20E7-4451-915E-D95F2164AC59}"/>
    <cellStyle name="Normal 5 6 6" xfId="2186" xr:uid="{00000000-0005-0000-0000-0000BD1B0000}"/>
    <cellStyle name="Normal 5 6 6 2" xfId="4415" xr:uid="{00000000-0005-0000-0000-0000BE1B0000}"/>
    <cellStyle name="Normal 5 6 6 2 2" xfId="8638" xr:uid="{00000000-0005-0000-0000-0000BF1B0000}"/>
    <cellStyle name="Normal 5 6 6 2 2 2" xfId="17077" xr:uid="{B6D70E38-475A-4CAF-A6EA-5E23EA86A57E}"/>
    <cellStyle name="Normal 5 6 6 2 3" xfId="12859" xr:uid="{D125F26C-D65C-45A4-AAF1-0D7057C2E52A}"/>
    <cellStyle name="Normal 5 6 6 3" xfId="6493" xr:uid="{00000000-0005-0000-0000-0000C01B0000}"/>
    <cellStyle name="Normal 5 6 6 3 2" xfId="14932" xr:uid="{4D447B04-869B-46F3-A88B-C41A8D09FCD7}"/>
    <cellStyle name="Normal 5 6 6 4" xfId="10714" xr:uid="{C0901E46-6A5C-4B14-AA36-17DBC94166CD}"/>
    <cellStyle name="Normal 5 6 7" xfId="2622" xr:uid="{00000000-0005-0000-0000-0000C11B0000}"/>
    <cellStyle name="Normal 5 6 7 2" xfId="6906" xr:uid="{00000000-0005-0000-0000-0000C21B0000}"/>
    <cellStyle name="Normal 5 6 7 2 2" xfId="15345" xr:uid="{44BDEEA6-FF08-4780-A19F-DEF6788D800D}"/>
    <cellStyle name="Normal 5 6 7 3" xfId="11127" xr:uid="{484A9767-0B74-4134-8935-78DBEA9E0036}"/>
    <cellStyle name="Normal 5 6 8" xfId="4841" xr:uid="{00000000-0005-0000-0000-0000C31B0000}"/>
    <cellStyle name="Normal 5 6 8 2" xfId="13280" xr:uid="{A4232F3E-F3FA-46B2-870A-441E6B8D9D88}"/>
    <cellStyle name="Normal 5 6 9" xfId="9062" xr:uid="{C7F86068-56CF-4306-8C51-DF4E8E7503FC}"/>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212FE820-5026-4306-883E-1AD5AF7C5EC1}"/>
    <cellStyle name="Normal 5 7 2 2 3" xfId="11622" xr:uid="{5D58C090-1EC2-48F0-A87D-4AC2540A97A4}"/>
    <cellStyle name="Normal 5 7 2 3" xfId="5256" xr:uid="{00000000-0005-0000-0000-0000C81B0000}"/>
    <cellStyle name="Normal 5 7 2 3 2" xfId="13695" xr:uid="{C9ACA7F1-BAEA-4B15-8069-78B10A2EE5B5}"/>
    <cellStyle name="Normal 5 7 2 4" xfId="9477" xr:uid="{00B19B9B-20E4-432A-A9C2-13D479BB832A}"/>
    <cellStyle name="Normal 5 7 3" xfId="1361" xr:uid="{00000000-0005-0000-0000-0000C91B0000}"/>
    <cellStyle name="Normal 5 7 3 2" xfId="3591" xr:uid="{00000000-0005-0000-0000-0000CA1B0000}"/>
    <cellStyle name="Normal 5 7 3 2 2" xfId="7814" xr:uid="{00000000-0005-0000-0000-0000CB1B0000}"/>
    <cellStyle name="Normal 5 7 3 2 2 2" xfId="16253" xr:uid="{51663A8D-3DB3-4A14-9035-5FF14D111C87}"/>
    <cellStyle name="Normal 5 7 3 2 3" xfId="12035" xr:uid="{FCEDC22D-E2B0-4035-8F7F-70A441F08BF9}"/>
    <cellStyle name="Normal 5 7 3 3" xfId="5669" xr:uid="{00000000-0005-0000-0000-0000CC1B0000}"/>
    <cellStyle name="Normal 5 7 3 3 2" xfId="14108" xr:uid="{8EF8BE28-37E0-46E4-AE37-7AC70B5F2A95}"/>
    <cellStyle name="Normal 5 7 3 4" xfId="9890" xr:uid="{BC1036DB-C285-4BFA-99F8-8240C3CC7292}"/>
    <cellStyle name="Normal 5 7 4" xfId="1774" xr:uid="{00000000-0005-0000-0000-0000CD1B0000}"/>
    <cellStyle name="Normal 5 7 4 2" xfId="4004" xr:uid="{00000000-0005-0000-0000-0000CE1B0000}"/>
    <cellStyle name="Normal 5 7 4 2 2" xfId="8227" xr:uid="{00000000-0005-0000-0000-0000CF1B0000}"/>
    <cellStyle name="Normal 5 7 4 2 2 2" xfId="16666" xr:uid="{B5F8B7DE-7A42-4BF1-8CC0-7E6BC90A825A}"/>
    <cellStyle name="Normal 5 7 4 2 3" xfId="12448" xr:uid="{71299236-F86B-4ACF-B781-1E309A97D688}"/>
    <cellStyle name="Normal 5 7 4 3" xfId="6082" xr:uid="{00000000-0005-0000-0000-0000D01B0000}"/>
    <cellStyle name="Normal 5 7 4 3 2" xfId="14521" xr:uid="{BFA10EDA-810D-4AFF-9693-F347A0102E8F}"/>
    <cellStyle name="Normal 5 7 4 4" xfId="10303" xr:uid="{D0956541-AF42-494A-A455-44DBDFD048D6}"/>
    <cellStyle name="Normal 5 7 5" xfId="2188" xr:uid="{00000000-0005-0000-0000-0000D11B0000}"/>
    <cellStyle name="Normal 5 7 5 2" xfId="4417" xr:uid="{00000000-0005-0000-0000-0000D21B0000}"/>
    <cellStyle name="Normal 5 7 5 2 2" xfId="8640" xr:uid="{00000000-0005-0000-0000-0000D31B0000}"/>
    <cellStyle name="Normal 5 7 5 2 2 2" xfId="17079" xr:uid="{DC427C1F-3E0B-4266-AEEA-A1A171505459}"/>
    <cellStyle name="Normal 5 7 5 2 3" xfId="12861" xr:uid="{0B2FA254-97C7-420E-8DF4-C7045590B004}"/>
    <cellStyle name="Normal 5 7 5 3" xfId="6495" xr:uid="{00000000-0005-0000-0000-0000D41B0000}"/>
    <cellStyle name="Normal 5 7 5 3 2" xfId="14934" xr:uid="{FBDC5627-0514-4970-BD71-7C80A5FD5CCE}"/>
    <cellStyle name="Normal 5 7 5 4" xfId="10716" xr:uid="{661F41C2-13D8-4CBD-B54F-455C68807B4A}"/>
    <cellStyle name="Normal 5 7 6" xfId="2624" xr:uid="{00000000-0005-0000-0000-0000D51B0000}"/>
    <cellStyle name="Normal 5 7 6 2" xfId="6908" xr:uid="{00000000-0005-0000-0000-0000D61B0000}"/>
    <cellStyle name="Normal 5 7 6 2 2" xfId="15347" xr:uid="{6DBB5941-0D42-4BF9-987E-0A082C9F3847}"/>
    <cellStyle name="Normal 5 7 6 3" xfId="11129" xr:uid="{CDC62F0F-72A9-4C6C-9081-8BC394EC6214}"/>
    <cellStyle name="Normal 5 7 7" xfId="4843" xr:uid="{00000000-0005-0000-0000-0000D71B0000}"/>
    <cellStyle name="Normal 5 7 7 2" xfId="13282" xr:uid="{3BD8B4AC-0A59-4857-8986-8EF228B17E3D}"/>
    <cellStyle name="Normal 5 7 8" xfId="9064" xr:uid="{2AAC6E0A-C593-4741-9DD4-152FC025E7BA}"/>
    <cellStyle name="Normal 5 8" xfId="880" xr:uid="{00000000-0005-0000-0000-0000D81B0000}"/>
    <cellStyle name="Normal 5 8 2" xfId="3115" xr:uid="{00000000-0005-0000-0000-0000D91B0000}"/>
    <cellStyle name="Normal 5 8 2 2" xfId="7338" xr:uid="{00000000-0005-0000-0000-0000DA1B0000}"/>
    <cellStyle name="Normal 5 8 2 2 2" xfId="15777" xr:uid="{2A23AF8C-CF5A-4D48-BB8D-1F6F015E3961}"/>
    <cellStyle name="Normal 5 8 2 3" xfId="11559" xr:uid="{C13FF931-7BAE-4872-8594-3E646C06B460}"/>
    <cellStyle name="Normal 5 8 3" xfId="5193" xr:uid="{00000000-0005-0000-0000-0000DB1B0000}"/>
    <cellStyle name="Normal 5 8 3 2" xfId="13632" xr:uid="{6D00CCFE-C646-4001-BEEC-4921BBB5457A}"/>
    <cellStyle name="Normal 5 8 4" xfId="9414" xr:uid="{39624F89-3CA8-49BA-818A-344E7F7B56F0}"/>
    <cellStyle name="Normal 5 9" xfId="1298" xr:uid="{00000000-0005-0000-0000-0000DC1B0000}"/>
    <cellStyle name="Normal 5 9 2" xfId="3528" xr:uid="{00000000-0005-0000-0000-0000DD1B0000}"/>
    <cellStyle name="Normal 5 9 2 2" xfId="7751" xr:uid="{00000000-0005-0000-0000-0000DE1B0000}"/>
    <cellStyle name="Normal 5 9 2 2 2" xfId="16190" xr:uid="{8B22203D-60C1-4B76-8307-F4ECC9111026}"/>
    <cellStyle name="Normal 5 9 2 3" xfId="11972" xr:uid="{5BACAAEA-CAD6-4683-9A23-C1F724D65E1F}"/>
    <cellStyle name="Normal 5 9 3" xfId="5606" xr:uid="{00000000-0005-0000-0000-0000DF1B0000}"/>
    <cellStyle name="Normal 5 9 3 2" xfId="14045" xr:uid="{5A72C778-297C-474B-A2F7-A18C64FF37B9}"/>
    <cellStyle name="Normal 5 9 4" xfId="9827" xr:uid="{7B904DBA-D064-40FE-8DFF-BFBA69481B7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883B2832-88A9-463B-9F68-1F69EFA73472}"/>
    <cellStyle name="Normal 8 10 2 3" xfId="12862" xr:uid="{336B0A73-0B3D-47B1-B880-D9C2C6E89B00}"/>
    <cellStyle name="Normal 8 10 3" xfId="6496" xr:uid="{00000000-0005-0000-0000-0000EB1B0000}"/>
    <cellStyle name="Normal 8 10 3 2" xfId="14935" xr:uid="{51954E28-2817-45AC-8215-296720111D3F}"/>
    <cellStyle name="Normal 8 10 4" xfId="10717" xr:uid="{E42A26AD-2B4C-4C84-8960-780E5E97FBBD}"/>
    <cellStyle name="Normal 8 11" xfId="2625" xr:uid="{00000000-0005-0000-0000-0000EC1B0000}"/>
    <cellStyle name="Normal 8 11 2" xfId="6909" xr:uid="{00000000-0005-0000-0000-0000ED1B0000}"/>
    <cellStyle name="Normal 8 11 2 2" xfId="15348" xr:uid="{B11916EB-95F9-49F7-BBDB-8BFC09A40877}"/>
    <cellStyle name="Normal 8 11 3" xfId="11130" xr:uid="{08191B18-F3A6-47D8-ABA3-4CFEE8F8C304}"/>
    <cellStyle name="Normal 8 12" xfId="4844" xr:uid="{00000000-0005-0000-0000-0000EE1B0000}"/>
    <cellStyle name="Normal 8 12 2" xfId="13283" xr:uid="{5160CD01-5346-45CE-8FE0-B3A916A7830D}"/>
    <cellStyle name="Normal 8 13" xfId="9065" xr:uid="{5C02094C-B95F-4D16-BF7D-0FCD023AEEFD}"/>
    <cellStyle name="Normal 8 2" xfId="479" xr:uid="{00000000-0005-0000-0000-0000EF1B0000}"/>
    <cellStyle name="Normal 8 2 10" xfId="2626" xr:uid="{00000000-0005-0000-0000-0000F01B0000}"/>
    <cellStyle name="Normal 8 2 10 2" xfId="6910" xr:uid="{00000000-0005-0000-0000-0000F11B0000}"/>
    <cellStyle name="Normal 8 2 10 2 2" xfId="15349" xr:uid="{C1F94EF5-09D1-46CD-AE3B-D5CA738A0CB6}"/>
    <cellStyle name="Normal 8 2 10 3" xfId="11131" xr:uid="{739C8D22-CA44-4B08-A8CE-77B0C7844FDE}"/>
    <cellStyle name="Normal 8 2 11" xfId="4845" xr:uid="{00000000-0005-0000-0000-0000F21B0000}"/>
    <cellStyle name="Normal 8 2 11 2" xfId="13284" xr:uid="{431B4A64-9E0D-4620-A100-CAE49D99937A}"/>
    <cellStyle name="Normal 8 2 12" xfId="9066" xr:uid="{C9AA5AFF-E0B6-4DB1-9D06-9BCD72898DA5}"/>
    <cellStyle name="Normal 8 2 2" xfId="480" xr:uid="{00000000-0005-0000-0000-0000F31B0000}"/>
    <cellStyle name="Normal 8 2 2 10" xfId="4846" xr:uid="{00000000-0005-0000-0000-0000F41B0000}"/>
    <cellStyle name="Normal 8 2 2 10 2" xfId="13285" xr:uid="{CC6AF71F-E0FC-46F8-A5D4-5B37B0F9E129}"/>
    <cellStyle name="Normal 8 2 2 11" xfId="9067" xr:uid="{D8D962A6-A3B1-4791-901B-16405836E97F}"/>
    <cellStyle name="Normal 8 2 2 2" xfId="481" xr:uid="{00000000-0005-0000-0000-0000F51B0000}"/>
    <cellStyle name="Normal 8 2 2 2 10" xfId="9068" xr:uid="{480F56AA-B4E9-4402-A6F1-7FD503E4D8E3}"/>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9833D9B9-589A-4DFD-8B38-48037E388C87}"/>
    <cellStyle name="Normal 8 2 2 2 2 2 2 2 3" xfId="11628" xr:uid="{8D3BF09B-AE6C-4536-9D9D-7DEF133EAA07}"/>
    <cellStyle name="Normal 8 2 2 2 2 2 2 3" xfId="5262" xr:uid="{00000000-0005-0000-0000-0000FB1B0000}"/>
    <cellStyle name="Normal 8 2 2 2 2 2 2 3 2" xfId="13701" xr:uid="{34A3BA45-8D90-44EB-B98C-D18254BB03F0}"/>
    <cellStyle name="Normal 8 2 2 2 2 2 2 4" xfId="9483" xr:uid="{6F68B35F-AF4E-441C-9459-B94228105ACC}"/>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DC6C85BB-B69E-4CD9-B433-BB450A8D54F5}"/>
    <cellStyle name="Normal 8 2 2 2 2 2 3 2 3" xfId="12041" xr:uid="{F7F202B9-1000-4048-A963-5EE2E74FFD9A}"/>
    <cellStyle name="Normal 8 2 2 2 2 2 3 3" xfId="5675" xr:uid="{00000000-0005-0000-0000-0000FF1B0000}"/>
    <cellStyle name="Normal 8 2 2 2 2 2 3 3 2" xfId="14114" xr:uid="{D603D6FD-5264-401D-993B-A33B736D3474}"/>
    <cellStyle name="Normal 8 2 2 2 2 2 3 4" xfId="9896" xr:uid="{F8E12D42-7BF5-4AD2-9275-4C11D34197FC}"/>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B77A5D01-5842-450E-A483-BD7DFC82650F}"/>
    <cellStyle name="Normal 8 2 2 2 2 2 4 2 3" xfId="12454" xr:uid="{CB103099-BDAB-44AF-8FCE-90D57C090ABF}"/>
    <cellStyle name="Normal 8 2 2 2 2 2 4 3" xfId="6088" xr:uid="{00000000-0005-0000-0000-0000031C0000}"/>
    <cellStyle name="Normal 8 2 2 2 2 2 4 3 2" xfId="14527" xr:uid="{E1916A5E-66D7-4CD1-824C-CF9543C5DFF5}"/>
    <cellStyle name="Normal 8 2 2 2 2 2 4 4" xfId="10309" xr:uid="{17BD7E79-CAFB-46DD-B118-5F3F04CFCE9C}"/>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354C1228-F6FB-4678-AA3F-B8CFF727E0E2}"/>
    <cellStyle name="Normal 8 2 2 2 2 2 5 2 3" xfId="12867" xr:uid="{4BAB0117-85CE-4345-AE34-76E5D77441F5}"/>
    <cellStyle name="Normal 8 2 2 2 2 2 5 3" xfId="6501" xr:uid="{00000000-0005-0000-0000-0000071C0000}"/>
    <cellStyle name="Normal 8 2 2 2 2 2 5 3 2" xfId="14940" xr:uid="{666D1FF2-01D4-4172-8AD8-B0A9687A67DD}"/>
    <cellStyle name="Normal 8 2 2 2 2 2 5 4" xfId="10722" xr:uid="{75820347-557D-4BF1-A9A3-DF4E1B4C0A9E}"/>
    <cellStyle name="Normal 8 2 2 2 2 2 6" xfId="2630" xr:uid="{00000000-0005-0000-0000-0000081C0000}"/>
    <cellStyle name="Normal 8 2 2 2 2 2 6 2" xfId="6914" xr:uid="{00000000-0005-0000-0000-0000091C0000}"/>
    <cellStyle name="Normal 8 2 2 2 2 2 6 2 2" xfId="15353" xr:uid="{DAABE1A7-234B-4022-86E7-F5C22486AC49}"/>
    <cellStyle name="Normal 8 2 2 2 2 2 6 3" xfId="11135" xr:uid="{EA1CFE78-7CC4-4C76-B45A-95279B253F14}"/>
    <cellStyle name="Normal 8 2 2 2 2 2 7" xfId="4849" xr:uid="{00000000-0005-0000-0000-00000A1C0000}"/>
    <cellStyle name="Normal 8 2 2 2 2 2 7 2" xfId="13288" xr:uid="{A28A516C-A3D2-4A09-9EE5-917FCD18B9A0}"/>
    <cellStyle name="Normal 8 2 2 2 2 2 8" xfId="9070" xr:uid="{B3C0BA84-278E-441B-A857-2673ACB13368}"/>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339E469E-9CAD-4F2D-A12F-75D62A87305A}"/>
    <cellStyle name="Normal 8 2 2 2 2 3 2 3" xfId="11627" xr:uid="{5C2FCEED-024F-4C4D-8CCB-D9293AC61DA8}"/>
    <cellStyle name="Normal 8 2 2 2 2 3 3" xfId="5261" xr:uid="{00000000-0005-0000-0000-00000E1C0000}"/>
    <cellStyle name="Normal 8 2 2 2 2 3 3 2" xfId="13700" xr:uid="{79C223EE-C0A3-4C4F-BB23-E4DE7B5DB60C}"/>
    <cellStyle name="Normal 8 2 2 2 2 3 4" xfId="9482" xr:uid="{0DF772C2-1872-46FC-ADB4-710EC558FEE8}"/>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4077B5BF-C89A-4D4A-A6A3-8DA9C547377A}"/>
    <cellStyle name="Normal 8 2 2 2 2 4 2 3" xfId="12040" xr:uid="{D9137D5F-345D-48A9-A538-C048036ACD95}"/>
    <cellStyle name="Normal 8 2 2 2 2 4 3" xfId="5674" xr:uid="{00000000-0005-0000-0000-0000121C0000}"/>
    <cellStyle name="Normal 8 2 2 2 2 4 3 2" xfId="14113" xr:uid="{4D6F40B1-1FA4-4C00-A377-84ABF07965AE}"/>
    <cellStyle name="Normal 8 2 2 2 2 4 4" xfId="9895" xr:uid="{13FB243F-98C0-4713-9DC1-0E82912064ED}"/>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1B6D828C-8231-4D18-B572-54AF94BEF1CF}"/>
    <cellStyle name="Normal 8 2 2 2 2 5 2 3" xfId="12453" xr:uid="{F79CC643-F0AA-402D-9B1C-3485ED65E48B}"/>
    <cellStyle name="Normal 8 2 2 2 2 5 3" xfId="6087" xr:uid="{00000000-0005-0000-0000-0000161C0000}"/>
    <cellStyle name="Normal 8 2 2 2 2 5 3 2" xfId="14526" xr:uid="{76FC1A66-51AA-4AEF-9C03-718D7BE471F4}"/>
    <cellStyle name="Normal 8 2 2 2 2 5 4" xfId="10308" xr:uid="{E8166E1D-36F6-4D5C-99DF-56377D8850D9}"/>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160E9866-E62E-4954-B3A4-722824653F77}"/>
    <cellStyle name="Normal 8 2 2 2 2 6 2 3" xfId="12866" xr:uid="{F24EAA98-8F9B-4903-BA36-1D9114D29189}"/>
    <cellStyle name="Normal 8 2 2 2 2 6 3" xfId="6500" xr:uid="{00000000-0005-0000-0000-00001A1C0000}"/>
    <cellStyle name="Normal 8 2 2 2 2 6 3 2" xfId="14939" xr:uid="{038B7BDE-9375-430B-B720-A5F7DA3688C7}"/>
    <cellStyle name="Normal 8 2 2 2 2 6 4" xfId="10721" xr:uid="{EBB49919-9D35-489B-B8AA-D135B6A8C4C8}"/>
    <cellStyle name="Normal 8 2 2 2 2 7" xfId="2629" xr:uid="{00000000-0005-0000-0000-00001B1C0000}"/>
    <cellStyle name="Normal 8 2 2 2 2 7 2" xfId="6913" xr:uid="{00000000-0005-0000-0000-00001C1C0000}"/>
    <cellStyle name="Normal 8 2 2 2 2 7 2 2" xfId="15352" xr:uid="{8E7254B1-C27B-44E7-932A-2D4E625E099F}"/>
    <cellStyle name="Normal 8 2 2 2 2 7 3" xfId="11134" xr:uid="{2D93928D-25C8-4FA5-AC0E-811B9D397728}"/>
    <cellStyle name="Normal 8 2 2 2 2 8" xfId="4848" xr:uid="{00000000-0005-0000-0000-00001D1C0000}"/>
    <cellStyle name="Normal 8 2 2 2 2 8 2" xfId="13287" xr:uid="{0D6C7797-F286-49E2-A0CD-5599AE06C80C}"/>
    <cellStyle name="Normal 8 2 2 2 2 9" xfId="9069" xr:uid="{8E3B3C2C-37EE-4A02-A83F-9DF0FE18096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AAE3755E-F886-4E5D-9C2C-917D59AD49B0}"/>
    <cellStyle name="Normal 8 2 2 2 3 2 2 3" xfId="11629" xr:uid="{CF3A1F58-4BA0-4771-8F58-229309E14679}"/>
    <cellStyle name="Normal 8 2 2 2 3 2 3" xfId="5263" xr:uid="{00000000-0005-0000-0000-0000221C0000}"/>
    <cellStyle name="Normal 8 2 2 2 3 2 3 2" xfId="13702" xr:uid="{1D86BDC4-0E12-46E1-874D-4C42995B5CD5}"/>
    <cellStyle name="Normal 8 2 2 2 3 2 4" xfId="9484" xr:uid="{CAD992D7-1E0F-4A49-B98F-7B708CCE4C5F}"/>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DC0F094A-0E03-478A-8D8C-D611F9467092}"/>
    <cellStyle name="Normal 8 2 2 2 3 3 2 3" xfId="12042" xr:uid="{E45DCCEA-B85F-4C93-A395-9BEDE2B9D440}"/>
    <cellStyle name="Normal 8 2 2 2 3 3 3" xfId="5676" xr:uid="{00000000-0005-0000-0000-0000261C0000}"/>
    <cellStyle name="Normal 8 2 2 2 3 3 3 2" xfId="14115" xr:uid="{D49478D6-83A8-4529-8219-E50F4456693C}"/>
    <cellStyle name="Normal 8 2 2 2 3 3 4" xfId="9897" xr:uid="{5A6DAFC9-A644-4A32-A323-C3EC3DF364E2}"/>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AAED4626-8BD0-4766-BC83-4C0DE59FF7E6}"/>
    <cellStyle name="Normal 8 2 2 2 3 4 2 3" xfId="12455" xr:uid="{916C62BD-EED1-4420-94D8-C45ABD15509D}"/>
    <cellStyle name="Normal 8 2 2 2 3 4 3" xfId="6089" xr:uid="{00000000-0005-0000-0000-00002A1C0000}"/>
    <cellStyle name="Normal 8 2 2 2 3 4 3 2" xfId="14528" xr:uid="{E53254E4-79DC-4B0D-9695-9B5386C90496}"/>
    <cellStyle name="Normal 8 2 2 2 3 4 4" xfId="10310" xr:uid="{023304FB-92D8-4CD8-BE97-A6A5329423F2}"/>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109B78E1-C01F-4028-BE19-3E1D965AD59E}"/>
    <cellStyle name="Normal 8 2 2 2 3 5 2 3" xfId="12868" xr:uid="{35300621-9CB5-4E7B-9267-969AE5583482}"/>
    <cellStyle name="Normal 8 2 2 2 3 5 3" xfId="6502" xr:uid="{00000000-0005-0000-0000-00002E1C0000}"/>
    <cellStyle name="Normal 8 2 2 2 3 5 3 2" xfId="14941" xr:uid="{A7562B04-626A-44B4-A1DD-2B134CBBCEA0}"/>
    <cellStyle name="Normal 8 2 2 2 3 5 4" xfId="10723" xr:uid="{9DA7A0BA-969F-43A2-8DE9-0D7BF9597278}"/>
    <cellStyle name="Normal 8 2 2 2 3 6" xfId="2631" xr:uid="{00000000-0005-0000-0000-00002F1C0000}"/>
    <cellStyle name="Normal 8 2 2 2 3 6 2" xfId="6915" xr:uid="{00000000-0005-0000-0000-0000301C0000}"/>
    <cellStyle name="Normal 8 2 2 2 3 6 2 2" xfId="15354" xr:uid="{433EEA85-E670-4F5A-88E6-EEB7A5DE16AC}"/>
    <cellStyle name="Normal 8 2 2 2 3 6 3" xfId="11136" xr:uid="{C1A69537-AEF7-4EDA-BB2C-9D1CDEDB66A5}"/>
    <cellStyle name="Normal 8 2 2 2 3 7" xfId="4850" xr:uid="{00000000-0005-0000-0000-0000311C0000}"/>
    <cellStyle name="Normal 8 2 2 2 3 7 2" xfId="13289" xr:uid="{44CE1F9D-F4FB-4A98-9101-A28F9E39C38C}"/>
    <cellStyle name="Normal 8 2 2 2 3 8" xfId="9071" xr:uid="{76DD6A7A-08B1-4EBF-96BD-8D576390CF1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862CC529-E328-4130-B183-EA1C9F096150}"/>
    <cellStyle name="Normal 8 2 2 2 4 2 3" xfId="11626" xr:uid="{5F67E758-B5E1-4EF0-8B51-68CF13A31796}"/>
    <cellStyle name="Normal 8 2 2 2 4 3" xfId="5260" xr:uid="{00000000-0005-0000-0000-0000351C0000}"/>
    <cellStyle name="Normal 8 2 2 2 4 3 2" xfId="13699" xr:uid="{D0FE1797-1E69-44B9-9528-566F0AC8DC87}"/>
    <cellStyle name="Normal 8 2 2 2 4 4" xfId="9481" xr:uid="{8A8807EE-FAD5-4A72-8355-12D983BB1C47}"/>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C7453ED3-475A-436F-9322-C6EA065EA45C}"/>
    <cellStyle name="Normal 8 2 2 2 5 2 3" xfId="12039" xr:uid="{82B1A826-A019-4891-84CA-A95B1FFB04DA}"/>
    <cellStyle name="Normal 8 2 2 2 5 3" xfId="5673" xr:uid="{00000000-0005-0000-0000-0000391C0000}"/>
    <cellStyle name="Normal 8 2 2 2 5 3 2" xfId="14112" xr:uid="{3E5F5A89-F35D-4D39-BA40-8B3B8BADD3D7}"/>
    <cellStyle name="Normal 8 2 2 2 5 4" xfId="9894" xr:uid="{8173403A-990E-44EB-8510-7466F4F9733A}"/>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597220B0-7061-4BB8-B282-FC9AFFB62DCD}"/>
    <cellStyle name="Normal 8 2 2 2 6 2 3" xfId="12452" xr:uid="{26443E49-23CD-4EA0-BA43-7482F5075E55}"/>
    <cellStyle name="Normal 8 2 2 2 6 3" xfId="6086" xr:uid="{00000000-0005-0000-0000-00003D1C0000}"/>
    <cellStyle name="Normal 8 2 2 2 6 3 2" xfId="14525" xr:uid="{00C81420-5555-49A1-8934-1E23B947B190}"/>
    <cellStyle name="Normal 8 2 2 2 6 4" xfId="10307" xr:uid="{E492E858-1B9A-4BC2-9A34-581C248D11D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8A18026F-00AB-40F6-9020-423CD4BF3E9D}"/>
    <cellStyle name="Normal 8 2 2 2 7 2 3" xfId="12865" xr:uid="{2BAF3480-67F5-4CE5-B0AB-F88B5EADDF25}"/>
    <cellStyle name="Normal 8 2 2 2 7 3" xfId="6499" xr:uid="{00000000-0005-0000-0000-0000411C0000}"/>
    <cellStyle name="Normal 8 2 2 2 7 3 2" xfId="14938" xr:uid="{ECDFB28C-D600-4D73-BA3C-C186464B4DAC}"/>
    <cellStyle name="Normal 8 2 2 2 7 4" xfId="10720" xr:uid="{6104FDB9-7F51-4C69-A1C4-A439BF2A3CEF}"/>
    <cellStyle name="Normal 8 2 2 2 8" xfId="2628" xr:uid="{00000000-0005-0000-0000-0000421C0000}"/>
    <cellStyle name="Normal 8 2 2 2 8 2" xfId="6912" xr:uid="{00000000-0005-0000-0000-0000431C0000}"/>
    <cellStyle name="Normal 8 2 2 2 8 2 2" xfId="15351" xr:uid="{D0A7F8AC-3353-4A9C-B5E3-A08255980B33}"/>
    <cellStyle name="Normal 8 2 2 2 8 3" xfId="11133" xr:uid="{57C9C508-5152-468A-806E-77D8D4F806C6}"/>
    <cellStyle name="Normal 8 2 2 2 9" xfId="4847" xr:uid="{00000000-0005-0000-0000-0000441C0000}"/>
    <cellStyle name="Normal 8 2 2 2 9 2" xfId="13286" xr:uid="{E1A22F73-83B6-4F94-B9F7-DA91C4252C69}"/>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0379C7C3-D412-44D9-AADF-7787B812279A}"/>
    <cellStyle name="Normal 8 2 2 3 2 2 2 3" xfId="11631" xr:uid="{DBBDD03C-EF25-4B7F-8DB9-9C8D71655AEF}"/>
    <cellStyle name="Normal 8 2 2 3 2 2 3" xfId="5265" xr:uid="{00000000-0005-0000-0000-00004A1C0000}"/>
    <cellStyle name="Normal 8 2 2 3 2 2 3 2" xfId="13704" xr:uid="{984560AF-1ED5-41BC-BAEC-8D55592CC430}"/>
    <cellStyle name="Normal 8 2 2 3 2 2 4" xfId="9486" xr:uid="{7E08F76A-9F02-457F-BB54-6510DD7ED9D7}"/>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19383D6F-E42B-4BBD-B8BA-11EB6E446989}"/>
    <cellStyle name="Normal 8 2 2 3 2 3 2 3" xfId="12044" xr:uid="{203042DB-31B1-42A4-8A3E-1EDAD448A19F}"/>
    <cellStyle name="Normal 8 2 2 3 2 3 3" xfId="5678" xr:uid="{00000000-0005-0000-0000-00004E1C0000}"/>
    <cellStyle name="Normal 8 2 2 3 2 3 3 2" xfId="14117" xr:uid="{2CEADAE3-D13C-442B-97D0-24CCDC462318}"/>
    <cellStyle name="Normal 8 2 2 3 2 3 4" xfId="9899" xr:uid="{C3E3CE93-E003-4B69-91B5-8ED40DFD563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369C4D5B-FC5E-4F6C-92A7-F94E73C19055}"/>
    <cellStyle name="Normal 8 2 2 3 2 4 2 3" xfId="12457" xr:uid="{0641BB62-B84F-4A66-A055-9B2ADD736F6B}"/>
    <cellStyle name="Normal 8 2 2 3 2 4 3" xfId="6091" xr:uid="{00000000-0005-0000-0000-0000521C0000}"/>
    <cellStyle name="Normal 8 2 2 3 2 4 3 2" xfId="14530" xr:uid="{7C6E670D-795E-4F1A-86F7-0B7F3CE71E19}"/>
    <cellStyle name="Normal 8 2 2 3 2 4 4" xfId="10312" xr:uid="{4EBFECB7-6ABF-4CFB-9037-7ACD0256AFCC}"/>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6294F7BB-2386-41EE-8EB2-9EF4163275D4}"/>
    <cellStyle name="Normal 8 2 2 3 2 5 2 3" xfId="12870" xr:uid="{F4F3E729-BC56-4059-8532-339E0E5626C2}"/>
    <cellStyle name="Normal 8 2 2 3 2 5 3" xfId="6504" xr:uid="{00000000-0005-0000-0000-0000561C0000}"/>
    <cellStyle name="Normal 8 2 2 3 2 5 3 2" xfId="14943" xr:uid="{0E6FD142-DA72-41D4-9AEF-B8821E4E6FF4}"/>
    <cellStyle name="Normal 8 2 2 3 2 5 4" xfId="10725" xr:uid="{CE6E27E3-2FE4-4BE6-9DA0-CE366BC1C32A}"/>
    <cellStyle name="Normal 8 2 2 3 2 6" xfId="2633" xr:uid="{00000000-0005-0000-0000-0000571C0000}"/>
    <cellStyle name="Normal 8 2 2 3 2 6 2" xfId="6917" xr:uid="{00000000-0005-0000-0000-0000581C0000}"/>
    <cellStyle name="Normal 8 2 2 3 2 6 2 2" xfId="15356" xr:uid="{6F862941-B9C6-4518-B3CA-FF0858CE9058}"/>
    <cellStyle name="Normal 8 2 2 3 2 6 3" xfId="11138" xr:uid="{B45ED9D8-CDE0-478C-90B5-0A329FA84152}"/>
    <cellStyle name="Normal 8 2 2 3 2 7" xfId="4852" xr:uid="{00000000-0005-0000-0000-0000591C0000}"/>
    <cellStyle name="Normal 8 2 2 3 2 7 2" xfId="13291" xr:uid="{1258BDB0-45BE-491C-A67F-0C30A822FCFD}"/>
    <cellStyle name="Normal 8 2 2 3 2 8" xfId="9073" xr:uid="{BB91FB04-FC26-4B38-BC9B-41633148D3AE}"/>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DB9D2991-4B7C-4309-A27B-30EDA3E23EA4}"/>
    <cellStyle name="Normal 8 2 2 3 3 2 3" xfId="11630" xr:uid="{C9835B45-6A8C-4731-BF7A-1F7BEBD7311E}"/>
    <cellStyle name="Normal 8 2 2 3 3 3" xfId="5264" xr:uid="{00000000-0005-0000-0000-00005D1C0000}"/>
    <cellStyle name="Normal 8 2 2 3 3 3 2" xfId="13703" xr:uid="{4E5E406A-7536-4477-B55D-408E8FAF0C50}"/>
    <cellStyle name="Normal 8 2 2 3 3 4" xfId="9485" xr:uid="{8E29FD5D-64F2-4D31-A1A0-F5AEFC0DCDDD}"/>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E28CB5AC-036A-4D78-B125-258756357F9F}"/>
    <cellStyle name="Normal 8 2 2 3 4 2 3" xfId="12043" xr:uid="{60599DA5-B441-4644-ACFD-2A6FA7C6CB9F}"/>
    <cellStyle name="Normal 8 2 2 3 4 3" xfId="5677" xr:uid="{00000000-0005-0000-0000-0000611C0000}"/>
    <cellStyle name="Normal 8 2 2 3 4 3 2" xfId="14116" xr:uid="{365A8226-E7BF-4B36-BDE5-4D7FD4A79A2D}"/>
    <cellStyle name="Normal 8 2 2 3 4 4" xfId="9898" xr:uid="{43995D86-8C1B-4D17-B5EE-9BE0B2EB3BF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45C9C936-67C7-47A4-A7D9-2BF2698C7B7E}"/>
    <cellStyle name="Normal 8 2 2 3 5 2 3" xfId="12456" xr:uid="{A9E8DCAF-2C63-48A3-B17E-E87BC3CEA151}"/>
    <cellStyle name="Normal 8 2 2 3 5 3" xfId="6090" xr:uid="{00000000-0005-0000-0000-0000651C0000}"/>
    <cellStyle name="Normal 8 2 2 3 5 3 2" xfId="14529" xr:uid="{37928D5F-5235-46E1-9E1B-E1D05F62C841}"/>
    <cellStyle name="Normal 8 2 2 3 5 4" xfId="10311" xr:uid="{E34E6E15-2F43-4C0C-8A68-E67C5AC3959B}"/>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A45EC6A9-3DD4-47E3-92CC-D03D52399B9C}"/>
    <cellStyle name="Normal 8 2 2 3 6 2 3" xfId="12869" xr:uid="{82154F1A-2C11-4211-89B2-EA0CEF6BE540}"/>
    <cellStyle name="Normal 8 2 2 3 6 3" xfId="6503" xr:uid="{00000000-0005-0000-0000-0000691C0000}"/>
    <cellStyle name="Normal 8 2 2 3 6 3 2" xfId="14942" xr:uid="{FCF10F0A-31BB-4B8D-9B02-6BA9AB06F59E}"/>
    <cellStyle name="Normal 8 2 2 3 6 4" xfId="10724" xr:uid="{93E0CC38-E27E-4AAF-866D-DE0CAC7176B7}"/>
    <cellStyle name="Normal 8 2 2 3 7" xfId="2632" xr:uid="{00000000-0005-0000-0000-00006A1C0000}"/>
    <cellStyle name="Normal 8 2 2 3 7 2" xfId="6916" xr:uid="{00000000-0005-0000-0000-00006B1C0000}"/>
    <cellStyle name="Normal 8 2 2 3 7 2 2" xfId="15355" xr:uid="{288D3D52-25C5-4784-B5CD-2962D01BD90E}"/>
    <cellStyle name="Normal 8 2 2 3 7 3" xfId="11137" xr:uid="{560EC641-9D9F-4FBB-AE75-D915344D36F2}"/>
    <cellStyle name="Normal 8 2 2 3 8" xfId="4851" xr:uid="{00000000-0005-0000-0000-00006C1C0000}"/>
    <cellStyle name="Normal 8 2 2 3 8 2" xfId="13290" xr:uid="{764A6608-13A0-4801-BC23-DAEED5667160}"/>
    <cellStyle name="Normal 8 2 2 3 9" xfId="9072" xr:uid="{9BD28C14-8518-450E-BD22-EB7659A2BC0B}"/>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6A0689D7-396D-43C4-A968-A675F28D2A6A}"/>
    <cellStyle name="Normal 8 2 2 4 2 2 3" xfId="11632" xr:uid="{37AD3C95-A4E2-4BCE-8D4F-B0A81B98ABD5}"/>
    <cellStyle name="Normal 8 2 2 4 2 3" xfId="5266" xr:uid="{00000000-0005-0000-0000-0000711C0000}"/>
    <cellStyle name="Normal 8 2 2 4 2 3 2" xfId="13705" xr:uid="{B8D22601-B14E-46A1-871B-5E5C4ACA36ED}"/>
    <cellStyle name="Normal 8 2 2 4 2 4" xfId="9487" xr:uid="{D14775A9-B474-4EDC-8A90-53F5528064B7}"/>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28EA5467-5A88-4D46-A2F7-59A232B82BED}"/>
    <cellStyle name="Normal 8 2 2 4 3 2 3" xfId="12045" xr:uid="{BCD52942-196E-45D0-B36E-E3E22AD3F764}"/>
    <cellStyle name="Normal 8 2 2 4 3 3" xfId="5679" xr:uid="{00000000-0005-0000-0000-0000751C0000}"/>
    <cellStyle name="Normal 8 2 2 4 3 3 2" xfId="14118" xr:uid="{EA47D4DB-E95D-4D0D-A5A9-F7A7C6D8F7AF}"/>
    <cellStyle name="Normal 8 2 2 4 3 4" xfId="9900" xr:uid="{B37F690B-3050-4167-B4AA-7BFDC0FCA1DF}"/>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A94E7C62-4026-451E-9496-5109A33C3A96}"/>
    <cellStyle name="Normal 8 2 2 4 4 2 3" xfId="12458" xr:uid="{BB9776A0-8EEE-4AF7-920C-D86A5D8A2CDC}"/>
    <cellStyle name="Normal 8 2 2 4 4 3" xfId="6092" xr:uid="{00000000-0005-0000-0000-0000791C0000}"/>
    <cellStyle name="Normal 8 2 2 4 4 3 2" xfId="14531" xr:uid="{8DB28F94-F81D-4FDD-B496-86844AECFF14}"/>
    <cellStyle name="Normal 8 2 2 4 4 4" xfId="10313" xr:uid="{96998E4E-2004-4510-A4E6-F8CEBD2640EB}"/>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5FBD9BDF-D062-4EAA-86DC-67D97C1701FC}"/>
    <cellStyle name="Normal 8 2 2 4 5 2 3" xfId="12871" xr:uid="{0D74264B-DBE7-4CFE-82F5-9B2662FFBF33}"/>
    <cellStyle name="Normal 8 2 2 4 5 3" xfId="6505" xr:uid="{00000000-0005-0000-0000-00007D1C0000}"/>
    <cellStyle name="Normal 8 2 2 4 5 3 2" xfId="14944" xr:uid="{D472156B-D378-4E5D-9F61-9C9AE62B8672}"/>
    <cellStyle name="Normal 8 2 2 4 5 4" xfId="10726" xr:uid="{87F971FB-8F76-45B0-8A6B-8FDAB55354B4}"/>
    <cellStyle name="Normal 8 2 2 4 6" xfId="2634" xr:uid="{00000000-0005-0000-0000-00007E1C0000}"/>
    <cellStyle name="Normal 8 2 2 4 6 2" xfId="6918" xr:uid="{00000000-0005-0000-0000-00007F1C0000}"/>
    <cellStyle name="Normal 8 2 2 4 6 2 2" xfId="15357" xr:uid="{312998D7-DF28-42DA-B6AB-3BA668E8ED2B}"/>
    <cellStyle name="Normal 8 2 2 4 6 3" xfId="11139" xr:uid="{55EF4A6B-9DDE-452C-8604-6064B04E8277}"/>
    <cellStyle name="Normal 8 2 2 4 7" xfId="4853" xr:uid="{00000000-0005-0000-0000-0000801C0000}"/>
    <cellStyle name="Normal 8 2 2 4 7 2" xfId="13292" xr:uid="{A27F284E-FDAD-4F90-B3FF-B308F4FA57C2}"/>
    <cellStyle name="Normal 8 2 2 4 8" xfId="9074" xr:uid="{B73AFA66-876D-4D4E-8931-11CAB29A027B}"/>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411EACBF-4B28-4E9F-AFE0-BEBAD9B355E9}"/>
    <cellStyle name="Normal 8 2 2 5 2 3" xfId="11625" xr:uid="{C1BE711C-D767-497A-9122-2F001C7E6B90}"/>
    <cellStyle name="Normal 8 2 2 5 3" xfId="5259" xr:uid="{00000000-0005-0000-0000-0000841C0000}"/>
    <cellStyle name="Normal 8 2 2 5 3 2" xfId="13698" xr:uid="{6C53F121-DC03-4BC7-BBD2-701195DA9E05}"/>
    <cellStyle name="Normal 8 2 2 5 4" xfId="9480" xr:uid="{73C6F1FD-CDD1-4D0C-8581-956D7597A218}"/>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FF7F4FA8-C8F2-4626-85AF-9458E88731F0}"/>
    <cellStyle name="Normal 8 2 2 6 2 3" xfId="12038" xr:uid="{7584C8D5-2B3F-4F0D-B6EB-FA8109E2445D}"/>
    <cellStyle name="Normal 8 2 2 6 3" xfId="5672" xr:uid="{00000000-0005-0000-0000-0000881C0000}"/>
    <cellStyle name="Normal 8 2 2 6 3 2" xfId="14111" xr:uid="{01DAD732-C40B-4DB9-8805-07D6275E8D2B}"/>
    <cellStyle name="Normal 8 2 2 6 4" xfId="9893" xr:uid="{B00A364B-797F-4B3F-8CF7-3791E1CB7DE0}"/>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772AE5D7-CDC5-455E-88E3-F36E3B96C9F4}"/>
    <cellStyle name="Normal 8 2 2 7 2 3" xfId="12451" xr:uid="{4986AF1C-E726-4CAB-9E80-EC376027A8C2}"/>
    <cellStyle name="Normal 8 2 2 7 3" xfId="6085" xr:uid="{00000000-0005-0000-0000-00008C1C0000}"/>
    <cellStyle name="Normal 8 2 2 7 3 2" xfId="14524" xr:uid="{9105A8C9-467C-4ECE-932F-65A25F0782AC}"/>
    <cellStyle name="Normal 8 2 2 7 4" xfId="10306" xr:uid="{FC3B4748-8BFA-44DE-BBF9-46BAF8E4BFB4}"/>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4998EAA4-85D9-498F-B883-6BA8DB0BB57E}"/>
    <cellStyle name="Normal 8 2 2 8 2 3" xfId="12864" xr:uid="{1F183BB7-B436-46A7-80D3-6EF4178EF5F1}"/>
    <cellStyle name="Normal 8 2 2 8 3" xfId="6498" xr:uid="{00000000-0005-0000-0000-0000901C0000}"/>
    <cellStyle name="Normal 8 2 2 8 3 2" xfId="14937" xr:uid="{14ADDE72-1C3D-4996-B593-B431E2C7AF31}"/>
    <cellStyle name="Normal 8 2 2 8 4" xfId="10719" xr:uid="{2985A750-563D-46C6-BB1E-027892FF3408}"/>
    <cellStyle name="Normal 8 2 2 9" xfId="2627" xr:uid="{00000000-0005-0000-0000-0000911C0000}"/>
    <cellStyle name="Normal 8 2 2 9 2" xfId="6911" xr:uid="{00000000-0005-0000-0000-0000921C0000}"/>
    <cellStyle name="Normal 8 2 2 9 2 2" xfId="15350" xr:uid="{A8D49F2C-012E-4ECF-AE47-0B73F97A9B68}"/>
    <cellStyle name="Normal 8 2 2 9 3" xfId="11132" xr:uid="{233FB221-F5B7-46A8-BAB5-9605FD04AAFD}"/>
    <cellStyle name="Normal 8 2 3" xfId="488" xr:uid="{00000000-0005-0000-0000-0000931C0000}"/>
    <cellStyle name="Normal 8 2 3 10" xfId="9075" xr:uid="{20508F51-9549-439E-871F-E63F2669EED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F2F9021B-E63E-404F-8196-DFC4E86FB375}"/>
    <cellStyle name="Normal 8 2 3 2 2 2 2 3" xfId="11635" xr:uid="{87D60A83-D263-4365-9215-CE66C2A912C5}"/>
    <cellStyle name="Normal 8 2 3 2 2 2 3" xfId="5269" xr:uid="{00000000-0005-0000-0000-0000991C0000}"/>
    <cellStyle name="Normal 8 2 3 2 2 2 3 2" xfId="13708" xr:uid="{F4DED361-928B-4DDD-ACE4-CD08929DC327}"/>
    <cellStyle name="Normal 8 2 3 2 2 2 4" xfId="9490" xr:uid="{AAB1C7E1-DB87-46B4-893D-263BB0E4CFE1}"/>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435D56D6-6059-4AFD-8154-BA385422C375}"/>
    <cellStyle name="Normal 8 2 3 2 2 3 2 3" xfId="12048" xr:uid="{F2090E9D-2724-4BDA-85D9-DBEB23BCA36B}"/>
    <cellStyle name="Normal 8 2 3 2 2 3 3" xfId="5682" xr:uid="{00000000-0005-0000-0000-00009D1C0000}"/>
    <cellStyle name="Normal 8 2 3 2 2 3 3 2" xfId="14121" xr:uid="{45A6264A-6B4D-43EA-8E2C-8BC5E548083E}"/>
    <cellStyle name="Normal 8 2 3 2 2 3 4" xfId="9903" xr:uid="{BF9AD3A8-E17C-4017-8DB1-5E9786312FE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40486410-07DD-49DA-A42F-58F9A2037CE9}"/>
    <cellStyle name="Normal 8 2 3 2 2 4 2 3" xfId="12461" xr:uid="{4F3A44F1-3BC7-4104-A203-94CC62A8B6FF}"/>
    <cellStyle name="Normal 8 2 3 2 2 4 3" xfId="6095" xr:uid="{00000000-0005-0000-0000-0000A11C0000}"/>
    <cellStyle name="Normal 8 2 3 2 2 4 3 2" xfId="14534" xr:uid="{DC966B56-CF40-4FE4-B9B5-A2D522E3493A}"/>
    <cellStyle name="Normal 8 2 3 2 2 4 4" xfId="10316" xr:uid="{ABCA70AA-0507-4926-B79D-B08DE290B963}"/>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C076C511-CD2E-40CB-AB11-50C9D037B2E0}"/>
    <cellStyle name="Normal 8 2 3 2 2 5 2 3" xfId="12874" xr:uid="{7DDF872F-0435-4CE6-B21A-1AFA5443D6F9}"/>
    <cellStyle name="Normal 8 2 3 2 2 5 3" xfId="6508" xr:uid="{00000000-0005-0000-0000-0000A51C0000}"/>
    <cellStyle name="Normal 8 2 3 2 2 5 3 2" xfId="14947" xr:uid="{C6D0F12A-ADF1-4081-9BAA-2091BDA02C65}"/>
    <cellStyle name="Normal 8 2 3 2 2 5 4" xfId="10729" xr:uid="{46CFBCF2-C608-4369-B441-ED325970CB13}"/>
    <cellStyle name="Normal 8 2 3 2 2 6" xfId="2637" xr:uid="{00000000-0005-0000-0000-0000A61C0000}"/>
    <cellStyle name="Normal 8 2 3 2 2 6 2" xfId="6921" xr:uid="{00000000-0005-0000-0000-0000A71C0000}"/>
    <cellStyle name="Normal 8 2 3 2 2 6 2 2" xfId="15360" xr:uid="{0BE4528E-A9B8-48C6-B4FD-372C03756A38}"/>
    <cellStyle name="Normal 8 2 3 2 2 6 3" xfId="11142" xr:uid="{528EE120-B793-4323-94AF-D80D6C4D9C04}"/>
    <cellStyle name="Normal 8 2 3 2 2 7" xfId="4856" xr:uid="{00000000-0005-0000-0000-0000A81C0000}"/>
    <cellStyle name="Normal 8 2 3 2 2 7 2" xfId="13295" xr:uid="{D1160B53-4D24-43CF-B0A2-2D03C972257E}"/>
    <cellStyle name="Normal 8 2 3 2 2 8" xfId="9077" xr:uid="{8B7C76D5-456D-4539-9685-EA224E9ADEDB}"/>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388BCBE3-A5E6-4CB6-AC10-22BB6A4B7786}"/>
    <cellStyle name="Normal 8 2 3 2 3 2 3" xfId="11634" xr:uid="{9376EE81-D303-4F84-BC7C-17583A441EEE}"/>
    <cellStyle name="Normal 8 2 3 2 3 3" xfId="5268" xr:uid="{00000000-0005-0000-0000-0000AC1C0000}"/>
    <cellStyle name="Normal 8 2 3 2 3 3 2" xfId="13707" xr:uid="{EEA7ED1F-5661-4299-BB4F-7C2F51CC9157}"/>
    <cellStyle name="Normal 8 2 3 2 3 4" xfId="9489" xr:uid="{C97B74F7-2A14-42B0-B498-4E56C36E58CA}"/>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5C4D6DD9-88E8-48EF-B03D-0C3F59444A36}"/>
    <cellStyle name="Normal 8 2 3 2 4 2 3" xfId="12047" xr:uid="{C65AD720-BA8F-498D-B72D-E0DA228726A3}"/>
    <cellStyle name="Normal 8 2 3 2 4 3" xfId="5681" xr:uid="{00000000-0005-0000-0000-0000B01C0000}"/>
    <cellStyle name="Normal 8 2 3 2 4 3 2" xfId="14120" xr:uid="{5666A139-5620-4D38-817F-8E866FA8D091}"/>
    <cellStyle name="Normal 8 2 3 2 4 4" xfId="9902" xr:uid="{69696FE5-A465-44D4-8A20-45996D81981C}"/>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31A5C1DB-1828-4B64-9427-8741B993162C}"/>
    <cellStyle name="Normal 8 2 3 2 5 2 3" xfId="12460" xr:uid="{28DC4148-CE20-41BC-874B-8DC77F5448AD}"/>
    <cellStyle name="Normal 8 2 3 2 5 3" xfId="6094" xr:uid="{00000000-0005-0000-0000-0000B41C0000}"/>
    <cellStyle name="Normal 8 2 3 2 5 3 2" xfId="14533" xr:uid="{FF30C33B-D56E-4E87-99D3-8500C9D4848B}"/>
    <cellStyle name="Normal 8 2 3 2 5 4" xfId="10315" xr:uid="{ED7238B8-5327-4274-9C56-3A6703ACDA02}"/>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64DFAAE0-AFBC-4F8A-855C-13CFA8EFC990}"/>
    <cellStyle name="Normal 8 2 3 2 6 2 3" xfId="12873" xr:uid="{0E9A8C48-2FEE-4569-A918-0CF2DA3FBDC5}"/>
    <cellStyle name="Normal 8 2 3 2 6 3" xfId="6507" xr:uid="{00000000-0005-0000-0000-0000B81C0000}"/>
    <cellStyle name="Normal 8 2 3 2 6 3 2" xfId="14946" xr:uid="{8E97397E-8E6B-4C8B-AEE4-92480DAEA2C9}"/>
    <cellStyle name="Normal 8 2 3 2 6 4" xfId="10728" xr:uid="{86D31157-2D39-4521-9A8B-995275726594}"/>
    <cellStyle name="Normal 8 2 3 2 7" xfId="2636" xr:uid="{00000000-0005-0000-0000-0000B91C0000}"/>
    <cellStyle name="Normal 8 2 3 2 7 2" xfId="6920" xr:uid="{00000000-0005-0000-0000-0000BA1C0000}"/>
    <cellStyle name="Normal 8 2 3 2 7 2 2" xfId="15359" xr:uid="{205BFEF7-176E-416D-AAF7-8309B6871504}"/>
    <cellStyle name="Normal 8 2 3 2 7 3" xfId="11141" xr:uid="{B623CCB4-B40B-45E6-B796-1EB851587980}"/>
    <cellStyle name="Normal 8 2 3 2 8" xfId="4855" xr:uid="{00000000-0005-0000-0000-0000BB1C0000}"/>
    <cellStyle name="Normal 8 2 3 2 8 2" xfId="13294" xr:uid="{DDFF35DB-EDDA-4D6B-BDF7-D2978CB3C49D}"/>
    <cellStyle name="Normal 8 2 3 2 9" xfId="9076" xr:uid="{8F3C4B14-0E89-432B-9B38-D3D858213B6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C43520A4-921A-4FEC-A3E0-A1C3835EA8CF}"/>
    <cellStyle name="Normal 8 2 3 3 2 2 3" xfId="11636" xr:uid="{AA66BB15-ED21-467D-BEC6-001BD185F6E7}"/>
    <cellStyle name="Normal 8 2 3 3 2 3" xfId="5270" xr:uid="{00000000-0005-0000-0000-0000C01C0000}"/>
    <cellStyle name="Normal 8 2 3 3 2 3 2" xfId="13709" xr:uid="{DD145040-64D4-4D83-A6BA-0311B768D274}"/>
    <cellStyle name="Normal 8 2 3 3 2 4" xfId="9491" xr:uid="{4B599AE4-0441-4FE8-B167-3F33AA07F726}"/>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E1DDBB4D-14C8-49C9-BF0B-5E9B46EB15F5}"/>
    <cellStyle name="Normal 8 2 3 3 3 2 3" xfId="12049" xr:uid="{C6F7C17E-8F27-4CDC-AF1C-1146B0D07B8E}"/>
    <cellStyle name="Normal 8 2 3 3 3 3" xfId="5683" xr:uid="{00000000-0005-0000-0000-0000C41C0000}"/>
    <cellStyle name="Normal 8 2 3 3 3 3 2" xfId="14122" xr:uid="{27E2A591-F997-471C-AF50-24A6E21AF471}"/>
    <cellStyle name="Normal 8 2 3 3 3 4" xfId="9904" xr:uid="{8390DB70-E354-4384-B6B3-A97D5437491C}"/>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4794DE0E-2AB4-4969-99C6-1B845E21F8EA}"/>
    <cellStyle name="Normal 8 2 3 3 4 2 3" xfId="12462" xr:uid="{820CEE2B-5352-4200-A7EB-1A4813F4EFD6}"/>
    <cellStyle name="Normal 8 2 3 3 4 3" xfId="6096" xr:uid="{00000000-0005-0000-0000-0000C81C0000}"/>
    <cellStyle name="Normal 8 2 3 3 4 3 2" xfId="14535" xr:uid="{1135EE5B-199F-4090-9EE2-77EB7C78EBA7}"/>
    <cellStyle name="Normal 8 2 3 3 4 4" xfId="10317" xr:uid="{3838D928-E88C-4CD2-99B7-4877CC671341}"/>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F98365FF-081F-45F3-ACB4-793ECFDA1D9B}"/>
    <cellStyle name="Normal 8 2 3 3 5 2 3" xfId="12875" xr:uid="{84028791-924B-483C-BD17-8D64DD2EFAB8}"/>
    <cellStyle name="Normal 8 2 3 3 5 3" xfId="6509" xr:uid="{00000000-0005-0000-0000-0000CC1C0000}"/>
    <cellStyle name="Normal 8 2 3 3 5 3 2" xfId="14948" xr:uid="{01F2E1B1-8CB7-4D79-B05A-BD90932744AE}"/>
    <cellStyle name="Normal 8 2 3 3 5 4" xfId="10730" xr:uid="{14D9955E-E462-4E8E-A518-646D631DF783}"/>
    <cellStyle name="Normal 8 2 3 3 6" xfId="2638" xr:uid="{00000000-0005-0000-0000-0000CD1C0000}"/>
    <cellStyle name="Normal 8 2 3 3 6 2" xfId="6922" xr:uid="{00000000-0005-0000-0000-0000CE1C0000}"/>
    <cellStyle name="Normal 8 2 3 3 6 2 2" xfId="15361" xr:uid="{A4B0F999-761A-4CDB-9FAA-580E8B014083}"/>
    <cellStyle name="Normal 8 2 3 3 6 3" xfId="11143" xr:uid="{3AB5AFCB-D19A-4B44-8EF0-DD7CEFF024F9}"/>
    <cellStyle name="Normal 8 2 3 3 7" xfId="4857" xr:uid="{00000000-0005-0000-0000-0000CF1C0000}"/>
    <cellStyle name="Normal 8 2 3 3 7 2" xfId="13296" xr:uid="{10B86808-F76B-40ED-A2A7-8AEBE99108DE}"/>
    <cellStyle name="Normal 8 2 3 3 8" xfId="9078" xr:uid="{789B4C57-CB2E-48C2-B064-95B93D652075}"/>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71A44638-2250-4DA0-A721-A6F9C59B13AE}"/>
    <cellStyle name="Normal 8 2 3 4 2 3" xfId="11633" xr:uid="{1BF33D54-1AC3-467A-B4A4-8B1D30688357}"/>
    <cellStyle name="Normal 8 2 3 4 3" xfId="5267" xr:uid="{00000000-0005-0000-0000-0000D31C0000}"/>
    <cellStyle name="Normal 8 2 3 4 3 2" xfId="13706" xr:uid="{0652F647-EDF0-4C1B-BD34-DDC6E7A1012D}"/>
    <cellStyle name="Normal 8 2 3 4 4" xfId="9488" xr:uid="{807C8810-2B02-4673-BD5D-2FD136F49596}"/>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9D36399F-F4E1-45DA-ABB0-D88FE735A362}"/>
    <cellStyle name="Normal 8 2 3 5 2 3" xfId="12046" xr:uid="{0338E3C2-9C72-405B-83CC-789589C55261}"/>
    <cellStyle name="Normal 8 2 3 5 3" xfId="5680" xr:uid="{00000000-0005-0000-0000-0000D71C0000}"/>
    <cellStyle name="Normal 8 2 3 5 3 2" xfId="14119" xr:uid="{F96D4EDE-51A0-4E48-A683-4AA8D2867726}"/>
    <cellStyle name="Normal 8 2 3 5 4" xfId="9901" xr:uid="{2148D547-6D30-45B2-BD83-0BDEA2B77310}"/>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81FF70A9-D037-47AB-9883-1B93BD73A7E4}"/>
    <cellStyle name="Normal 8 2 3 6 2 3" xfId="12459" xr:uid="{D52A358A-9F05-444D-86F4-3914E649ABFD}"/>
    <cellStyle name="Normal 8 2 3 6 3" xfId="6093" xr:uid="{00000000-0005-0000-0000-0000DB1C0000}"/>
    <cellStyle name="Normal 8 2 3 6 3 2" xfId="14532" xr:uid="{F57E60A5-1368-4A5A-96E7-9E9060AE621C}"/>
    <cellStyle name="Normal 8 2 3 6 4" xfId="10314" xr:uid="{7C98FB26-17D4-4BEB-A9D1-149B2671090F}"/>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F9B5714C-DB39-4B5F-B76F-86A839C18C04}"/>
    <cellStyle name="Normal 8 2 3 7 2 3" xfId="12872" xr:uid="{757BB650-0CD2-4699-BC78-72F0B64B3DA5}"/>
    <cellStyle name="Normal 8 2 3 7 3" xfId="6506" xr:uid="{00000000-0005-0000-0000-0000DF1C0000}"/>
    <cellStyle name="Normal 8 2 3 7 3 2" xfId="14945" xr:uid="{99B7FE08-13C9-4EB7-8C24-046320AF14CB}"/>
    <cellStyle name="Normal 8 2 3 7 4" xfId="10727" xr:uid="{401D64C7-9EC3-407D-9D70-7AE88A8C9904}"/>
    <cellStyle name="Normal 8 2 3 8" xfId="2635" xr:uid="{00000000-0005-0000-0000-0000E01C0000}"/>
    <cellStyle name="Normal 8 2 3 8 2" xfId="6919" xr:uid="{00000000-0005-0000-0000-0000E11C0000}"/>
    <cellStyle name="Normal 8 2 3 8 2 2" xfId="15358" xr:uid="{52E2CCE9-0FCC-44F6-8728-84CDBE2F71B1}"/>
    <cellStyle name="Normal 8 2 3 8 3" xfId="11140" xr:uid="{7778AD21-D950-4C86-B675-D48C88C3616C}"/>
    <cellStyle name="Normal 8 2 3 9" xfId="4854" xr:uid="{00000000-0005-0000-0000-0000E21C0000}"/>
    <cellStyle name="Normal 8 2 3 9 2" xfId="13293" xr:uid="{23061A43-8191-4310-8877-EA652819624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B6A4BB34-BB7E-4313-96AD-8DF1A1DF0EB6}"/>
    <cellStyle name="Normal 8 2 4 2 2 2 3" xfId="11638" xr:uid="{027D88A7-9028-4B89-BFEA-E901686AD142}"/>
    <cellStyle name="Normal 8 2 4 2 2 3" xfId="5272" xr:uid="{00000000-0005-0000-0000-0000E81C0000}"/>
    <cellStyle name="Normal 8 2 4 2 2 3 2" xfId="13711" xr:uid="{5DAA66AF-2597-4FBA-9B7C-177E12070C74}"/>
    <cellStyle name="Normal 8 2 4 2 2 4" xfId="9493" xr:uid="{27DD0A4B-FB73-4E12-BCFC-9B6886613ACE}"/>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9630CC29-2D0A-401B-AB07-157F7C4F385F}"/>
    <cellStyle name="Normal 8 2 4 2 3 2 3" xfId="12051" xr:uid="{B6DA76D6-086D-4741-8363-7B0F70028F33}"/>
    <cellStyle name="Normal 8 2 4 2 3 3" xfId="5685" xr:uid="{00000000-0005-0000-0000-0000EC1C0000}"/>
    <cellStyle name="Normal 8 2 4 2 3 3 2" xfId="14124" xr:uid="{D1AA6EE8-6D89-4721-BF17-5C09BE80A786}"/>
    <cellStyle name="Normal 8 2 4 2 3 4" xfId="9906" xr:uid="{D878D0EF-3CE7-4222-A7CD-68F56FE1AA48}"/>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A8A25E5B-0F0D-4498-BBA2-DBF464108099}"/>
    <cellStyle name="Normal 8 2 4 2 4 2 3" xfId="12464" xr:uid="{B1313482-AA5B-48A5-A139-FB858190C48E}"/>
    <cellStyle name="Normal 8 2 4 2 4 3" xfId="6098" xr:uid="{00000000-0005-0000-0000-0000F01C0000}"/>
    <cellStyle name="Normal 8 2 4 2 4 3 2" xfId="14537" xr:uid="{EBD46ED1-81E1-4FDC-BF2C-D177DA0D87CC}"/>
    <cellStyle name="Normal 8 2 4 2 4 4" xfId="10319" xr:uid="{28625FB1-6D7A-4B9F-9315-3DB4C2AD08E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8E82EA1A-D695-4549-AA17-D5F0536BCBB6}"/>
    <cellStyle name="Normal 8 2 4 2 5 2 3" xfId="12877" xr:uid="{C33F5453-6986-40E9-9151-5A201281415B}"/>
    <cellStyle name="Normal 8 2 4 2 5 3" xfId="6511" xr:uid="{00000000-0005-0000-0000-0000F41C0000}"/>
    <cellStyle name="Normal 8 2 4 2 5 3 2" xfId="14950" xr:uid="{F23758C5-B0A6-4856-992E-27BDB124941E}"/>
    <cellStyle name="Normal 8 2 4 2 5 4" xfId="10732" xr:uid="{51D6A919-E3A1-4462-9D24-5EC0AD4509D0}"/>
    <cellStyle name="Normal 8 2 4 2 6" xfId="2640" xr:uid="{00000000-0005-0000-0000-0000F51C0000}"/>
    <cellStyle name="Normal 8 2 4 2 6 2" xfId="6924" xr:uid="{00000000-0005-0000-0000-0000F61C0000}"/>
    <cellStyle name="Normal 8 2 4 2 6 2 2" xfId="15363" xr:uid="{9A473C11-A738-4D8D-9AE7-D0919CB221EB}"/>
    <cellStyle name="Normal 8 2 4 2 6 3" xfId="11145" xr:uid="{C6EB15E0-2A62-41CD-9FA7-E98B5EAD7427}"/>
    <cellStyle name="Normal 8 2 4 2 7" xfId="4859" xr:uid="{00000000-0005-0000-0000-0000F71C0000}"/>
    <cellStyle name="Normal 8 2 4 2 7 2" xfId="13298" xr:uid="{E601F3C0-8969-46FC-8935-654BEA9344B2}"/>
    <cellStyle name="Normal 8 2 4 2 8" xfId="9080" xr:uid="{FB6ADC37-415E-4D48-A23D-55ED8F9DABDE}"/>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4DFCD6DF-5101-4939-9CA4-CB531B50A982}"/>
    <cellStyle name="Normal 8 2 4 3 2 3" xfId="11637" xr:uid="{7BC986DC-5B86-4A84-A04D-A9C7B2793173}"/>
    <cellStyle name="Normal 8 2 4 3 3" xfId="5271" xr:uid="{00000000-0005-0000-0000-0000FB1C0000}"/>
    <cellStyle name="Normal 8 2 4 3 3 2" xfId="13710" xr:uid="{47906D35-8F50-40F9-8009-048833140AAA}"/>
    <cellStyle name="Normal 8 2 4 3 4" xfId="9492" xr:uid="{C1A9236E-2694-46B6-966F-0CE5EA308201}"/>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61DCC724-04C4-479B-8537-F6FF9E5C7B5E}"/>
    <cellStyle name="Normal 8 2 4 4 2 3" xfId="12050" xr:uid="{922B90A0-AB4B-4912-82DF-4C091094A0D8}"/>
    <cellStyle name="Normal 8 2 4 4 3" xfId="5684" xr:uid="{00000000-0005-0000-0000-0000FF1C0000}"/>
    <cellStyle name="Normal 8 2 4 4 3 2" xfId="14123" xr:uid="{F8AA4BE0-D49E-447E-BB52-E0A916BCB1B4}"/>
    <cellStyle name="Normal 8 2 4 4 4" xfId="9905" xr:uid="{57861416-96AD-401B-AA1D-9CE63F3F2758}"/>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D47789E6-AF9B-45EC-B6E1-1A0F8BFB0F89}"/>
    <cellStyle name="Normal 8 2 4 5 2 3" xfId="12463" xr:uid="{77553BDC-C7D1-445C-8FC9-E7B2E344FA90}"/>
    <cellStyle name="Normal 8 2 4 5 3" xfId="6097" xr:uid="{00000000-0005-0000-0000-0000031D0000}"/>
    <cellStyle name="Normal 8 2 4 5 3 2" xfId="14536" xr:uid="{A4FAA89E-BDBB-4715-A7FB-79A8B855BC35}"/>
    <cellStyle name="Normal 8 2 4 5 4" xfId="10318" xr:uid="{F16CB84E-8E19-4E50-B6AC-F4A1271C96BB}"/>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80EE1394-B1B3-4B3E-A98C-A84FE5AFA8A6}"/>
    <cellStyle name="Normal 8 2 4 6 2 3" xfId="12876" xr:uid="{ADD3648A-48C6-4BD7-93D3-F93E6F3A2785}"/>
    <cellStyle name="Normal 8 2 4 6 3" xfId="6510" xr:uid="{00000000-0005-0000-0000-0000071D0000}"/>
    <cellStyle name="Normal 8 2 4 6 3 2" xfId="14949" xr:uid="{91526908-2730-4665-AFD6-328590D79CCD}"/>
    <cellStyle name="Normal 8 2 4 6 4" xfId="10731" xr:uid="{8FDFFFFF-A48D-46D8-84ED-F0F1C1760133}"/>
    <cellStyle name="Normal 8 2 4 7" xfId="2639" xr:uid="{00000000-0005-0000-0000-0000081D0000}"/>
    <cellStyle name="Normal 8 2 4 7 2" xfId="6923" xr:uid="{00000000-0005-0000-0000-0000091D0000}"/>
    <cellStyle name="Normal 8 2 4 7 2 2" xfId="15362" xr:uid="{04310E83-D8CB-468A-A8D1-F9F928E6F811}"/>
    <cellStyle name="Normal 8 2 4 7 3" xfId="11144" xr:uid="{1F499DEC-058A-4B9A-984C-6A3E12E8B038}"/>
    <cellStyle name="Normal 8 2 4 8" xfId="4858" xr:uid="{00000000-0005-0000-0000-00000A1D0000}"/>
    <cellStyle name="Normal 8 2 4 8 2" xfId="13297" xr:uid="{867FD8D5-BF97-4F5D-9B71-EECCB9C2C6EB}"/>
    <cellStyle name="Normal 8 2 4 9" xfId="9079" xr:uid="{2F5FD6BF-4F2E-4CCA-A287-32C8A64D2E0B}"/>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F2AD4647-B9BD-43FB-B9C6-A1F7A96F15B9}"/>
    <cellStyle name="Normal 8 2 5 2 2 3" xfId="11639" xr:uid="{76FB6F4E-19D1-46F3-BF09-35CF9F7A2F9F}"/>
    <cellStyle name="Normal 8 2 5 2 3" xfId="5273" xr:uid="{00000000-0005-0000-0000-00000F1D0000}"/>
    <cellStyle name="Normal 8 2 5 2 3 2" xfId="13712" xr:uid="{B54D0317-A34C-4597-BB05-F27146426D14}"/>
    <cellStyle name="Normal 8 2 5 2 4" xfId="9494" xr:uid="{7E26A062-892D-4B9C-B7FA-87ECEA1E8F1A}"/>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0F980F36-8A46-4F33-B2D2-BD1BE16A7C39}"/>
    <cellStyle name="Normal 8 2 5 3 2 3" xfId="12052" xr:uid="{9A9A04C0-733B-47BE-AC1D-FB4427D5496C}"/>
    <cellStyle name="Normal 8 2 5 3 3" xfId="5686" xr:uid="{00000000-0005-0000-0000-0000131D0000}"/>
    <cellStyle name="Normal 8 2 5 3 3 2" xfId="14125" xr:uid="{71C9CA59-6425-4981-8B1A-1DBF1C71F5B3}"/>
    <cellStyle name="Normal 8 2 5 3 4" xfId="9907" xr:uid="{F4F8B23F-015B-4F8D-94AC-579C24DC8E2B}"/>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32F0F54B-7252-4D18-9C2B-6FF63D70A665}"/>
    <cellStyle name="Normal 8 2 5 4 2 3" xfId="12465" xr:uid="{B4E43E15-3B02-4FB3-AB7B-58AF1F27596D}"/>
    <cellStyle name="Normal 8 2 5 4 3" xfId="6099" xr:uid="{00000000-0005-0000-0000-0000171D0000}"/>
    <cellStyle name="Normal 8 2 5 4 3 2" xfId="14538" xr:uid="{45148E7A-9D43-49D5-AD8C-51223504ADB1}"/>
    <cellStyle name="Normal 8 2 5 4 4" xfId="10320" xr:uid="{0B035E6F-A4A8-42E9-93D3-DF3900EEDAF2}"/>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AF895B88-4E96-4EEE-9EF6-E64B41A6D5C0}"/>
    <cellStyle name="Normal 8 2 5 5 2 3" xfId="12878" xr:uid="{574D3162-0565-46C5-8FB8-2A0B5BCE40AF}"/>
    <cellStyle name="Normal 8 2 5 5 3" xfId="6512" xr:uid="{00000000-0005-0000-0000-00001B1D0000}"/>
    <cellStyle name="Normal 8 2 5 5 3 2" xfId="14951" xr:uid="{D092218A-A4D5-4A1C-A921-90BD05A9E423}"/>
    <cellStyle name="Normal 8 2 5 5 4" xfId="10733" xr:uid="{074FC849-C9A9-4D76-9BA7-592ADE460842}"/>
    <cellStyle name="Normal 8 2 5 6" xfId="2641" xr:uid="{00000000-0005-0000-0000-00001C1D0000}"/>
    <cellStyle name="Normal 8 2 5 6 2" xfId="6925" xr:uid="{00000000-0005-0000-0000-00001D1D0000}"/>
    <cellStyle name="Normal 8 2 5 6 2 2" xfId="15364" xr:uid="{012B5F4A-46F4-490F-AFC8-C834CF74F0D5}"/>
    <cellStyle name="Normal 8 2 5 6 3" xfId="11146" xr:uid="{352B218C-B4BF-49CA-9875-2198B58232C0}"/>
    <cellStyle name="Normal 8 2 5 7" xfId="4860" xr:uid="{00000000-0005-0000-0000-00001E1D0000}"/>
    <cellStyle name="Normal 8 2 5 7 2" xfId="13299" xr:uid="{7B0C2118-8BC7-4132-BF32-3E18BC340F29}"/>
    <cellStyle name="Normal 8 2 5 8" xfId="9081" xr:uid="{05F1E976-DD4B-4A6C-BE2B-F7257BA47331}"/>
    <cellStyle name="Normal 8 2 6" xfId="946" xr:uid="{00000000-0005-0000-0000-00001F1D0000}"/>
    <cellStyle name="Normal 8 2 6 2" xfId="3180" xr:uid="{00000000-0005-0000-0000-0000201D0000}"/>
    <cellStyle name="Normal 8 2 6 2 2" xfId="7403" xr:uid="{00000000-0005-0000-0000-0000211D0000}"/>
    <cellStyle name="Normal 8 2 6 2 2 2" xfId="15842" xr:uid="{F165BF70-AF56-4EC7-9242-2CC90231CB18}"/>
    <cellStyle name="Normal 8 2 6 2 3" xfId="11624" xr:uid="{D8473FAD-7C32-4957-9D92-01ABDCFD44C6}"/>
    <cellStyle name="Normal 8 2 6 3" xfId="5258" xr:uid="{00000000-0005-0000-0000-0000221D0000}"/>
    <cellStyle name="Normal 8 2 6 3 2" xfId="13697" xr:uid="{7BF9B772-4517-4CAC-BED2-EBFA4C6F2F89}"/>
    <cellStyle name="Normal 8 2 6 4" xfId="9479" xr:uid="{77DEBC48-E257-4EC6-ABB1-6B3EB4C544CE}"/>
    <cellStyle name="Normal 8 2 7" xfId="1363" xr:uid="{00000000-0005-0000-0000-0000231D0000}"/>
    <cellStyle name="Normal 8 2 7 2" xfId="3593" xr:uid="{00000000-0005-0000-0000-0000241D0000}"/>
    <cellStyle name="Normal 8 2 7 2 2" xfId="7816" xr:uid="{00000000-0005-0000-0000-0000251D0000}"/>
    <cellStyle name="Normal 8 2 7 2 2 2" xfId="16255" xr:uid="{0DE45B57-6D8F-4488-B58A-FA43FC094075}"/>
    <cellStyle name="Normal 8 2 7 2 3" xfId="12037" xr:uid="{879663E2-DAF6-456F-8CF5-3708990563F7}"/>
    <cellStyle name="Normal 8 2 7 3" xfId="5671" xr:uid="{00000000-0005-0000-0000-0000261D0000}"/>
    <cellStyle name="Normal 8 2 7 3 2" xfId="14110" xr:uid="{2E6BE437-CDBF-4413-9DD4-589F27F89088}"/>
    <cellStyle name="Normal 8 2 7 4" xfId="9892" xr:uid="{F46E9C19-8138-470D-B4E5-1D7C2ABE0C22}"/>
    <cellStyle name="Normal 8 2 8" xfId="1776" xr:uid="{00000000-0005-0000-0000-0000271D0000}"/>
    <cellStyle name="Normal 8 2 8 2" xfId="4006" xr:uid="{00000000-0005-0000-0000-0000281D0000}"/>
    <cellStyle name="Normal 8 2 8 2 2" xfId="8229" xr:uid="{00000000-0005-0000-0000-0000291D0000}"/>
    <cellStyle name="Normal 8 2 8 2 2 2" xfId="16668" xr:uid="{19C76515-6A48-4E08-8819-D623EBC55B2B}"/>
    <cellStyle name="Normal 8 2 8 2 3" xfId="12450" xr:uid="{1C1FA711-DAE2-4910-98F4-2EEFBC44AB23}"/>
    <cellStyle name="Normal 8 2 8 3" xfId="6084" xr:uid="{00000000-0005-0000-0000-00002A1D0000}"/>
    <cellStyle name="Normal 8 2 8 3 2" xfId="14523" xr:uid="{EA2A0F1D-AE84-4461-A450-CAEF64957101}"/>
    <cellStyle name="Normal 8 2 8 4" xfId="10305" xr:uid="{57141596-5530-4279-B7BF-38E1A0B142D4}"/>
    <cellStyle name="Normal 8 2 9" xfId="2190" xr:uid="{00000000-0005-0000-0000-00002B1D0000}"/>
    <cellStyle name="Normal 8 2 9 2" xfId="4419" xr:uid="{00000000-0005-0000-0000-00002C1D0000}"/>
    <cellStyle name="Normal 8 2 9 2 2" xfId="8642" xr:uid="{00000000-0005-0000-0000-00002D1D0000}"/>
    <cellStyle name="Normal 8 2 9 2 2 2" xfId="17081" xr:uid="{4AC2B3C8-EC25-421C-8646-8658FF3942E6}"/>
    <cellStyle name="Normal 8 2 9 2 3" xfId="12863" xr:uid="{B2A15C7F-22EA-4EBD-8320-5D3F3493B822}"/>
    <cellStyle name="Normal 8 2 9 3" xfId="6497" xr:uid="{00000000-0005-0000-0000-00002E1D0000}"/>
    <cellStyle name="Normal 8 2 9 3 2" xfId="14936" xr:uid="{B40610B8-2C5E-40B6-8BB6-15B22596EC24}"/>
    <cellStyle name="Normal 8 2 9 4" xfId="10718" xr:uid="{B8A1D945-6C53-4082-A936-1CE93C02BC16}"/>
    <cellStyle name="Normal 8 3" xfId="495" xr:uid="{00000000-0005-0000-0000-00002F1D0000}"/>
    <cellStyle name="Normal 8 3 10" xfId="4861" xr:uid="{00000000-0005-0000-0000-0000301D0000}"/>
    <cellStyle name="Normal 8 3 10 2" xfId="13300" xr:uid="{DFDACD91-BCC5-4FA5-BD45-0CFF193903CA}"/>
    <cellStyle name="Normal 8 3 11" xfId="9082" xr:uid="{D35B77A4-949C-4FD3-A76A-3599CBDE4C82}"/>
    <cellStyle name="Normal 8 3 2" xfId="496" xr:uid="{00000000-0005-0000-0000-0000311D0000}"/>
    <cellStyle name="Normal 8 3 2 10" xfId="9083" xr:uid="{44BAD9D5-CFC9-4B29-BB85-D6E350E980F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E27E0897-B66F-43F2-AD84-7544C33CE00D}"/>
    <cellStyle name="Normal 8 3 2 2 2 2 2 3" xfId="11643" xr:uid="{11C56EF4-188B-490C-9BCA-16D75B5B23FF}"/>
    <cellStyle name="Normal 8 3 2 2 2 2 3" xfId="5277" xr:uid="{00000000-0005-0000-0000-0000371D0000}"/>
    <cellStyle name="Normal 8 3 2 2 2 2 3 2" xfId="13716" xr:uid="{04EFA93B-E2E2-4682-AB72-E799D9969E1E}"/>
    <cellStyle name="Normal 8 3 2 2 2 2 4" xfId="9498" xr:uid="{94AD1A93-EAA1-4489-A6C0-5E33A4AAA879}"/>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C849174D-39FF-440A-8D41-21F6739C6F98}"/>
    <cellStyle name="Normal 8 3 2 2 2 3 2 3" xfId="12056" xr:uid="{922414EA-22F3-44D0-85C0-25FAB417516C}"/>
    <cellStyle name="Normal 8 3 2 2 2 3 3" xfId="5690" xr:uid="{00000000-0005-0000-0000-00003B1D0000}"/>
    <cellStyle name="Normal 8 3 2 2 2 3 3 2" xfId="14129" xr:uid="{695764C7-A6C1-40A1-8319-13F717047F10}"/>
    <cellStyle name="Normal 8 3 2 2 2 3 4" xfId="9911" xr:uid="{24C3A999-8E6A-44C4-8990-C984A5FE306B}"/>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F484CA2B-9A54-4824-8CB1-159FDDB8D590}"/>
    <cellStyle name="Normal 8 3 2 2 2 4 2 3" xfId="12469" xr:uid="{53AC494A-C335-473C-86A6-FDDBFA7E9841}"/>
    <cellStyle name="Normal 8 3 2 2 2 4 3" xfId="6103" xr:uid="{00000000-0005-0000-0000-00003F1D0000}"/>
    <cellStyle name="Normal 8 3 2 2 2 4 3 2" xfId="14542" xr:uid="{B793704F-012F-40C4-B9A0-365D32A0E459}"/>
    <cellStyle name="Normal 8 3 2 2 2 4 4" xfId="10324" xr:uid="{9AB233FE-90D8-4526-A7EF-12D403FE4729}"/>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88DF804E-4D5A-4421-806A-038A02514E6A}"/>
    <cellStyle name="Normal 8 3 2 2 2 5 2 3" xfId="12882" xr:uid="{15D87C51-61F3-4E37-84CC-C65BA1B5179D}"/>
    <cellStyle name="Normal 8 3 2 2 2 5 3" xfId="6516" xr:uid="{00000000-0005-0000-0000-0000431D0000}"/>
    <cellStyle name="Normal 8 3 2 2 2 5 3 2" xfId="14955" xr:uid="{80F178F5-B55D-4000-9056-F0EAB26F2CE7}"/>
    <cellStyle name="Normal 8 3 2 2 2 5 4" xfId="10737" xr:uid="{BCCB22F6-EE7A-4DAA-BE6D-C82DCCDFD561}"/>
    <cellStyle name="Normal 8 3 2 2 2 6" xfId="2645" xr:uid="{00000000-0005-0000-0000-0000441D0000}"/>
    <cellStyle name="Normal 8 3 2 2 2 6 2" xfId="6929" xr:uid="{00000000-0005-0000-0000-0000451D0000}"/>
    <cellStyle name="Normal 8 3 2 2 2 6 2 2" xfId="15368" xr:uid="{8C7EF65B-B084-43C8-B870-DCB34C315451}"/>
    <cellStyle name="Normal 8 3 2 2 2 6 3" xfId="11150" xr:uid="{69129BE1-24E1-455E-B24F-CEF1665BFF80}"/>
    <cellStyle name="Normal 8 3 2 2 2 7" xfId="4864" xr:uid="{00000000-0005-0000-0000-0000461D0000}"/>
    <cellStyle name="Normal 8 3 2 2 2 7 2" xfId="13303" xr:uid="{FC84662C-8F04-4AAE-9E0D-84156A10612A}"/>
    <cellStyle name="Normal 8 3 2 2 2 8" xfId="9085" xr:uid="{8A5F462F-647C-4132-A087-7B69A795A504}"/>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83128282-B9BF-4A19-9E57-D7BB9C1C77A3}"/>
    <cellStyle name="Normal 8 3 2 2 3 2 3" xfId="11642" xr:uid="{2CC2982D-CE98-463C-A54C-97E286A7D081}"/>
    <cellStyle name="Normal 8 3 2 2 3 3" xfId="5276" xr:uid="{00000000-0005-0000-0000-00004A1D0000}"/>
    <cellStyle name="Normal 8 3 2 2 3 3 2" xfId="13715" xr:uid="{22A5996C-E6E8-4E27-B600-AAD88453DF1B}"/>
    <cellStyle name="Normal 8 3 2 2 3 4" xfId="9497" xr:uid="{0227AA45-0974-41B9-BE3D-6D40B06B383A}"/>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3A6CED49-B3BF-4335-94BC-C7C02217C0B3}"/>
    <cellStyle name="Normal 8 3 2 2 4 2 3" xfId="12055" xr:uid="{AEB46303-196E-498D-A9BB-87AE68BC0C86}"/>
    <cellStyle name="Normal 8 3 2 2 4 3" xfId="5689" xr:uid="{00000000-0005-0000-0000-00004E1D0000}"/>
    <cellStyle name="Normal 8 3 2 2 4 3 2" xfId="14128" xr:uid="{C24A6F34-FAE3-4688-8B4F-B894DCD7F465}"/>
    <cellStyle name="Normal 8 3 2 2 4 4" xfId="9910" xr:uid="{AE00C120-2652-4CB2-8556-704192EC2B29}"/>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24A40D57-C443-4C93-A50E-50613592DB51}"/>
    <cellStyle name="Normal 8 3 2 2 5 2 3" xfId="12468" xr:uid="{DEF9070A-4CD6-47E9-9F6B-CEC30827CEEA}"/>
    <cellStyle name="Normal 8 3 2 2 5 3" xfId="6102" xr:uid="{00000000-0005-0000-0000-0000521D0000}"/>
    <cellStyle name="Normal 8 3 2 2 5 3 2" xfId="14541" xr:uid="{9C4BA284-EFB1-4B89-AE1E-88B882979B9F}"/>
    <cellStyle name="Normal 8 3 2 2 5 4" xfId="10323" xr:uid="{C8CE3AD2-98AF-4CAE-8631-AB16E65E48A5}"/>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51FB4255-31FD-46C3-BB8F-A9140668DCE8}"/>
    <cellStyle name="Normal 8 3 2 2 6 2 3" xfId="12881" xr:uid="{AC16BD74-A9B3-4AC3-8329-1528A7F5B879}"/>
    <cellStyle name="Normal 8 3 2 2 6 3" xfId="6515" xr:uid="{00000000-0005-0000-0000-0000561D0000}"/>
    <cellStyle name="Normal 8 3 2 2 6 3 2" xfId="14954" xr:uid="{3BFBE93F-727B-4210-AC07-25FCAC25377B}"/>
    <cellStyle name="Normal 8 3 2 2 6 4" xfId="10736" xr:uid="{0088E914-35E9-4611-BF57-B26BB2FD685C}"/>
    <cellStyle name="Normal 8 3 2 2 7" xfId="2644" xr:uid="{00000000-0005-0000-0000-0000571D0000}"/>
    <cellStyle name="Normal 8 3 2 2 7 2" xfId="6928" xr:uid="{00000000-0005-0000-0000-0000581D0000}"/>
    <cellStyle name="Normal 8 3 2 2 7 2 2" xfId="15367" xr:uid="{14016A4A-28A7-4C82-B221-73C2D9BB7455}"/>
    <cellStyle name="Normal 8 3 2 2 7 3" xfId="11149" xr:uid="{F77F4E48-3BFE-4A36-925C-C907D544B8D8}"/>
    <cellStyle name="Normal 8 3 2 2 8" xfId="4863" xr:uid="{00000000-0005-0000-0000-0000591D0000}"/>
    <cellStyle name="Normal 8 3 2 2 8 2" xfId="13302" xr:uid="{F69B8903-E4C0-4F8A-83B4-0F7D590E786E}"/>
    <cellStyle name="Normal 8 3 2 2 9" xfId="9084" xr:uid="{92122E7A-D974-463D-81DC-8AA1F54D06EF}"/>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B3EF0208-EAC9-4FAD-B0BC-7F85C52046F6}"/>
    <cellStyle name="Normal 8 3 2 3 2 2 3" xfId="11644" xr:uid="{D7715F83-BBDE-45F5-851F-1C624D05402C}"/>
    <cellStyle name="Normal 8 3 2 3 2 3" xfId="5278" xr:uid="{00000000-0005-0000-0000-00005E1D0000}"/>
    <cellStyle name="Normal 8 3 2 3 2 3 2" xfId="13717" xr:uid="{98DD3744-D19B-477F-BEFB-7F04FF9FBDBD}"/>
    <cellStyle name="Normal 8 3 2 3 2 4" xfId="9499" xr:uid="{F19CA5E9-4CE1-4FB8-A4F9-09BCE40D1A84}"/>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67B19D12-3F99-4D1D-8EDE-FF1862B2350B}"/>
    <cellStyle name="Normal 8 3 2 3 3 2 3" xfId="12057" xr:uid="{CC1B45FA-31AE-44A4-98D8-E8F40C220640}"/>
    <cellStyle name="Normal 8 3 2 3 3 3" xfId="5691" xr:uid="{00000000-0005-0000-0000-0000621D0000}"/>
    <cellStyle name="Normal 8 3 2 3 3 3 2" xfId="14130" xr:uid="{242CC780-53E6-4BC5-AA7C-7DC230C0BA4E}"/>
    <cellStyle name="Normal 8 3 2 3 3 4" xfId="9912" xr:uid="{D7FF1FD8-A6E9-43A4-87CB-BBF1D2D7936B}"/>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1350193E-0D32-48B4-970D-83402FC5A897}"/>
    <cellStyle name="Normal 8 3 2 3 4 2 3" xfId="12470" xr:uid="{D28947E4-E094-4F2D-BBCC-C5C3A2548A44}"/>
    <cellStyle name="Normal 8 3 2 3 4 3" xfId="6104" xr:uid="{00000000-0005-0000-0000-0000661D0000}"/>
    <cellStyle name="Normal 8 3 2 3 4 3 2" xfId="14543" xr:uid="{FA2CAC94-0B8D-4382-8544-4ED5ADD9C953}"/>
    <cellStyle name="Normal 8 3 2 3 4 4" xfId="10325" xr:uid="{0A5C3B3B-E582-41CA-AEDE-1BC098547BC2}"/>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B3CDF3BB-0A8B-4CBF-8F29-9464B0DD5473}"/>
    <cellStyle name="Normal 8 3 2 3 5 2 3" xfId="12883" xr:uid="{951663E3-79AA-49C1-9D94-C47DC88015EF}"/>
    <cellStyle name="Normal 8 3 2 3 5 3" xfId="6517" xr:uid="{00000000-0005-0000-0000-00006A1D0000}"/>
    <cellStyle name="Normal 8 3 2 3 5 3 2" xfId="14956" xr:uid="{767240DC-B9EC-4CC2-BC50-BDD07FD0CF02}"/>
    <cellStyle name="Normal 8 3 2 3 5 4" xfId="10738" xr:uid="{2E679958-D671-4AC8-88EE-F171F19AF7FE}"/>
    <cellStyle name="Normal 8 3 2 3 6" xfId="2646" xr:uid="{00000000-0005-0000-0000-00006B1D0000}"/>
    <cellStyle name="Normal 8 3 2 3 6 2" xfId="6930" xr:uid="{00000000-0005-0000-0000-00006C1D0000}"/>
    <cellStyle name="Normal 8 3 2 3 6 2 2" xfId="15369" xr:uid="{9003FD3F-4A39-4B61-839C-80468DE99BD9}"/>
    <cellStyle name="Normal 8 3 2 3 6 3" xfId="11151" xr:uid="{58CABF58-2030-4E7E-A945-CF593AF9F91C}"/>
    <cellStyle name="Normal 8 3 2 3 7" xfId="4865" xr:uid="{00000000-0005-0000-0000-00006D1D0000}"/>
    <cellStyle name="Normal 8 3 2 3 7 2" xfId="13304" xr:uid="{6C079E1D-483C-43B9-8026-8BFD9C655702}"/>
    <cellStyle name="Normal 8 3 2 3 8" xfId="9086" xr:uid="{C982507E-E521-4E6B-B2C0-C791D32493D9}"/>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0086AF30-25BC-4BE3-A947-DF11AFDDD85A}"/>
    <cellStyle name="Normal 8 3 2 4 2 3" xfId="11641" xr:uid="{9A4FCD06-BB9F-435A-A17F-B9AF27AA2E08}"/>
    <cellStyle name="Normal 8 3 2 4 3" xfId="5275" xr:uid="{00000000-0005-0000-0000-0000711D0000}"/>
    <cellStyle name="Normal 8 3 2 4 3 2" xfId="13714" xr:uid="{A6776B30-E849-4C9E-AAB5-ED2B6CA6B903}"/>
    <cellStyle name="Normal 8 3 2 4 4" xfId="9496" xr:uid="{162F96E6-7146-4B52-B670-943A9A76769B}"/>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C6A5E770-17CA-4F11-BB92-26BA24128D75}"/>
    <cellStyle name="Normal 8 3 2 5 2 3" xfId="12054" xr:uid="{CCC78C41-02F0-44B6-A567-51A89392154A}"/>
    <cellStyle name="Normal 8 3 2 5 3" xfId="5688" xr:uid="{00000000-0005-0000-0000-0000751D0000}"/>
    <cellStyle name="Normal 8 3 2 5 3 2" xfId="14127" xr:uid="{655AC931-205B-422A-B3C8-9A440535FC7C}"/>
    <cellStyle name="Normal 8 3 2 5 4" xfId="9909" xr:uid="{E247D9EC-BBF1-480E-AD9A-250EA54AEE4F}"/>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0AFBD641-4B9D-4FB7-9177-EA11EDE5505C}"/>
    <cellStyle name="Normal 8 3 2 6 2 3" xfId="12467" xr:uid="{AFB549C6-258E-4D28-8EA1-3CB6957AEE90}"/>
    <cellStyle name="Normal 8 3 2 6 3" xfId="6101" xr:uid="{00000000-0005-0000-0000-0000791D0000}"/>
    <cellStyle name="Normal 8 3 2 6 3 2" xfId="14540" xr:uid="{49234100-4BDD-4F17-9E12-9C1F7955ADE7}"/>
    <cellStyle name="Normal 8 3 2 6 4" xfId="10322" xr:uid="{F95B5387-A5FE-451E-9270-8CE7B8879242}"/>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EDCBEF81-D2D6-4DD4-9D6E-203F56A697BF}"/>
    <cellStyle name="Normal 8 3 2 7 2 3" xfId="12880" xr:uid="{413F2D4B-5521-4F16-A1E0-A49F9BB81C89}"/>
    <cellStyle name="Normal 8 3 2 7 3" xfId="6514" xr:uid="{00000000-0005-0000-0000-00007D1D0000}"/>
    <cellStyle name="Normal 8 3 2 7 3 2" xfId="14953" xr:uid="{7DB9169A-83AA-4860-A405-BFA21775FDE3}"/>
    <cellStyle name="Normal 8 3 2 7 4" xfId="10735" xr:uid="{8C582BF3-1B44-4C22-A704-6339D2C4092E}"/>
    <cellStyle name="Normal 8 3 2 8" xfId="2643" xr:uid="{00000000-0005-0000-0000-00007E1D0000}"/>
    <cellStyle name="Normal 8 3 2 8 2" xfId="6927" xr:uid="{00000000-0005-0000-0000-00007F1D0000}"/>
    <cellStyle name="Normal 8 3 2 8 2 2" xfId="15366" xr:uid="{71B8538D-F76C-44CA-A7A8-4089E3BB5F08}"/>
    <cellStyle name="Normal 8 3 2 8 3" xfId="11148" xr:uid="{6818FC93-2DF9-4313-AC81-70CA0913D755}"/>
    <cellStyle name="Normal 8 3 2 9" xfId="4862" xr:uid="{00000000-0005-0000-0000-0000801D0000}"/>
    <cellStyle name="Normal 8 3 2 9 2" xfId="13301" xr:uid="{9BE2D7FC-BEC9-4297-AEF0-608657DDDA6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682A7EB6-32A1-437D-9DAA-3699BFDE9F53}"/>
    <cellStyle name="Normal 8 3 3 2 2 2 3" xfId="11646" xr:uid="{0046E704-EB11-479A-A1D4-539899D0A96D}"/>
    <cellStyle name="Normal 8 3 3 2 2 3" xfId="5280" xr:uid="{00000000-0005-0000-0000-0000861D0000}"/>
    <cellStyle name="Normal 8 3 3 2 2 3 2" xfId="13719" xr:uid="{E3A48779-CC92-4B45-9CB2-C0E4501A0420}"/>
    <cellStyle name="Normal 8 3 3 2 2 4" xfId="9501" xr:uid="{82265E71-5E8D-4C60-89CB-D39276070BB9}"/>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43DD2A95-C94E-4911-9F42-5ED95C8276D2}"/>
    <cellStyle name="Normal 8 3 3 2 3 2 3" xfId="12059" xr:uid="{2D08CBA5-3CA0-4A4A-B8E6-0116F1868F04}"/>
    <cellStyle name="Normal 8 3 3 2 3 3" xfId="5693" xr:uid="{00000000-0005-0000-0000-00008A1D0000}"/>
    <cellStyle name="Normal 8 3 3 2 3 3 2" xfId="14132" xr:uid="{FAFFE4F5-096B-45F7-A420-36152E6C5EE5}"/>
    <cellStyle name="Normal 8 3 3 2 3 4" xfId="9914" xr:uid="{172A77ED-3AB5-430F-B499-DE56CDEA1148}"/>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2A3444A6-A093-4E1D-9CA2-D1CF515BCB04}"/>
    <cellStyle name="Normal 8 3 3 2 4 2 3" xfId="12472" xr:uid="{F0AFCC58-FEBA-4618-B150-59AEADF687A2}"/>
    <cellStyle name="Normal 8 3 3 2 4 3" xfId="6106" xr:uid="{00000000-0005-0000-0000-00008E1D0000}"/>
    <cellStyle name="Normal 8 3 3 2 4 3 2" xfId="14545" xr:uid="{27A27448-FDBA-46A3-B49D-FE4CD670C9E3}"/>
    <cellStyle name="Normal 8 3 3 2 4 4" xfId="10327" xr:uid="{EBD84ACC-0D30-4543-899A-78E5A11A2D06}"/>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577451AA-9A40-49ED-B76F-FA90B9DDDA6C}"/>
    <cellStyle name="Normal 8 3 3 2 5 2 3" xfId="12885" xr:uid="{32B911F4-0846-4EE0-9F37-B8CAAA8DD962}"/>
    <cellStyle name="Normal 8 3 3 2 5 3" xfId="6519" xr:uid="{00000000-0005-0000-0000-0000921D0000}"/>
    <cellStyle name="Normal 8 3 3 2 5 3 2" xfId="14958" xr:uid="{735A6E9C-F2B6-409D-BA88-A2D8CA717A35}"/>
    <cellStyle name="Normal 8 3 3 2 5 4" xfId="10740" xr:uid="{6AD37C65-866D-4160-BDF4-3FD8A4B00624}"/>
    <cellStyle name="Normal 8 3 3 2 6" xfId="2648" xr:uid="{00000000-0005-0000-0000-0000931D0000}"/>
    <cellStyle name="Normal 8 3 3 2 6 2" xfId="6932" xr:uid="{00000000-0005-0000-0000-0000941D0000}"/>
    <cellStyle name="Normal 8 3 3 2 6 2 2" xfId="15371" xr:uid="{699AC295-50CF-40BD-86DE-BB2B04D97685}"/>
    <cellStyle name="Normal 8 3 3 2 6 3" xfId="11153" xr:uid="{ABB3AD5E-E320-47E8-B9EE-8E9F70890D6C}"/>
    <cellStyle name="Normal 8 3 3 2 7" xfId="4867" xr:uid="{00000000-0005-0000-0000-0000951D0000}"/>
    <cellStyle name="Normal 8 3 3 2 7 2" xfId="13306" xr:uid="{E9AA8CD1-D7DA-4D2B-AB83-9EB2E09BF339}"/>
    <cellStyle name="Normal 8 3 3 2 8" xfId="9088" xr:uid="{C1BCACCC-6008-4147-9222-98D0060AD5A3}"/>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C453FE04-A60D-4F14-AC8C-B05585F4932C}"/>
    <cellStyle name="Normal 8 3 3 3 2 3" xfId="11645" xr:uid="{9DFA24C6-CE7B-4F71-BC91-30C704E0EB0D}"/>
    <cellStyle name="Normal 8 3 3 3 3" xfId="5279" xr:uid="{00000000-0005-0000-0000-0000991D0000}"/>
    <cellStyle name="Normal 8 3 3 3 3 2" xfId="13718" xr:uid="{7255B21A-4F7C-4C8D-800A-5048329F3422}"/>
    <cellStyle name="Normal 8 3 3 3 4" xfId="9500" xr:uid="{CCA278A2-F3CC-4EC6-ABE3-0D3006D4308C}"/>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CC458C2C-D3E3-4F2C-9104-85B33A1EAF20}"/>
    <cellStyle name="Normal 8 3 3 4 2 3" xfId="12058" xr:uid="{AFED681E-C7DE-49F9-92A1-7EEB34C63439}"/>
    <cellStyle name="Normal 8 3 3 4 3" xfId="5692" xr:uid="{00000000-0005-0000-0000-00009D1D0000}"/>
    <cellStyle name="Normal 8 3 3 4 3 2" xfId="14131" xr:uid="{6FA3E335-81B2-4285-97F8-92F5A676E2C7}"/>
    <cellStyle name="Normal 8 3 3 4 4" xfId="9913" xr:uid="{23C1FDE0-7447-4FD8-8A52-AA831BFCAC7D}"/>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66D53955-6C9F-41AC-822C-713838387762}"/>
    <cellStyle name="Normal 8 3 3 5 2 3" xfId="12471" xr:uid="{8ADE28A7-991A-4112-9E53-42C5F70D4FF6}"/>
    <cellStyle name="Normal 8 3 3 5 3" xfId="6105" xr:uid="{00000000-0005-0000-0000-0000A11D0000}"/>
    <cellStyle name="Normal 8 3 3 5 3 2" xfId="14544" xr:uid="{A35E2FF5-8B21-4066-8456-3566D2592FB5}"/>
    <cellStyle name="Normal 8 3 3 5 4" xfId="10326" xr:uid="{EB5557AC-9134-4C66-991C-EF60D7ED7385}"/>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EE132376-9960-4D8B-8D5E-F271F3D8ABC0}"/>
    <cellStyle name="Normal 8 3 3 6 2 3" xfId="12884" xr:uid="{7E72AFF5-E24E-42A8-97B2-49BEE2D745D6}"/>
    <cellStyle name="Normal 8 3 3 6 3" xfId="6518" xr:uid="{00000000-0005-0000-0000-0000A51D0000}"/>
    <cellStyle name="Normal 8 3 3 6 3 2" xfId="14957" xr:uid="{E0603C42-43C2-4C2C-8970-FFA3D17CA997}"/>
    <cellStyle name="Normal 8 3 3 6 4" xfId="10739" xr:uid="{89C3756C-253D-4B75-A4D5-4D47522B8232}"/>
    <cellStyle name="Normal 8 3 3 7" xfId="2647" xr:uid="{00000000-0005-0000-0000-0000A61D0000}"/>
    <cellStyle name="Normal 8 3 3 7 2" xfId="6931" xr:uid="{00000000-0005-0000-0000-0000A71D0000}"/>
    <cellStyle name="Normal 8 3 3 7 2 2" xfId="15370" xr:uid="{748142EB-451A-42ED-8C5C-DB7D1B723C02}"/>
    <cellStyle name="Normal 8 3 3 7 3" xfId="11152" xr:uid="{154A38A3-39FA-4902-8171-2D8119682C64}"/>
    <cellStyle name="Normal 8 3 3 8" xfId="4866" xr:uid="{00000000-0005-0000-0000-0000A81D0000}"/>
    <cellStyle name="Normal 8 3 3 8 2" xfId="13305" xr:uid="{0CEC7F74-6CE5-4167-B171-FC64F42CAE7F}"/>
    <cellStyle name="Normal 8 3 3 9" xfId="9087" xr:uid="{26D5D6C6-B116-48E4-95DB-F4C84327C70F}"/>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FF2CE570-5F2C-43FC-AE69-78BEC3E897CF}"/>
    <cellStyle name="Normal 8 3 4 2 2 3" xfId="11647" xr:uid="{86DE6E99-C01D-4275-84C6-820D89A2D65E}"/>
    <cellStyle name="Normal 8 3 4 2 3" xfId="5281" xr:uid="{00000000-0005-0000-0000-0000AD1D0000}"/>
    <cellStyle name="Normal 8 3 4 2 3 2" xfId="13720" xr:uid="{AEF1A11F-6B66-4EA8-A8D4-F6061BA9CB6B}"/>
    <cellStyle name="Normal 8 3 4 2 4" xfId="9502" xr:uid="{C58155BA-B41A-4E18-B8A8-FFE8E96CE4B7}"/>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C329DE0B-B82B-4974-99B9-07883C8A9235}"/>
    <cellStyle name="Normal 8 3 4 3 2 3" xfId="12060" xr:uid="{CC79F3EF-35C6-4C7E-B76B-397F6B986335}"/>
    <cellStyle name="Normal 8 3 4 3 3" xfId="5694" xr:uid="{00000000-0005-0000-0000-0000B11D0000}"/>
    <cellStyle name="Normal 8 3 4 3 3 2" xfId="14133" xr:uid="{BC6E4445-5313-4EAC-BB21-DA622A59BB27}"/>
    <cellStyle name="Normal 8 3 4 3 4" xfId="9915" xr:uid="{95450809-3EF9-4E52-9915-663CBAEC1354}"/>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16C48D4A-22D3-4828-BDB7-9BE55B443954}"/>
    <cellStyle name="Normal 8 3 4 4 2 3" xfId="12473" xr:uid="{5A697E25-0627-4511-87DD-774A0D2996F9}"/>
    <cellStyle name="Normal 8 3 4 4 3" xfId="6107" xr:uid="{00000000-0005-0000-0000-0000B51D0000}"/>
    <cellStyle name="Normal 8 3 4 4 3 2" xfId="14546" xr:uid="{FEA1ACDE-D670-4C5F-AE64-9CF52E942CAD}"/>
    <cellStyle name="Normal 8 3 4 4 4" xfId="10328" xr:uid="{68483FE3-AB59-4B51-A72C-F2F4E5A73AF1}"/>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FAFF1601-82CB-4D3C-BD61-8029572A41B1}"/>
    <cellStyle name="Normal 8 3 4 5 2 3" xfId="12886" xr:uid="{E87BDC0C-6423-4CE3-BD6B-7C74CC888E73}"/>
    <cellStyle name="Normal 8 3 4 5 3" xfId="6520" xr:uid="{00000000-0005-0000-0000-0000B91D0000}"/>
    <cellStyle name="Normal 8 3 4 5 3 2" xfId="14959" xr:uid="{B7BBCC84-EE8D-4909-A290-D429333C0182}"/>
    <cellStyle name="Normal 8 3 4 5 4" xfId="10741" xr:uid="{C45913FE-DF07-422A-949C-0FC3A40DA352}"/>
    <cellStyle name="Normal 8 3 4 6" xfId="2649" xr:uid="{00000000-0005-0000-0000-0000BA1D0000}"/>
    <cellStyle name="Normal 8 3 4 6 2" xfId="6933" xr:uid="{00000000-0005-0000-0000-0000BB1D0000}"/>
    <cellStyle name="Normal 8 3 4 6 2 2" xfId="15372" xr:uid="{1BE8F4ED-7A69-42F8-B381-2A6737DB676D}"/>
    <cellStyle name="Normal 8 3 4 6 3" xfId="11154" xr:uid="{BE15E839-AED4-4A27-8897-5CD2F2CA893A}"/>
    <cellStyle name="Normal 8 3 4 7" xfId="4868" xr:uid="{00000000-0005-0000-0000-0000BC1D0000}"/>
    <cellStyle name="Normal 8 3 4 7 2" xfId="13307" xr:uid="{69266DFD-D052-4228-B6D3-16FB811153C8}"/>
    <cellStyle name="Normal 8 3 4 8" xfId="9089" xr:uid="{0468B499-CF88-4B82-9DC1-1DAF3916B894}"/>
    <cellStyle name="Normal 8 3 5" xfId="962" xr:uid="{00000000-0005-0000-0000-0000BD1D0000}"/>
    <cellStyle name="Normal 8 3 5 2" xfId="3196" xr:uid="{00000000-0005-0000-0000-0000BE1D0000}"/>
    <cellStyle name="Normal 8 3 5 2 2" xfId="7419" xr:uid="{00000000-0005-0000-0000-0000BF1D0000}"/>
    <cellStyle name="Normal 8 3 5 2 2 2" xfId="15858" xr:uid="{8D01F298-01D4-4A8A-8582-8C8F661C1186}"/>
    <cellStyle name="Normal 8 3 5 2 3" xfId="11640" xr:uid="{9F82F2A5-29D1-4544-BB58-0F08CEFA9907}"/>
    <cellStyle name="Normal 8 3 5 3" xfId="5274" xr:uid="{00000000-0005-0000-0000-0000C01D0000}"/>
    <cellStyle name="Normal 8 3 5 3 2" xfId="13713" xr:uid="{41FDA665-DFCB-4718-A593-C1ED1C760AD0}"/>
    <cellStyle name="Normal 8 3 5 4" xfId="9495" xr:uid="{B6E201E5-51B7-4E8C-B7F5-D0DB9EC27186}"/>
    <cellStyle name="Normal 8 3 6" xfId="1379" xr:uid="{00000000-0005-0000-0000-0000C11D0000}"/>
    <cellStyle name="Normal 8 3 6 2" xfId="3609" xr:uid="{00000000-0005-0000-0000-0000C21D0000}"/>
    <cellStyle name="Normal 8 3 6 2 2" xfId="7832" xr:uid="{00000000-0005-0000-0000-0000C31D0000}"/>
    <cellStyle name="Normal 8 3 6 2 2 2" xfId="16271" xr:uid="{7B1BD315-C4E0-4F8A-874B-1177AA10D6A8}"/>
    <cellStyle name="Normal 8 3 6 2 3" xfId="12053" xr:uid="{C45EDD32-0A82-4ABF-B777-0C510B072D6B}"/>
    <cellStyle name="Normal 8 3 6 3" xfId="5687" xr:uid="{00000000-0005-0000-0000-0000C41D0000}"/>
    <cellStyle name="Normal 8 3 6 3 2" xfId="14126" xr:uid="{68A22AAD-55AA-4F55-9907-07A420810319}"/>
    <cellStyle name="Normal 8 3 6 4" xfId="9908" xr:uid="{D41643B8-84B7-4B57-9A13-BFA5EF8993CC}"/>
    <cellStyle name="Normal 8 3 7" xfId="1792" xr:uid="{00000000-0005-0000-0000-0000C51D0000}"/>
    <cellStyle name="Normal 8 3 7 2" xfId="4022" xr:uid="{00000000-0005-0000-0000-0000C61D0000}"/>
    <cellStyle name="Normal 8 3 7 2 2" xfId="8245" xr:uid="{00000000-0005-0000-0000-0000C71D0000}"/>
    <cellStyle name="Normal 8 3 7 2 2 2" xfId="16684" xr:uid="{2DC7DC89-FCF8-4A49-949F-AF85768AA252}"/>
    <cellStyle name="Normal 8 3 7 2 3" xfId="12466" xr:uid="{C273C867-D5E4-4A35-A133-0E94580AC0F7}"/>
    <cellStyle name="Normal 8 3 7 3" xfId="6100" xr:uid="{00000000-0005-0000-0000-0000C81D0000}"/>
    <cellStyle name="Normal 8 3 7 3 2" xfId="14539" xr:uid="{D92B7A79-270E-4006-9702-5DC719F9A6E5}"/>
    <cellStyle name="Normal 8 3 7 4" xfId="10321" xr:uid="{FF57535F-3595-466D-A5EB-C4BB7771650D}"/>
    <cellStyle name="Normal 8 3 8" xfId="2206" xr:uid="{00000000-0005-0000-0000-0000C91D0000}"/>
    <cellStyle name="Normal 8 3 8 2" xfId="4435" xr:uid="{00000000-0005-0000-0000-0000CA1D0000}"/>
    <cellStyle name="Normal 8 3 8 2 2" xfId="8658" xr:uid="{00000000-0005-0000-0000-0000CB1D0000}"/>
    <cellStyle name="Normal 8 3 8 2 2 2" xfId="17097" xr:uid="{78224E56-2D85-4E4F-95B0-A44AAB61578C}"/>
    <cellStyle name="Normal 8 3 8 2 3" xfId="12879" xr:uid="{3440234C-6D99-4BB0-A706-942ECB706BBC}"/>
    <cellStyle name="Normal 8 3 8 3" xfId="6513" xr:uid="{00000000-0005-0000-0000-0000CC1D0000}"/>
    <cellStyle name="Normal 8 3 8 3 2" xfId="14952" xr:uid="{B9508243-E0C4-4D60-B241-FCED17F8C524}"/>
    <cellStyle name="Normal 8 3 8 4" xfId="10734" xr:uid="{83D30009-6C16-4181-A875-70E195162B39}"/>
    <cellStyle name="Normal 8 3 9" xfId="2642" xr:uid="{00000000-0005-0000-0000-0000CD1D0000}"/>
    <cellStyle name="Normal 8 3 9 2" xfId="6926" xr:uid="{00000000-0005-0000-0000-0000CE1D0000}"/>
    <cellStyle name="Normal 8 3 9 2 2" xfId="15365" xr:uid="{436ACEDD-6DEA-42B2-8CB5-DEA253D3D30D}"/>
    <cellStyle name="Normal 8 3 9 3" xfId="11147" xr:uid="{BCC1B4A3-F501-4204-8F44-CB44E60F5955}"/>
    <cellStyle name="Normal 8 4" xfId="503" xr:uid="{00000000-0005-0000-0000-0000CF1D0000}"/>
    <cellStyle name="Normal 8 4 10" xfId="9090" xr:uid="{A2FAE609-A118-4AF9-BCEA-54035863E59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14A45449-A5D9-448B-AA06-7E619D1AEBFD}"/>
    <cellStyle name="Normal 8 4 2 2 2 2 3" xfId="11650" xr:uid="{6B5846DF-5083-48E7-A273-CA2CCEAF213E}"/>
    <cellStyle name="Normal 8 4 2 2 2 3" xfId="5284" xr:uid="{00000000-0005-0000-0000-0000D51D0000}"/>
    <cellStyle name="Normal 8 4 2 2 2 3 2" xfId="13723" xr:uid="{D8078AA0-7085-4576-8744-B1D622EF9A3E}"/>
    <cellStyle name="Normal 8 4 2 2 2 4" xfId="9505" xr:uid="{8EC4F06E-1F21-4973-BEB5-2C7F4358DBE2}"/>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26ACE127-BDAA-49A2-8122-52D2437B3372}"/>
    <cellStyle name="Normal 8 4 2 2 3 2 3" xfId="12063" xr:uid="{36D4B0D5-691B-450D-B3C9-C8F226C8622D}"/>
    <cellStyle name="Normal 8 4 2 2 3 3" xfId="5697" xr:uid="{00000000-0005-0000-0000-0000D91D0000}"/>
    <cellStyle name="Normal 8 4 2 2 3 3 2" xfId="14136" xr:uid="{C5FD6390-A5F7-40D7-B3F8-9EB120020ADD}"/>
    <cellStyle name="Normal 8 4 2 2 3 4" xfId="9918" xr:uid="{9A18EFD1-8D26-4C36-A406-81B19CE9CA4F}"/>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E3FFE4C7-BA17-4550-AA35-93D52F1878D2}"/>
    <cellStyle name="Normal 8 4 2 2 4 2 3" xfId="12476" xr:uid="{F9849D2A-DF2B-4349-AA5B-2C28B26D02DB}"/>
    <cellStyle name="Normal 8 4 2 2 4 3" xfId="6110" xr:uid="{00000000-0005-0000-0000-0000DD1D0000}"/>
    <cellStyle name="Normal 8 4 2 2 4 3 2" xfId="14549" xr:uid="{A29A092A-811F-4261-A67B-77B5F3B84E1C}"/>
    <cellStyle name="Normal 8 4 2 2 4 4" xfId="10331" xr:uid="{0CCFE39F-EF7C-479A-9820-F3301885C213}"/>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CE86E36C-2F1D-4124-B0CD-03445E42A20F}"/>
    <cellStyle name="Normal 8 4 2 2 5 2 3" xfId="12889" xr:uid="{42321419-652B-4FCB-8685-6EBBD37DA948}"/>
    <cellStyle name="Normal 8 4 2 2 5 3" xfId="6523" xr:uid="{00000000-0005-0000-0000-0000E11D0000}"/>
    <cellStyle name="Normal 8 4 2 2 5 3 2" xfId="14962" xr:uid="{C620A277-9D6C-45EF-8083-AACC74293E79}"/>
    <cellStyle name="Normal 8 4 2 2 5 4" xfId="10744" xr:uid="{7322701A-6F4F-4C4D-B245-E7AE90981A4B}"/>
    <cellStyle name="Normal 8 4 2 2 6" xfId="2652" xr:uid="{00000000-0005-0000-0000-0000E21D0000}"/>
    <cellStyle name="Normal 8 4 2 2 6 2" xfId="6936" xr:uid="{00000000-0005-0000-0000-0000E31D0000}"/>
    <cellStyle name="Normal 8 4 2 2 6 2 2" xfId="15375" xr:uid="{CA6D5722-C50E-4C22-8E07-81263FF21C68}"/>
    <cellStyle name="Normal 8 4 2 2 6 3" xfId="11157" xr:uid="{DABEB8B3-F1BD-4B95-B7F7-BCEFA8E3118C}"/>
    <cellStyle name="Normal 8 4 2 2 7" xfId="4871" xr:uid="{00000000-0005-0000-0000-0000E41D0000}"/>
    <cellStyle name="Normal 8 4 2 2 7 2" xfId="13310" xr:uid="{A2C678CE-EA4D-4AD8-B564-B71D5EF06C83}"/>
    <cellStyle name="Normal 8 4 2 2 8" xfId="9092" xr:uid="{851BD491-87AD-4AEE-84A8-902934FA841D}"/>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D2784F1F-1AD8-4D08-AA6A-E100FD340831}"/>
    <cellStyle name="Normal 8 4 2 3 2 3" xfId="11649" xr:uid="{8014520A-7106-40B0-BFBD-46D6EEABDA17}"/>
    <cellStyle name="Normal 8 4 2 3 3" xfId="5283" xr:uid="{00000000-0005-0000-0000-0000E81D0000}"/>
    <cellStyle name="Normal 8 4 2 3 3 2" xfId="13722" xr:uid="{2BE3F2AD-8F98-4E1D-9DFF-048BEC8FCB6F}"/>
    <cellStyle name="Normal 8 4 2 3 4" xfId="9504" xr:uid="{8F86D701-DC72-4EB6-A7E1-11AEC48969C1}"/>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4372866F-03FC-4DA0-B455-7D0983801222}"/>
    <cellStyle name="Normal 8 4 2 4 2 3" xfId="12062" xr:uid="{DE62C4D4-5128-4B56-BF34-6ADCA9BCF607}"/>
    <cellStyle name="Normal 8 4 2 4 3" xfId="5696" xr:uid="{00000000-0005-0000-0000-0000EC1D0000}"/>
    <cellStyle name="Normal 8 4 2 4 3 2" xfId="14135" xr:uid="{D42EDAEE-E15F-49A3-A838-2F3EEA4355F5}"/>
    <cellStyle name="Normal 8 4 2 4 4" xfId="9917" xr:uid="{7F293C93-91C1-48D9-BF2B-B52BCC29FB60}"/>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30424E7A-9215-421B-BE5B-55FFA9548393}"/>
    <cellStyle name="Normal 8 4 2 5 2 3" xfId="12475" xr:uid="{D860B25B-EB0F-4EB0-892C-DF081C64A5F7}"/>
    <cellStyle name="Normal 8 4 2 5 3" xfId="6109" xr:uid="{00000000-0005-0000-0000-0000F01D0000}"/>
    <cellStyle name="Normal 8 4 2 5 3 2" xfId="14548" xr:uid="{3373C49E-8201-4411-9323-2B260747BBEC}"/>
    <cellStyle name="Normal 8 4 2 5 4" xfId="10330" xr:uid="{38B4B026-CEBD-4872-B76E-3102C476AFFA}"/>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25939E79-227C-46AD-BFA3-D0D7A0C78E17}"/>
    <cellStyle name="Normal 8 4 2 6 2 3" xfId="12888" xr:uid="{74598841-96D4-4B01-B8A0-748E2447BC0C}"/>
    <cellStyle name="Normal 8 4 2 6 3" xfId="6522" xr:uid="{00000000-0005-0000-0000-0000F41D0000}"/>
    <cellStyle name="Normal 8 4 2 6 3 2" xfId="14961" xr:uid="{F695D79C-D8EB-4996-B383-29EFFDF21068}"/>
    <cellStyle name="Normal 8 4 2 6 4" xfId="10743" xr:uid="{AF5F7226-345D-4752-8ADE-7B2157E488C9}"/>
    <cellStyle name="Normal 8 4 2 7" xfId="2651" xr:uid="{00000000-0005-0000-0000-0000F51D0000}"/>
    <cellStyle name="Normal 8 4 2 7 2" xfId="6935" xr:uid="{00000000-0005-0000-0000-0000F61D0000}"/>
    <cellStyle name="Normal 8 4 2 7 2 2" xfId="15374" xr:uid="{8F99EA0C-EBC3-4709-9996-67448483B87C}"/>
    <cellStyle name="Normal 8 4 2 7 3" xfId="11156" xr:uid="{CE55E5AF-CC45-452B-9D07-EC761239E360}"/>
    <cellStyle name="Normal 8 4 2 8" xfId="4870" xr:uid="{00000000-0005-0000-0000-0000F71D0000}"/>
    <cellStyle name="Normal 8 4 2 8 2" xfId="13309" xr:uid="{15C4AB80-107A-4854-90F7-8043653D0764}"/>
    <cellStyle name="Normal 8 4 2 9" xfId="9091" xr:uid="{8572B88A-FBB5-4939-AAC1-D70D397FBCB5}"/>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2B859481-F5FE-4DDB-B865-6507AC731594}"/>
    <cellStyle name="Normal 8 4 3 2 2 3" xfId="11651" xr:uid="{086A36AC-543F-46F2-A76A-4B58BF2FD465}"/>
    <cellStyle name="Normal 8 4 3 2 3" xfId="5285" xr:uid="{00000000-0005-0000-0000-0000FC1D0000}"/>
    <cellStyle name="Normal 8 4 3 2 3 2" xfId="13724" xr:uid="{4DEF83D1-C607-4A49-B65B-B19750CB3503}"/>
    <cellStyle name="Normal 8 4 3 2 4" xfId="9506" xr:uid="{FEE1CE98-7660-4D28-B45B-048CA14B66A7}"/>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4CB449B0-93A3-488B-A258-B6C63215E479}"/>
    <cellStyle name="Normal 8 4 3 3 2 3" xfId="12064" xr:uid="{5635E642-9E61-400E-A93D-CE3E14AF2F40}"/>
    <cellStyle name="Normal 8 4 3 3 3" xfId="5698" xr:uid="{00000000-0005-0000-0000-0000001E0000}"/>
    <cellStyle name="Normal 8 4 3 3 3 2" xfId="14137" xr:uid="{E7AFCAD6-390F-4D80-A4A8-48E3251DCCEF}"/>
    <cellStyle name="Normal 8 4 3 3 4" xfId="9919" xr:uid="{7C8D0F99-1E13-4140-A9EE-126E8727F533}"/>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89AA7FBF-5448-4E42-8B66-5885CB2E9A76}"/>
    <cellStyle name="Normal 8 4 3 4 2 3" xfId="12477" xr:uid="{B0D54034-A669-4C78-9A70-27A168099CA1}"/>
    <cellStyle name="Normal 8 4 3 4 3" xfId="6111" xr:uid="{00000000-0005-0000-0000-0000041E0000}"/>
    <cellStyle name="Normal 8 4 3 4 3 2" xfId="14550" xr:uid="{06983291-A8E5-42A3-8ED7-934AE4F4D88F}"/>
    <cellStyle name="Normal 8 4 3 4 4" xfId="10332" xr:uid="{18F8C14E-41A3-4F85-A2D4-3E716333B6F8}"/>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AA269C15-47C5-4963-A5D6-B33E230154A5}"/>
    <cellStyle name="Normal 8 4 3 5 2 3" xfId="12890" xr:uid="{31D1157E-88DD-461E-8555-F00193D670BF}"/>
    <cellStyle name="Normal 8 4 3 5 3" xfId="6524" xr:uid="{00000000-0005-0000-0000-0000081E0000}"/>
    <cellStyle name="Normal 8 4 3 5 3 2" xfId="14963" xr:uid="{F3F7D8E1-5AFC-4E37-8F20-C8C5A1D5E81B}"/>
    <cellStyle name="Normal 8 4 3 5 4" xfId="10745" xr:uid="{9DEA1E85-7EC3-4444-8128-867E7AA9CB92}"/>
    <cellStyle name="Normal 8 4 3 6" xfId="2653" xr:uid="{00000000-0005-0000-0000-0000091E0000}"/>
    <cellStyle name="Normal 8 4 3 6 2" xfId="6937" xr:uid="{00000000-0005-0000-0000-00000A1E0000}"/>
    <cellStyle name="Normal 8 4 3 6 2 2" xfId="15376" xr:uid="{91103CAF-7375-4832-BE17-1E0708CD96F4}"/>
    <cellStyle name="Normal 8 4 3 6 3" xfId="11158" xr:uid="{9CAB0322-06A9-43A6-BC84-07F8617C938C}"/>
    <cellStyle name="Normal 8 4 3 7" xfId="4872" xr:uid="{00000000-0005-0000-0000-00000B1E0000}"/>
    <cellStyle name="Normal 8 4 3 7 2" xfId="13311" xr:uid="{B1C7C0CC-31B9-4706-8AA6-2B07F550E9BA}"/>
    <cellStyle name="Normal 8 4 3 8" xfId="9093" xr:uid="{410A71A2-5715-4639-9033-5A92FD8227DC}"/>
    <cellStyle name="Normal 8 4 4" xfId="970" xr:uid="{00000000-0005-0000-0000-00000C1E0000}"/>
    <cellStyle name="Normal 8 4 4 2" xfId="3204" xr:uid="{00000000-0005-0000-0000-00000D1E0000}"/>
    <cellStyle name="Normal 8 4 4 2 2" xfId="7427" xr:uid="{00000000-0005-0000-0000-00000E1E0000}"/>
    <cellStyle name="Normal 8 4 4 2 2 2" xfId="15866" xr:uid="{59D4C21B-E8A8-4F36-B044-CDF9BCBFBDB1}"/>
    <cellStyle name="Normal 8 4 4 2 3" xfId="11648" xr:uid="{2E8C82D8-1984-4BA8-9639-018830FA88EB}"/>
    <cellStyle name="Normal 8 4 4 3" xfId="5282" xr:uid="{00000000-0005-0000-0000-00000F1E0000}"/>
    <cellStyle name="Normal 8 4 4 3 2" xfId="13721" xr:uid="{02097647-E28C-4305-8541-8A5614F696DB}"/>
    <cellStyle name="Normal 8 4 4 4" xfId="9503" xr:uid="{7DDD564F-9BE8-4863-95A0-F78046F7993E}"/>
    <cellStyle name="Normal 8 4 5" xfId="1387" xr:uid="{00000000-0005-0000-0000-0000101E0000}"/>
    <cellStyle name="Normal 8 4 5 2" xfId="3617" xr:uid="{00000000-0005-0000-0000-0000111E0000}"/>
    <cellStyle name="Normal 8 4 5 2 2" xfId="7840" xr:uid="{00000000-0005-0000-0000-0000121E0000}"/>
    <cellStyle name="Normal 8 4 5 2 2 2" xfId="16279" xr:uid="{EA293759-E45A-4ADF-9A52-BFDD683293BE}"/>
    <cellStyle name="Normal 8 4 5 2 3" xfId="12061" xr:uid="{E07BF77F-2CCF-4A12-B3DF-DA4446DFB3C7}"/>
    <cellStyle name="Normal 8 4 5 3" xfId="5695" xr:uid="{00000000-0005-0000-0000-0000131E0000}"/>
    <cellStyle name="Normal 8 4 5 3 2" xfId="14134" xr:uid="{30C6ECFB-6C66-41F5-A6F4-32370F230034}"/>
    <cellStyle name="Normal 8 4 5 4" xfId="9916" xr:uid="{7A91BBC8-7089-457A-9118-2620E5ED562C}"/>
    <cellStyle name="Normal 8 4 6" xfId="1800" xr:uid="{00000000-0005-0000-0000-0000141E0000}"/>
    <cellStyle name="Normal 8 4 6 2" xfId="4030" xr:uid="{00000000-0005-0000-0000-0000151E0000}"/>
    <cellStyle name="Normal 8 4 6 2 2" xfId="8253" xr:uid="{00000000-0005-0000-0000-0000161E0000}"/>
    <cellStyle name="Normal 8 4 6 2 2 2" xfId="16692" xr:uid="{2CEA23C6-8D5D-4F59-BA52-60C8D3C814F8}"/>
    <cellStyle name="Normal 8 4 6 2 3" xfId="12474" xr:uid="{D7D9B645-6827-4D0F-A5B7-E3CADE57BF0D}"/>
    <cellStyle name="Normal 8 4 6 3" xfId="6108" xr:uid="{00000000-0005-0000-0000-0000171E0000}"/>
    <cellStyle name="Normal 8 4 6 3 2" xfId="14547" xr:uid="{372E72AD-404C-497A-ADA6-31AB058D632F}"/>
    <cellStyle name="Normal 8 4 6 4" xfId="10329" xr:uid="{D6F166DB-5A2C-4E04-B76F-783313DCB8F8}"/>
    <cellStyle name="Normal 8 4 7" xfId="2214" xr:uid="{00000000-0005-0000-0000-0000181E0000}"/>
    <cellStyle name="Normal 8 4 7 2" xfId="4443" xr:uid="{00000000-0005-0000-0000-0000191E0000}"/>
    <cellStyle name="Normal 8 4 7 2 2" xfId="8666" xr:uid="{00000000-0005-0000-0000-00001A1E0000}"/>
    <cellStyle name="Normal 8 4 7 2 2 2" xfId="17105" xr:uid="{B1FA1C21-5201-4EDD-837C-60566FE7A946}"/>
    <cellStyle name="Normal 8 4 7 2 3" xfId="12887" xr:uid="{32EF3FEC-AC0C-4A0A-9830-7A6857E4C0C7}"/>
    <cellStyle name="Normal 8 4 7 3" xfId="6521" xr:uid="{00000000-0005-0000-0000-00001B1E0000}"/>
    <cellStyle name="Normal 8 4 7 3 2" xfId="14960" xr:uid="{36FED210-9E51-493E-B664-384A4522DFA0}"/>
    <cellStyle name="Normal 8 4 7 4" xfId="10742" xr:uid="{248AE803-BDA9-4AC4-87B4-0CA69EE847E4}"/>
    <cellStyle name="Normal 8 4 8" xfId="2650" xr:uid="{00000000-0005-0000-0000-00001C1E0000}"/>
    <cellStyle name="Normal 8 4 8 2" xfId="6934" xr:uid="{00000000-0005-0000-0000-00001D1E0000}"/>
    <cellStyle name="Normal 8 4 8 2 2" xfId="15373" xr:uid="{CD5DBB2F-32DD-4FD0-94C8-C1BFF5E26CD9}"/>
    <cellStyle name="Normal 8 4 8 3" xfId="11155" xr:uid="{90C7F08C-C21A-47EE-AF02-895AABAEB5C8}"/>
    <cellStyle name="Normal 8 4 9" xfId="4869" xr:uid="{00000000-0005-0000-0000-00001E1E0000}"/>
    <cellStyle name="Normal 8 4 9 2" xfId="13308" xr:uid="{29A315D1-95BC-478D-B217-9FCFF6F08E2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52FDEA78-E301-4F43-81DE-F7D0C5DC0462}"/>
    <cellStyle name="Normal 8 5 2 2 2 3" xfId="11653" xr:uid="{13F3F6D9-5FEC-4596-8C55-071F8D48AD8C}"/>
    <cellStyle name="Normal 8 5 2 2 3" xfId="5287" xr:uid="{00000000-0005-0000-0000-0000241E0000}"/>
    <cellStyle name="Normal 8 5 2 2 3 2" xfId="13726" xr:uid="{1209C215-24A4-4636-895F-F4E5E1995618}"/>
    <cellStyle name="Normal 8 5 2 2 4" xfId="9508" xr:uid="{E3261CB5-F656-4646-8CF6-2738533224F1}"/>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191EC9F5-CC72-4BEC-B342-BB415D125BAF}"/>
    <cellStyle name="Normal 8 5 2 3 2 3" xfId="12066" xr:uid="{74D0AB0B-AE69-4CAB-94DD-780293F0DC3D}"/>
    <cellStyle name="Normal 8 5 2 3 3" xfId="5700" xr:uid="{00000000-0005-0000-0000-0000281E0000}"/>
    <cellStyle name="Normal 8 5 2 3 3 2" xfId="14139" xr:uid="{BC6B99FC-388D-473C-B7A4-EAE3051E19CC}"/>
    <cellStyle name="Normal 8 5 2 3 4" xfId="9921" xr:uid="{37C6224B-A82B-4F0F-81E9-31B30317E90A}"/>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1A80945E-973C-49C4-BBA6-A357BD94B478}"/>
    <cellStyle name="Normal 8 5 2 4 2 3" xfId="12479" xr:uid="{93403062-85E4-4AEF-9B7C-0DC69D85DE09}"/>
    <cellStyle name="Normal 8 5 2 4 3" xfId="6113" xr:uid="{00000000-0005-0000-0000-00002C1E0000}"/>
    <cellStyle name="Normal 8 5 2 4 3 2" xfId="14552" xr:uid="{57D28DE6-4EFB-4C3E-BD4E-EDF63FB1AB74}"/>
    <cellStyle name="Normal 8 5 2 4 4" xfId="10334" xr:uid="{4378B819-B695-49B9-AFBB-9E77AB670B6E}"/>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7DB25DD6-ACD9-4825-BCDE-693D18652AD8}"/>
    <cellStyle name="Normal 8 5 2 5 2 3" xfId="12892" xr:uid="{0A9899C7-239E-4549-B161-3EA83C126D45}"/>
    <cellStyle name="Normal 8 5 2 5 3" xfId="6526" xr:uid="{00000000-0005-0000-0000-0000301E0000}"/>
    <cellStyle name="Normal 8 5 2 5 3 2" xfId="14965" xr:uid="{4F814CD7-025E-463B-A411-E797F371DED5}"/>
    <cellStyle name="Normal 8 5 2 5 4" xfId="10747" xr:uid="{C97AA218-DF8B-4887-BF43-53396BF94896}"/>
    <cellStyle name="Normal 8 5 2 6" xfId="2655" xr:uid="{00000000-0005-0000-0000-0000311E0000}"/>
    <cellStyle name="Normal 8 5 2 6 2" xfId="6939" xr:uid="{00000000-0005-0000-0000-0000321E0000}"/>
    <cellStyle name="Normal 8 5 2 6 2 2" xfId="15378" xr:uid="{CCA7A8E3-30BF-404C-A8A0-88C597E1521D}"/>
    <cellStyle name="Normal 8 5 2 6 3" xfId="11160" xr:uid="{16318C24-0670-402E-B064-91085D6BA4AB}"/>
    <cellStyle name="Normal 8 5 2 7" xfId="4874" xr:uid="{00000000-0005-0000-0000-0000331E0000}"/>
    <cellStyle name="Normal 8 5 2 7 2" xfId="13313" xr:uid="{49345F65-9847-481D-92EB-D6017115048C}"/>
    <cellStyle name="Normal 8 5 2 8" xfId="9095" xr:uid="{B9F9F3F1-5197-4BEB-AD09-C60768270F3A}"/>
    <cellStyle name="Normal 8 5 3" xfId="974" xr:uid="{00000000-0005-0000-0000-0000341E0000}"/>
    <cellStyle name="Normal 8 5 3 2" xfId="3208" xr:uid="{00000000-0005-0000-0000-0000351E0000}"/>
    <cellStyle name="Normal 8 5 3 2 2" xfId="7431" xr:uid="{00000000-0005-0000-0000-0000361E0000}"/>
    <cellStyle name="Normal 8 5 3 2 2 2" xfId="15870" xr:uid="{24CF893A-5E6F-4017-86FF-BEC118E5905A}"/>
    <cellStyle name="Normal 8 5 3 2 3" xfId="11652" xr:uid="{D86789F9-79CD-4630-9066-5C744048AADF}"/>
    <cellStyle name="Normal 8 5 3 3" xfId="5286" xr:uid="{00000000-0005-0000-0000-0000371E0000}"/>
    <cellStyle name="Normal 8 5 3 3 2" xfId="13725" xr:uid="{E064E088-9D01-47B3-B568-7D14F5832A81}"/>
    <cellStyle name="Normal 8 5 3 4" xfId="9507" xr:uid="{06004B1A-9848-457D-BE45-23684AB9363C}"/>
    <cellStyle name="Normal 8 5 4" xfId="1391" xr:uid="{00000000-0005-0000-0000-0000381E0000}"/>
    <cellStyle name="Normal 8 5 4 2" xfId="3621" xr:uid="{00000000-0005-0000-0000-0000391E0000}"/>
    <cellStyle name="Normal 8 5 4 2 2" xfId="7844" xr:uid="{00000000-0005-0000-0000-00003A1E0000}"/>
    <cellStyle name="Normal 8 5 4 2 2 2" xfId="16283" xr:uid="{7956E6F2-B4F9-4EBC-A4F4-480B0E2FCED7}"/>
    <cellStyle name="Normal 8 5 4 2 3" xfId="12065" xr:uid="{B045B94F-09C9-426D-832A-D82164395C62}"/>
    <cellStyle name="Normal 8 5 4 3" xfId="5699" xr:uid="{00000000-0005-0000-0000-00003B1E0000}"/>
    <cellStyle name="Normal 8 5 4 3 2" xfId="14138" xr:uid="{91A2C98F-1CF7-49C6-A24F-38112EEF4008}"/>
    <cellStyle name="Normal 8 5 4 4" xfId="9920" xr:uid="{6BF91265-5BD3-44F4-B2FE-A052E1AE1439}"/>
    <cellStyle name="Normal 8 5 5" xfId="1804" xr:uid="{00000000-0005-0000-0000-00003C1E0000}"/>
    <cellStyle name="Normal 8 5 5 2" xfId="4034" xr:uid="{00000000-0005-0000-0000-00003D1E0000}"/>
    <cellStyle name="Normal 8 5 5 2 2" xfId="8257" xr:uid="{00000000-0005-0000-0000-00003E1E0000}"/>
    <cellStyle name="Normal 8 5 5 2 2 2" xfId="16696" xr:uid="{4FBF14F4-78C7-4646-BDE7-4B6195E7BF88}"/>
    <cellStyle name="Normal 8 5 5 2 3" xfId="12478" xr:uid="{0EAA1DF4-262A-48E6-A54E-272B796F391E}"/>
    <cellStyle name="Normal 8 5 5 3" xfId="6112" xr:uid="{00000000-0005-0000-0000-00003F1E0000}"/>
    <cellStyle name="Normal 8 5 5 3 2" xfId="14551" xr:uid="{6AC11B54-382F-4A12-942A-1079AD5B2B3A}"/>
    <cellStyle name="Normal 8 5 5 4" xfId="10333" xr:uid="{6C283A8B-50E6-4928-9157-31DC2889F3C4}"/>
    <cellStyle name="Normal 8 5 6" xfId="2218" xr:uid="{00000000-0005-0000-0000-0000401E0000}"/>
    <cellStyle name="Normal 8 5 6 2" xfId="4447" xr:uid="{00000000-0005-0000-0000-0000411E0000}"/>
    <cellStyle name="Normal 8 5 6 2 2" xfId="8670" xr:uid="{00000000-0005-0000-0000-0000421E0000}"/>
    <cellStyle name="Normal 8 5 6 2 2 2" xfId="17109" xr:uid="{3C747E1F-AD0A-44C3-8AA7-9C902DD92BF5}"/>
    <cellStyle name="Normal 8 5 6 2 3" xfId="12891" xr:uid="{62E91D82-3B35-4263-A6FE-BBF8AC5DF0D8}"/>
    <cellStyle name="Normal 8 5 6 3" xfId="6525" xr:uid="{00000000-0005-0000-0000-0000431E0000}"/>
    <cellStyle name="Normal 8 5 6 3 2" xfId="14964" xr:uid="{167BB32B-6909-4D07-82F5-FE4A204BFD2E}"/>
    <cellStyle name="Normal 8 5 6 4" xfId="10746" xr:uid="{28285D29-3DCB-4FD7-AAD2-2FADDE5B69BE}"/>
    <cellStyle name="Normal 8 5 7" xfId="2654" xr:uid="{00000000-0005-0000-0000-0000441E0000}"/>
    <cellStyle name="Normal 8 5 7 2" xfId="6938" xr:uid="{00000000-0005-0000-0000-0000451E0000}"/>
    <cellStyle name="Normal 8 5 7 2 2" xfId="15377" xr:uid="{CAFD03E3-F0CC-4E2F-BAA9-266FB40BCA23}"/>
    <cellStyle name="Normal 8 5 7 3" xfId="11159" xr:uid="{B157667D-40E0-4549-9927-F13ECE198DFE}"/>
    <cellStyle name="Normal 8 5 8" xfId="4873" xr:uid="{00000000-0005-0000-0000-0000461E0000}"/>
    <cellStyle name="Normal 8 5 8 2" xfId="13312" xr:uid="{AFFB153C-E142-4E0E-A239-9955C745513A}"/>
    <cellStyle name="Normal 8 5 9" xfId="9094" xr:uid="{25BA990C-2429-4BBC-986C-128C56745A51}"/>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2ACB8188-2CAB-4BF4-8540-074111958F60}"/>
    <cellStyle name="Normal 8 6 2 2 3" xfId="11654" xr:uid="{42A3CECD-0F78-4377-AB4F-F4046DF65AA6}"/>
    <cellStyle name="Normal 8 6 2 3" xfId="5288" xr:uid="{00000000-0005-0000-0000-00004B1E0000}"/>
    <cellStyle name="Normal 8 6 2 3 2" xfId="13727" xr:uid="{B3C37754-A492-4C51-90FF-D347EAD0D0A1}"/>
    <cellStyle name="Normal 8 6 2 4" xfId="9509" xr:uid="{3DC90744-88E7-496C-8E3B-F5AF8C7ECC08}"/>
    <cellStyle name="Normal 8 6 3" xfId="1393" xr:uid="{00000000-0005-0000-0000-00004C1E0000}"/>
    <cellStyle name="Normal 8 6 3 2" xfId="3623" xr:uid="{00000000-0005-0000-0000-00004D1E0000}"/>
    <cellStyle name="Normal 8 6 3 2 2" xfId="7846" xr:uid="{00000000-0005-0000-0000-00004E1E0000}"/>
    <cellStyle name="Normal 8 6 3 2 2 2" xfId="16285" xr:uid="{09A0EA18-1089-447C-A569-147EAD2D5DBE}"/>
    <cellStyle name="Normal 8 6 3 2 3" xfId="12067" xr:uid="{5E180DCE-2AB2-4F7E-9BBF-7EA0C0BAEE58}"/>
    <cellStyle name="Normal 8 6 3 3" xfId="5701" xr:uid="{00000000-0005-0000-0000-00004F1E0000}"/>
    <cellStyle name="Normal 8 6 3 3 2" xfId="14140" xr:uid="{60AB57F9-9464-4927-AFAB-B262E13021B9}"/>
    <cellStyle name="Normal 8 6 3 4" xfId="9922" xr:uid="{116F2E18-1606-4A8B-BAD2-C028A3267885}"/>
    <cellStyle name="Normal 8 6 4" xfId="1806" xr:uid="{00000000-0005-0000-0000-0000501E0000}"/>
    <cellStyle name="Normal 8 6 4 2" xfId="4036" xr:uid="{00000000-0005-0000-0000-0000511E0000}"/>
    <cellStyle name="Normal 8 6 4 2 2" xfId="8259" xr:uid="{00000000-0005-0000-0000-0000521E0000}"/>
    <cellStyle name="Normal 8 6 4 2 2 2" xfId="16698" xr:uid="{7E42F5B5-CD32-4716-82FE-EF1B86CD3575}"/>
    <cellStyle name="Normal 8 6 4 2 3" xfId="12480" xr:uid="{3D00D621-2123-447E-93C2-275732057155}"/>
    <cellStyle name="Normal 8 6 4 3" xfId="6114" xr:uid="{00000000-0005-0000-0000-0000531E0000}"/>
    <cellStyle name="Normal 8 6 4 3 2" xfId="14553" xr:uid="{5C2C5E98-5676-4952-97D2-0667D62CDC60}"/>
    <cellStyle name="Normal 8 6 4 4" xfId="10335" xr:uid="{68DD2D2A-A73F-4C37-BE77-A36BA34AD8D4}"/>
    <cellStyle name="Normal 8 6 5" xfId="2220" xr:uid="{00000000-0005-0000-0000-0000541E0000}"/>
    <cellStyle name="Normal 8 6 5 2" xfId="4449" xr:uid="{00000000-0005-0000-0000-0000551E0000}"/>
    <cellStyle name="Normal 8 6 5 2 2" xfId="8672" xr:uid="{00000000-0005-0000-0000-0000561E0000}"/>
    <cellStyle name="Normal 8 6 5 2 2 2" xfId="17111" xr:uid="{38D668B7-8467-44AE-BDA5-D7CCA18C0014}"/>
    <cellStyle name="Normal 8 6 5 2 3" xfId="12893" xr:uid="{5D7DE27A-053F-492F-A0C6-BCDD2E158990}"/>
    <cellStyle name="Normal 8 6 5 3" xfId="6527" xr:uid="{00000000-0005-0000-0000-0000571E0000}"/>
    <cellStyle name="Normal 8 6 5 3 2" xfId="14966" xr:uid="{98F99867-1F2B-470A-94E0-3E39C956EA68}"/>
    <cellStyle name="Normal 8 6 5 4" xfId="10748" xr:uid="{39E15BA2-BA6B-475E-A143-E5BE7101FA50}"/>
    <cellStyle name="Normal 8 6 6" xfId="2656" xr:uid="{00000000-0005-0000-0000-0000581E0000}"/>
    <cellStyle name="Normal 8 6 6 2" xfId="6940" xr:uid="{00000000-0005-0000-0000-0000591E0000}"/>
    <cellStyle name="Normal 8 6 6 2 2" xfId="15379" xr:uid="{0AD3EF5E-3D68-4319-BAB9-A66F6818FB78}"/>
    <cellStyle name="Normal 8 6 6 3" xfId="11161" xr:uid="{0D8750CE-8143-45C4-8243-D9ADDCB99503}"/>
    <cellStyle name="Normal 8 6 7" xfId="4875" xr:uid="{00000000-0005-0000-0000-00005A1E0000}"/>
    <cellStyle name="Normal 8 6 7 2" xfId="13314" xr:uid="{80D14598-C418-40A3-A04F-3DC9A9A35FA4}"/>
    <cellStyle name="Normal 8 6 8" xfId="9096" xr:uid="{A41345DD-E7B0-484E-91CC-DF7F895429A3}"/>
    <cellStyle name="Normal 8 7" xfId="945" xr:uid="{00000000-0005-0000-0000-00005B1E0000}"/>
    <cellStyle name="Normal 8 7 2" xfId="3179" xr:uid="{00000000-0005-0000-0000-00005C1E0000}"/>
    <cellStyle name="Normal 8 7 2 2" xfId="7402" xr:uid="{00000000-0005-0000-0000-00005D1E0000}"/>
    <cellStyle name="Normal 8 7 2 2 2" xfId="15841" xr:uid="{D806D6FB-EE2D-4FA8-AF51-FF5454A974EA}"/>
    <cellStyle name="Normal 8 7 2 3" xfId="11623" xr:uid="{CF59605A-38EC-4A91-907B-856DC13E2986}"/>
    <cellStyle name="Normal 8 7 3" xfId="5257" xr:uid="{00000000-0005-0000-0000-00005E1E0000}"/>
    <cellStyle name="Normal 8 7 3 2" xfId="13696" xr:uid="{CDFB6D79-97C3-4193-8382-3883BC3AE197}"/>
    <cellStyle name="Normal 8 7 4" xfId="9478" xr:uid="{6A33E4BC-0D2D-463C-80E0-70B402FAF7F3}"/>
    <cellStyle name="Normal 8 8" xfId="1362" xr:uid="{00000000-0005-0000-0000-00005F1E0000}"/>
    <cellStyle name="Normal 8 8 2" xfId="3592" xr:uid="{00000000-0005-0000-0000-0000601E0000}"/>
    <cellStyle name="Normal 8 8 2 2" xfId="7815" xr:uid="{00000000-0005-0000-0000-0000611E0000}"/>
    <cellStyle name="Normal 8 8 2 2 2" xfId="16254" xr:uid="{40082888-9E77-4799-BD2F-3BC4B44C7FE4}"/>
    <cellStyle name="Normal 8 8 2 3" xfId="12036" xr:uid="{773F116C-BEC5-4758-B651-4AFBAD114F21}"/>
    <cellStyle name="Normal 8 8 3" xfId="5670" xr:uid="{00000000-0005-0000-0000-0000621E0000}"/>
    <cellStyle name="Normal 8 8 3 2" xfId="14109" xr:uid="{41850A9A-316E-40FA-B2C7-34FD82EDCE48}"/>
    <cellStyle name="Normal 8 8 4" xfId="9891" xr:uid="{8AC37678-3751-4670-A081-E47E737BE6BF}"/>
    <cellStyle name="Normal 8 9" xfId="1775" xr:uid="{00000000-0005-0000-0000-0000631E0000}"/>
    <cellStyle name="Normal 8 9 2" xfId="4005" xr:uid="{00000000-0005-0000-0000-0000641E0000}"/>
    <cellStyle name="Normal 8 9 2 2" xfId="8228" xr:uid="{00000000-0005-0000-0000-0000651E0000}"/>
    <cellStyle name="Normal 8 9 2 2 2" xfId="16667" xr:uid="{B2845BDD-0698-4A4C-8135-E3FF60A30144}"/>
    <cellStyle name="Normal 8 9 2 3" xfId="12449" xr:uid="{30066BBC-FE77-48CA-AB1D-A8C94D62B72A}"/>
    <cellStyle name="Normal 8 9 3" xfId="6083" xr:uid="{00000000-0005-0000-0000-0000661E0000}"/>
    <cellStyle name="Normal 8 9 3 2" xfId="14522" xr:uid="{53E5A1DC-03C8-4F7E-A1C5-DD74381C6520}"/>
    <cellStyle name="Normal 8 9 4" xfId="10304" xr:uid="{74E2129F-F6E6-4B45-B712-6B47EAF81702}"/>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113365B4-D7F9-49CA-9DFE-40DCBE7A911E}"/>
    <cellStyle name="Normal 9 2 10 3" xfId="11162" xr:uid="{75474746-1749-452A-B268-DCEF04D88636}"/>
    <cellStyle name="Normal 9 2 11" xfId="4876" xr:uid="{00000000-0005-0000-0000-00006B1E0000}"/>
    <cellStyle name="Normal 9 2 11 2" xfId="13315" xr:uid="{23D1934C-7733-4D17-AE5D-D1BF9B54A753}"/>
    <cellStyle name="Normal 9 2 12" xfId="9097" xr:uid="{CF9FDC07-1EED-464A-ACCA-6B951A90DF4B}"/>
    <cellStyle name="Normal 9 2 2" xfId="512" xr:uid="{00000000-0005-0000-0000-00006C1E0000}"/>
    <cellStyle name="Normal 9 2 2 10" xfId="4877" xr:uid="{00000000-0005-0000-0000-00006D1E0000}"/>
    <cellStyle name="Normal 9 2 2 10 2" xfId="13316" xr:uid="{7C420A07-7F02-4FAB-9BF1-6B4522897107}"/>
    <cellStyle name="Normal 9 2 2 11" xfId="9098" xr:uid="{06FBB8AB-5C24-4837-8DEC-64FA6E659BF3}"/>
    <cellStyle name="Normal 9 2 2 2" xfId="513" xr:uid="{00000000-0005-0000-0000-00006E1E0000}"/>
    <cellStyle name="Normal 9 2 2 2 10" xfId="9099" xr:uid="{1E10CC05-586D-4D85-BC07-A2C8705CAF6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E9ED03F2-AD4A-4D96-AFE8-1FF8753FC2C0}"/>
    <cellStyle name="Normal 9 2 2 2 2 2 2 2 3" xfId="11659" xr:uid="{82214BBA-6174-489A-8F58-6B6CC3181173}"/>
    <cellStyle name="Normal 9 2 2 2 2 2 2 3" xfId="5293" xr:uid="{00000000-0005-0000-0000-0000741E0000}"/>
    <cellStyle name="Normal 9 2 2 2 2 2 2 3 2" xfId="13732" xr:uid="{BB5EB65E-248D-4E80-8F02-3FC520D2554B}"/>
    <cellStyle name="Normal 9 2 2 2 2 2 2 4" xfId="9514" xr:uid="{702AAA62-75DB-464D-8DA9-D7E1155DB107}"/>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4D54FBDC-6585-42D1-900C-BEC5441501D8}"/>
    <cellStyle name="Normal 9 2 2 2 2 2 3 2 3" xfId="12072" xr:uid="{C39CA471-F5E2-4E78-A251-A82DA1003448}"/>
    <cellStyle name="Normal 9 2 2 2 2 2 3 3" xfId="5706" xr:uid="{00000000-0005-0000-0000-0000781E0000}"/>
    <cellStyle name="Normal 9 2 2 2 2 2 3 3 2" xfId="14145" xr:uid="{79B09B3D-9B35-4135-99A0-3860D29D44F4}"/>
    <cellStyle name="Normal 9 2 2 2 2 2 3 4" xfId="9927" xr:uid="{A04C6BEB-0F6E-4567-A3B2-03B71E0AF1F6}"/>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AA7DA3F9-E488-4D4B-9FA5-1637381D51CD}"/>
    <cellStyle name="Normal 9 2 2 2 2 2 4 2 3" xfId="12485" xr:uid="{BB493310-9170-403E-88E2-E1253A71C24E}"/>
    <cellStyle name="Normal 9 2 2 2 2 2 4 3" xfId="6119" xr:uid="{00000000-0005-0000-0000-00007C1E0000}"/>
    <cellStyle name="Normal 9 2 2 2 2 2 4 3 2" xfId="14558" xr:uid="{4D1A635F-C881-4F68-97FE-BD8DFE7F10B9}"/>
    <cellStyle name="Normal 9 2 2 2 2 2 4 4" xfId="10340" xr:uid="{2E97C15F-3152-474A-BEFA-9980068D6D9A}"/>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B48CADE6-EFA7-48B6-93FB-23C2FC985333}"/>
    <cellStyle name="Normal 9 2 2 2 2 2 5 2 3" xfId="12898" xr:uid="{04C77D3B-8B0D-4699-BEAA-136B2B0630F8}"/>
    <cellStyle name="Normal 9 2 2 2 2 2 5 3" xfId="6532" xr:uid="{00000000-0005-0000-0000-0000801E0000}"/>
    <cellStyle name="Normal 9 2 2 2 2 2 5 3 2" xfId="14971" xr:uid="{79409819-518F-4F2B-A039-35D24DDA0972}"/>
    <cellStyle name="Normal 9 2 2 2 2 2 5 4" xfId="10753" xr:uid="{A4B71316-ED30-4100-B14B-ABC952C80A47}"/>
    <cellStyle name="Normal 9 2 2 2 2 2 6" xfId="2661" xr:uid="{00000000-0005-0000-0000-0000811E0000}"/>
    <cellStyle name="Normal 9 2 2 2 2 2 6 2" xfId="6945" xr:uid="{00000000-0005-0000-0000-0000821E0000}"/>
    <cellStyle name="Normal 9 2 2 2 2 2 6 2 2" xfId="15384" xr:uid="{34A72018-4F5D-484D-8E24-066D020B1878}"/>
    <cellStyle name="Normal 9 2 2 2 2 2 6 3" xfId="11166" xr:uid="{55E69438-CAFD-4C16-B339-16A7FF862488}"/>
    <cellStyle name="Normal 9 2 2 2 2 2 7" xfId="4880" xr:uid="{00000000-0005-0000-0000-0000831E0000}"/>
    <cellStyle name="Normal 9 2 2 2 2 2 7 2" xfId="13319" xr:uid="{86368E67-6340-4363-9663-4BA908D503BD}"/>
    <cellStyle name="Normal 9 2 2 2 2 2 8" xfId="9101" xr:uid="{9CF006A2-2215-4CE1-A635-F3D9E1420D1B}"/>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49A9E916-C5E6-4070-A7D4-942E960C4CFD}"/>
    <cellStyle name="Normal 9 2 2 2 2 3 2 3" xfId="11658" xr:uid="{D86538EF-CEAB-45E7-86D4-22E644577A9D}"/>
    <cellStyle name="Normal 9 2 2 2 2 3 3" xfId="5292" xr:uid="{00000000-0005-0000-0000-0000871E0000}"/>
    <cellStyle name="Normal 9 2 2 2 2 3 3 2" xfId="13731" xr:uid="{15F4E146-D3A5-4148-A44A-5B392C203C35}"/>
    <cellStyle name="Normal 9 2 2 2 2 3 4" xfId="9513" xr:uid="{C4C1FA6A-7CB5-4AEB-A521-AB6EC13E78AD}"/>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AA9A259C-5E4A-4820-950D-7250534F12FF}"/>
    <cellStyle name="Normal 9 2 2 2 2 4 2 3" xfId="12071" xr:uid="{FDA0A5C6-9579-4BE7-B6DB-7AB47154D367}"/>
    <cellStyle name="Normal 9 2 2 2 2 4 3" xfId="5705" xr:uid="{00000000-0005-0000-0000-00008B1E0000}"/>
    <cellStyle name="Normal 9 2 2 2 2 4 3 2" xfId="14144" xr:uid="{A2205FD9-2BB8-45A6-B0D7-1B99D9CEE9C2}"/>
    <cellStyle name="Normal 9 2 2 2 2 4 4" xfId="9926" xr:uid="{3F9BE2C2-0A60-4B0C-B458-422C5DD4DFBF}"/>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E5B4D63F-E4C8-48AC-B408-970929E69C4A}"/>
    <cellStyle name="Normal 9 2 2 2 2 5 2 3" xfId="12484" xr:uid="{4F9DC250-3A33-4FEF-8EAD-D110EDC112FC}"/>
    <cellStyle name="Normal 9 2 2 2 2 5 3" xfId="6118" xr:uid="{00000000-0005-0000-0000-00008F1E0000}"/>
    <cellStyle name="Normal 9 2 2 2 2 5 3 2" xfId="14557" xr:uid="{DA1F834D-D62C-49E2-BE9D-FFDE34EF4BDE}"/>
    <cellStyle name="Normal 9 2 2 2 2 5 4" xfId="10339" xr:uid="{C4060532-C828-41C6-98AE-02A16B67F3BE}"/>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72F5FCEC-F7F9-4FCE-AB86-DDBA961DE9BE}"/>
    <cellStyle name="Normal 9 2 2 2 2 6 2 3" xfId="12897" xr:uid="{A1CCE1E4-6D25-452F-9B38-80B161491B35}"/>
    <cellStyle name="Normal 9 2 2 2 2 6 3" xfId="6531" xr:uid="{00000000-0005-0000-0000-0000931E0000}"/>
    <cellStyle name="Normal 9 2 2 2 2 6 3 2" xfId="14970" xr:uid="{B93F4AC0-3B57-437C-B7D3-0708C8E86FF5}"/>
    <cellStyle name="Normal 9 2 2 2 2 6 4" xfId="10752" xr:uid="{3CE3FE54-DB42-4472-9D00-36E8AC50C896}"/>
    <cellStyle name="Normal 9 2 2 2 2 7" xfId="2660" xr:uid="{00000000-0005-0000-0000-0000941E0000}"/>
    <cellStyle name="Normal 9 2 2 2 2 7 2" xfId="6944" xr:uid="{00000000-0005-0000-0000-0000951E0000}"/>
    <cellStyle name="Normal 9 2 2 2 2 7 2 2" xfId="15383" xr:uid="{011C87AF-D3DD-4FE9-AF2B-EDCD00B3BFD0}"/>
    <cellStyle name="Normal 9 2 2 2 2 7 3" xfId="11165" xr:uid="{CBF4F113-43BC-40B8-93C1-4D7EA65B0821}"/>
    <cellStyle name="Normal 9 2 2 2 2 8" xfId="4879" xr:uid="{00000000-0005-0000-0000-0000961E0000}"/>
    <cellStyle name="Normal 9 2 2 2 2 8 2" xfId="13318" xr:uid="{AC74576A-EE01-48BE-AD7B-E0EC6962D437}"/>
    <cellStyle name="Normal 9 2 2 2 2 9" xfId="9100" xr:uid="{1F6FDC8F-9919-48F0-87FD-17FD0F4A7DBD}"/>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CB81D20D-537A-425F-8AF5-4B4333707E53}"/>
    <cellStyle name="Normal 9 2 2 2 3 2 2 3" xfId="11660" xr:uid="{75A513D5-9063-4026-9877-A84D9EFB1115}"/>
    <cellStyle name="Normal 9 2 2 2 3 2 3" xfId="5294" xr:uid="{00000000-0005-0000-0000-00009B1E0000}"/>
    <cellStyle name="Normal 9 2 2 2 3 2 3 2" xfId="13733" xr:uid="{225B786C-3681-404D-86CC-E15416A753F1}"/>
    <cellStyle name="Normal 9 2 2 2 3 2 4" xfId="9515" xr:uid="{78B1BE67-F10D-431B-9FA3-91177485114B}"/>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A3CE18B7-BB7C-471B-84E9-3F8D7CF079A8}"/>
    <cellStyle name="Normal 9 2 2 2 3 3 2 3" xfId="12073" xr:uid="{C26AF016-859F-4A29-81BE-86380AD6F7F9}"/>
    <cellStyle name="Normal 9 2 2 2 3 3 3" xfId="5707" xr:uid="{00000000-0005-0000-0000-00009F1E0000}"/>
    <cellStyle name="Normal 9 2 2 2 3 3 3 2" xfId="14146" xr:uid="{92A8B69C-84AF-4188-B6F1-E45856D89D21}"/>
    <cellStyle name="Normal 9 2 2 2 3 3 4" xfId="9928" xr:uid="{8397EF7E-B52E-4DD0-AAE4-5B9A979C1DE9}"/>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45FFA9D4-3AAF-472D-A9E9-10613D7885DF}"/>
    <cellStyle name="Normal 9 2 2 2 3 4 2 3" xfId="12486" xr:uid="{D9C499DB-3BE5-4DE5-B320-3817F2580E20}"/>
    <cellStyle name="Normal 9 2 2 2 3 4 3" xfId="6120" xr:uid="{00000000-0005-0000-0000-0000A31E0000}"/>
    <cellStyle name="Normal 9 2 2 2 3 4 3 2" xfId="14559" xr:uid="{D684C4A5-9879-4638-85EF-C061A72E1C69}"/>
    <cellStyle name="Normal 9 2 2 2 3 4 4" xfId="10341" xr:uid="{4877EADA-EEE9-4086-842F-1F8E2B3844DA}"/>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AE3B6E78-4452-48D6-9669-F3717A9B9C7F}"/>
    <cellStyle name="Normal 9 2 2 2 3 5 2 3" xfId="12899" xr:uid="{6A385C4F-86FD-4548-990F-1D6438986FBC}"/>
    <cellStyle name="Normal 9 2 2 2 3 5 3" xfId="6533" xr:uid="{00000000-0005-0000-0000-0000A71E0000}"/>
    <cellStyle name="Normal 9 2 2 2 3 5 3 2" xfId="14972" xr:uid="{ACD4B877-D85F-441E-88CB-C278ECF286CE}"/>
    <cellStyle name="Normal 9 2 2 2 3 5 4" xfId="10754" xr:uid="{391A4C8D-A1B0-40ED-B9BC-C2E5AF538BFB}"/>
    <cellStyle name="Normal 9 2 2 2 3 6" xfId="2662" xr:uid="{00000000-0005-0000-0000-0000A81E0000}"/>
    <cellStyle name="Normal 9 2 2 2 3 6 2" xfId="6946" xr:uid="{00000000-0005-0000-0000-0000A91E0000}"/>
    <cellStyle name="Normal 9 2 2 2 3 6 2 2" xfId="15385" xr:uid="{9010975E-14A7-440A-ADE1-EBC9C8343F89}"/>
    <cellStyle name="Normal 9 2 2 2 3 6 3" xfId="11167" xr:uid="{8CEFABC1-BDD5-45C3-86CF-EA03F09CFFCB}"/>
    <cellStyle name="Normal 9 2 2 2 3 7" xfId="4881" xr:uid="{00000000-0005-0000-0000-0000AA1E0000}"/>
    <cellStyle name="Normal 9 2 2 2 3 7 2" xfId="13320" xr:uid="{9C4A4312-BB70-43C3-9557-26BD925AECC6}"/>
    <cellStyle name="Normal 9 2 2 2 3 8" xfId="9102" xr:uid="{C7474571-AEE3-4022-B452-0FB668261C98}"/>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7B8149ED-47BB-4213-A1AC-9D52372DC1E5}"/>
    <cellStyle name="Normal 9 2 2 2 4 2 3" xfId="11657" xr:uid="{7C95C7F5-561F-4C23-8AC2-5E269E9C026E}"/>
    <cellStyle name="Normal 9 2 2 2 4 3" xfId="5291" xr:uid="{00000000-0005-0000-0000-0000AE1E0000}"/>
    <cellStyle name="Normal 9 2 2 2 4 3 2" xfId="13730" xr:uid="{1645BD71-4BF9-4BE2-9F64-B634D7620C10}"/>
    <cellStyle name="Normal 9 2 2 2 4 4" xfId="9512" xr:uid="{38DAA897-A282-4F52-B125-CA04668D688B}"/>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1860E458-D7B1-48BF-B18F-606763ED3D0D}"/>
    <cellStyle name="Normal 9 2 2 2 5 2 3" xfId="12070" xr:uid="{4ADAC254-FBC2-451C-A3C3-54B389E45BEF}"/>
    <cellStyle name="Normal 9 2 2 2 5 3" xfId="5704" xr:uid="{00000000-0005-0000-0000-0000B21E0000}"/>
    <cellStyle name="Normal 9 2 2 2 5 3 2" xfId="14143" xr:uid="{53E79A19-F5DD-435F-8AA5-7A589DD48122}"/>
    <cellStyle name="Normal 9 2 2 2 5 4" xfId="9925" xr:uid="{E578C384-EDAE-430E-9BD6-7B1C39C4D49A}"/>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97A9AD75-39A0-4AD5-A759-E386B8EA69EA}"/>
    <cellStyle name="Normal 9 2 2 2 6 2 3" xfId="12483" xr:uid="{DF1C0655-B839-49E4-AEBB-6C8F3BDF9AF1}"/>
    <cellStyle name="Normal 9 2 2 2 6 3" xfId="6117" xr:uid="{00000000-0005-0000-0000-0000B61E0000}"/>
    <cellStyle name="Normal 9 2 2 2 6 3 2" xfId="14556" xr:uid="{E281E3DF-516E-42D9-AA2D-783080EE0801}"/>
    <cellStyle name="Normal 9 2 2 2 6 4" xfId="10338" xr:uid="{71A6320B-C0A9-4050-B5E8-8D04134239CF}"/>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5D7522E8-E747-4F9A-8002-2640D902AA61}"/>
    <cellStyle name="Normal 9 2 2 2 7 2 3" xfId="12896" xr:uid="{72058A79-8B4C-4249-8C85-E431F7A51465}"/>
    <cellStyle name="Normal 9 2 2 2 7 3" xfId="6530" xr:uid="{00000000-0005-0000-0000-0000BA1E0000}"/>
    <cellStyle name="Normal 9 2 2 2 7 3 2" xfId="14969" xr:uid="{6DECC45E-3773-445D-8480-89CE0C6BDB5F}"/>
    <cellStyle name="Normal 9 2 2 2 7 4" xfId="10751" xr:uid="{B9A9F664-50C2-459E-90D0-845CD465A15C}"/>
    <cellStyle name="Normal 9 2 2 2 8" xfId="2659" xr:uid="{00000000-0005-0000-0000-0000BB1E0000}"/>
    <cellStyle name="Normal 9 2 2 2 8 2" xfId="6943" xr:uid="{00000000-0005-0000-0000-0000BC1E0000}"/>
    <cellStyle name="Normal 9 2 2 2 8 2 2" xfId="15382" xr:uid="{7127B64A-624A-4568-BF55-362A4CE77579}"/>
    <cellStyle name="Normal 9 2 2 2 8 3" xfId="11164" xr:uid="{2FD57998-0D8E-4B47-9C0B-A5685040075A}"/>
    <cellStyle name="Normal 9 2 2 2 9" xfId="4878" xr:uid="{00000000-0005-0000-0000-0000BD1E0000}"/>
    <cellStyle name="Normal 9 2 2 2 9 2" xfId="13317" xr:uid="{57342C78-58D3-4B9F-8091-98A770AEAC72}"/>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E8CCAD61-B8EC-450F-B3D7-AB58704E9D79}"/>
    <cellStyle name="Normal 9 2 2 3 2 2 2 3" xfId="11662" xr:uid="{7FEC956A-7BF0-42FB-BEC4-2B93C55A4CB3}"/>
    <cellStyle name="Normal 9 2 2 3 2 2 3" xfId="5296" xr:uid="{00000000-0005-0000-0000-0000C31E0000}"/>
    <cellStyle name="Normal 9 2 2 3 2 2 3 2" xfId="13735" xr:uid="{9FF89EBC-E502-4309-908C-FFF317108CB6}"/>
    <cellStyle name="Normal 9 2 2 3 2 2 4" xfId="9517" xr:uid="{B8FF4CF5-5FAA-4063-80D4-CAC1119419C1}"/>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2D326301-A208-4E14-9B3C-85AFEBC01C95}"/>
    <cellStyle name="Normal 9 2 2 3 2 3 2 3" xfId="12075" xr:uid="{BF4E37D6-84EC-45CA-892F-A0659B47325F}"/>
    <cellStyle name="Normal 9 2 2 3 2 3 3" xfId="5709" xr:uid="{00000000-0005-0000-0000-0000C71E0000}"/>
    <cellStyle name="Normal 9 2 2 3 2 3 3 2" xfId="14148" xr:uid="{4AE38136-670E-4C12-87B3-3B137C47C02F}"/>
    <cellStyle name="Normal 9 2 2 3 2 3 4" xfId="9930" xr:uid="{1C727383-AB14-4988-93FD-F0F2BC1E8BA4}"/>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37C307AA-8881-4C19-B87A-2693BCCC775D}"/>
    <cellStyle name="Normal 9 2 2 3 2 4 2 3" xfId="12488" xr:uid="{91DF37E2-956A-4FA9-AC66-23BF11377BDB}"/>
    <cellStyle name="Normal 9 2 2 3 2 4 3" xfId="6122" xr:uid="{00000000-0005-0000-0000-0000CB1E0000}"/>
    <cellStyle name="Normal 9 2 2 3 2 4 3 2" xfId="14561" xr:uid="{D06B9AAB-263A-4604-8D1D-A72465DE4B1C}"/>
    <cellStyle name="Normal 9 2 2 3 2 4 4" xfId="10343" xr:uid="{5F2AABFD-7D15-447A-8671-81117762559E}"/>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717C0346-0BFE-4A59-B445-4407DD741921}"/>
    <cellStyle name="Normal 9 2 2 3 2 5 2 3" xfId="12901" xr:uid="{C96BA32E-B1DE-4BA3-9ED3-9C99755C7F53}"/>
    <cellStyle name="Normal 9 2 2 3 2 5 3" xfId="6535" xr:uid="{00000000-0005-0000-0000-0000CF1E0000}"/>
    <cellStyle name="Normal 9 2 2 3 2 5 3 2" xfId="14974" xr:uid="{0514D6F2-0A5E-427E-9D4F-C99755E7C823}"/>
    <cellStyle name="Normal 9 2 2 3 2 5 4" xfId="10756" xr:uid="{FA6F8DCD-92A9-4888-A177-73135D57C460}"/>
    <cellStyle name="Normal 9 2 2 3 2 6" xfId="2664" xr:uid="{00000000-0005-0000-0000-0000D01E0000}"/>
    <cellStyle name="Normal 9 2 2 3 2 6 2" xfId="6948" xr:uid="{00000000-0005-0000-0000-0000D11E0000}"/>
    <cellStyle name="Normal 9 2 2 3 2 6 2 2" xfId="15387" xr:uid="{02A8F5B1-0EC2-40D4-9671-3CF1EEB5305C}"/>
    <cellStyle name="Normal 9 2 2 3 2 6 3" xfId="11169" xr:uid="{EBA62A05-7D3F-4B6D-AE9B-70F3ABF4042E}"/>
    <cellStyle name="Normal 9 2 2 3 2 7" xfId="4883" xr:uid="{00000000-0005-0000-0000-0000D21E0000}"/>
    <cellStyle name="Normal 9 2 2 3 2 7 2" xfId="13322" xr:uid="{4D353519-3C5D-45F4-B0A4-F2336AF7ADAF}"/>
    <cellStyle name="Normal 9 2 2 3 2 8" xfId="9104" xr:uid="{4FE0BA3D-5268-44CB-80C4-42341351F73C}"/>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5DE40E12-447C-43F8-8050-D051C9879485}"/>
    <cellStyle name="Normal 9 2 2 3 3 2 3" xfId="11661" xr:uid="{99D7A76E-C94D-4957-BEF4-4602B6A9BA1C}"/>
    <cellStyle name="Normal 9 2 2 3 3 3" xfId="5295" xr:uid="{00000000-0005-0000-0000-0000D61E0000}"/>
    <cellStyle name="Normal 9 2 2 3 3 3 2" xfId="13734" xr:uid="{1B592515-6CE8-492A-92E1-E7512954FDEF}"/>
    <cellStyle name="Normal 9 2 2 3 3 4" xfId="9516" xr:uid="{EAB73FE9-3B06-4162-80E3-8FC596E1D09A}"/>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079C8D90-32C1-4741-B5C7-B1208059832A}"/>
    <cellStyle name="Normal 9 2 2 3 4 2 3" xfId="12074" xr:uid="{56094008-4EE9-4E68-8EAD-A22E44910A60}"/>
    <cellStyle name="Normal 9 2 2 3 4 3" xfId="5708" xr:uid="{00000000-0005-0000-0000-0000DA1E0000}"/>
    <cellStyle name="Normal 9 2 2 3 4 3 2" xfId="14147" xr:uid="{2FC2A1EA-1D2B-42F4-9965-F862F466798E}"/>
    <cellStyle name="Normal 9 2 2 3 4 4" xfId="9929" xr:uid="{DBC7FC61-E017-4CFB-AFF0-304A00ED3E8E}"/>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1E0DD240-8493-4B0E-90DE-39538175907A}"/>
    <cellStyle name="Normal 9 2 2 3 5 2 3" xfId="12487" xr:uid="{1AAA933F-FABE-43F7-9988-EDB6E689ECC3}"/>
    <cellStyle name="Normal 9 2 2 3 5 3" xfId="6121" xr:uid="{00000000-0005-0000-0000-0000DE1E0000}"/>
    <cellStyle name="Normal 9 2 2 3 5 3 2" xfId="14560" xr:uid="{7113F948-3A5E-4FFE-9E77-673EAF0914B0}"/>
    <cellStyle name="Normal 9 2 2 3 5 4" xfId="10342" xr:uid="{3EA266D4-CA7C-474D-9F68-877ED1B2704B}"/>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8CA38D43-39B1-4523-B623-383AD0C3846A}"/>
    <cellStyle name="Normal 9 2 2 3 6 2 3" xfId="12900" xr:uid="{39BEC570-EA94-4038-B47C-D2313BD16DCD}"/>
    <cellStyle name="Normal 9 2 2 3 6 3" xfId="6534" xr:uid="{00000000-0005-0000-0000-0000E21E0000}"/>
    <cellStyle name="Normal 9 2 2 3 6 3 2" xfId="14973" xr:uid="{0579FFC0-0E0E-4082-AB07-9A3492C8CFED}"/>
    <cellStyle name="Normal 9 2 2 3 6 4" xfId="10755" xr:uid="{59D0E35E-AA6C-4140-B244-174D89A81EEA}"/>
    <cellStyle name="Normal 9 2 2 3 7" xfId="2663" xr:uid="{00000000-0005-0000-0000-0000E31E0000}"/>
    <cellStyle name="Normal 9 2 2 3 7 2" xfId="6947" xr:uid="{00000000-0005-0000-0000-0000E41E0000}"/>
    <cellStyle name="Normal 9 2 2 3 7 2 2" xfId="15386" xr:uid="{A186F3B9-5FD4-47A3-8780-23D1FFA777F0}"/>
    <cellStyle name="Normal 9 2 2 3 7 3" xfId="11168" xr:uid="{E1C896B9-AE36-4275-AAE0-97E9D9270EDF}"/>
    <cellStyle name="Normal 9 2 2 3 8" xfId="4882" xr:uid="{00000000-0005-0000-0000-0000E51E0000}"/>
    <cellStyle name="Normal 9 2 2 3 8 2" xfId="13321" xr:uid="{EC90C3C7-1D68-4550-8675-E9D436120FC8}"/>
    <cellStyle name="Normal 9 2 2 3 9" xfId="9103" xr:uid="{4821DAB9-0AE7-414F-8279-286BE3C8C5AF}"/>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8FEE9CD0-4C75-4F64-861B-A27AA7A373D0}"/>
    <cellStyle name="Normal 9 2 2 4 2 2 3" xfId="11663" xr:uid="{5E431F2D-64A7-4E0D-9BB1-DB1DCB7AE595}"/>
    <cellStyle name="Normal 9 2 2 4 2 3" xfId="5297" xr:uid="{00000000-0005-0000-0000-0000EA1E0000}"/>
    <cellStyle name="Normal 9 2 2 4 2 3 2" xfId="13736" xr:uid="{F23DEA04-CA10-4BEF-A8F1-8954883110D4}"/>
    <cellStyle name="Normal 9 2 2 4 2 4" xfId="9518" xr:uid="{3E7FDA0D-B442-4A6D-A4D6-86A945B703A9}"/>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C1CC7E4B-5B4A-4362-9DE5-EA207AB06C97}"/>
    <cellStyle name="Normal 9 2 2 4 3 2 3" xfId="12076" xr:uid="{955251EF-BCC8-4A24-8B87-2AD512A81E06}"/>
    <cellStyle name="Normal 9 2 2 4 3 3" xfId="5710" xr:uid="{00000000-0005-0000-0000-0000EE1E0000}"/>
    <cellStyle name="Normal 9 2 2 4 3 3 2" xfId="14149" xr:uid="{D7B353BE-EAF3-480C-A8AF-B170FBFF968F}"/>
    <cellStyle name="Normal 9 2 2 4 3 4" xfId="9931" xr:uid="{7CF72F44-1051-4C5D-9F69-CEFB8881E6F0}"/>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6021142B-9D30-4211-8D45-AE77130F4DC3}"/>
    <cellStyle name="Normal 9 2 2 4 4 2 3" xfId="12489" xr:uid="{E29FB7E5-6A8E-4E67-A306-4F710AD0419F}"/>
    <cellStyle name="Normal 9 2 2 4 4 3" xfId="6123" xr:uid="{00000000-0005-0000-0000-0000F21E0000}"/>
    <cellStyle name="Normal 9 2 2 4 4 3 2" xfId="14562" xr:uid="{4324CCE7-F0C6-446B-A3C7-A01E44320A2C}"/>
    <cellStyle name="Normal 9 2 2 4 4 4" xfId="10344" xr:uid="{34005973-B898-47AE-B73F-D75C57158EA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0D547B39-4388-4608-AC65-199FCDCC5769}"/>
    <cellStyle name="Normal 9 2 2 4 5 2 3" xfId="12902" xr:uid="{E8549E03-8E89-4E32-B7E4-195D46FE3D52}"/>
    <cellStyle name="Normal 9 2 2 4 5 3" xfId="6536" xr:uid="{00000000-0005-0000-0000-0000F61E0000}"/>
    <cellStyle name="Normal 9 2 2 4 5 3 2" xfId="14975" xr:uid="{3F57E0D0-DA49-471E-84B6-8BCEB8EA1E47}"/>
    <cellStyle name="Normal 9 2 2 4 5 4" xfId="10757" xr:uid="{293ED5B3-5480-45D2-8C8D-2E3C0F4E5CFC}"/>
    <cellStyle name="Normal 9 2 2 4 6" xfId="2665" xr:uid="{00000000-0005-0000-0000-0000F71E0000}"/>
    <cellStyle name="Normal 9 2 2 4 6 2" xfId="6949" xr:uid="{00000000-0005-0000-0000-0000F81E0000}"/>
    <cellStyle name="Normal 9 2 2 4 6 2 2" xfId="15388" xr:uid="{9D6DCD3E-79BE-4F7C-A9F3-D22C1B77F2C3}"/>
    <cellStyle name="Normal 9 2 2 4 6 3" xfId="11170" xr:uid="{5B4F7A17-E6FA-437B-A9D6-65269B0DDC58}"/>
    <cellStyle name="Normal 9 2 2 4 7" xfId="4884" xr:uid="{00000000-0005-0000-0000-0000F91E0000}"/>
    <cellStyle name="Normal 9 2 2 4 7 2" xfId="13323" xr:uid="{E77B42E6-5ED0-4319-A3A3-5029B93A2389}"/>
    <cellStyle name="Normal 9 2 2 4 8" xfId="9105" xr:uid="{0B6C8AE9-FFC1-434A-9DB4-4A94A3A08F05}"/>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524B20DA-006E-4ACB-B867-16DB9C05C3B2}"/>
    <cellStyle name="Normal 9 2 2 5 2 3" xfId="11656" xr:uid="{73DFCB25-6FF6-4331-BDF5-E2320B1696FC}"/>
    <cellStyle name="Normal 9 2 2 5 3" xfId="5290" xr:uid="{00000000-0005-0000-0000-0000FD1E0000}"/>
    <cellStyle name="Normal 9 2 2 5 3 2" xfId="13729" xr:uid="{7F45A31E-32E2-4213-8B38-C7678FDA455B}"/>
    <cellStyle name="Normal 9 2 2 5 4" xfId="9511" xr:uid="{4284F8E3-FF43-42CC-A906-EB333364904D}"/>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451BBE4F-8960-4F95-BE45-F59643846C3B}"/>
    <cellStyle name="Normal 9 2 2 6 2 3" xfId="12069" xr:uid="{F3207A4F-F9C3-4343-A781-AD245C0181F3}"/>
    <cellStyle name="Normal 9 2 2 6 3" xfId="5703" xr:uid="{00000000-0005-0000-0000-0000011F0000}"/>
    <cellStyle name="Normal 9 2 2 6 3 2" xfId="14142" xr:uid="{18B7E7AD-E3BD-4115-8B11-88AC294CFDE4}"/>
    <cellStyle name="Normal 9 2 2 6 4" xfId="9924" xr:uid="{2B1CC2C5-FF0B-449F-95FD-CCA316360901}"/>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D93044B6-5FE6-4CDF-854B-7216EFEDF0E0}"/>
    <cellStyle name="Normal 9 2 2 7 2 3" xfId="12482" xr:uid="{9D7AF4D9-7551-4E4E-836D-90A7038FC2D8}"/>
    <cellStyle name="Normal 9 2 2 7 3" xfId="6116" xr:uid="{00000000-0005-0000-0000-0000051F0000}"/>
    <cellStyle name="Normal 9 2 2 7 3 2" xfId="14555" xr:uid="{D6BFA806-C87C-49B2-9036-0D478279BBE0}"/>
    <cellStyle name="Normal 9 2 2 7 4" xfId="10337" xr:uid="{8DDF1D8C-123C-4367-B5A2-075BB0654F80}"/>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7F3DC04F-DD07-4103-810E-1A5B657CFAE1}"/>
    <cellStyle name="Normal 9 2 2 8 2 3" xfId="12895" xr:uid="{362A9727-6057-449D-9942-6AB389803014}"/>
    <cellStyle name="Normal 9 2 2 8 3" xfId="6529" xr:uid="{00000000-0005-0000-0000-0000091F0000}"/>
    <cellStyle name="Normal 9 2 2 8 3 2" xfId="14968" xr:uid="{BD2142E7-C343-47E5-AE58-38F59B6370B7}"/>
    <cellStyle name="Normal 9 2 2 8 4" xfId="10750" xr:uid="{75D37097-CBA8-4386-B8C0-8815F51AA5A4}"/>
    <cellStyle name="Normal 9 2 2 9" xfId="2658" xr:uid="{00000000-0005-0000-0000-00000A1F0000}"/>
    <cellStyle name="Normal 9 2 2 9 2" xfId="6942" xr:uid="{00000000-0005-0000-0000-00000B1F0000}"/>
    <cellStyle name="Normal 9 2 2 9 2 2" xfId="15381" xr:uid="{3C5D6064-B04B-43FF-87FD-A319623F5BF9}"/>
    <cellStyle name="Normal 9 2 2 9 3" xfId="11163" xr:uid="{E8C05577-C367-457F-AA74-86FCA4496555}"/>
    <cellStyle name="Normal 9 2 3" xfId="520" xr:uid="{00000000-0005-0000-0000-00000C1F0000}"/>
    <cellStyle name="Normal 9 2 3 10" xfId="9106" xr:uid="{F8661493-E14E-4639-9057-B2385123C365}"/>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1A9812C0-8B0F-48C6-B70F-2B5D84704646}"/>
    <cellStyle name="Normal 9 2 3 2 2 2 2 3" xfId="11666" xr:uid="{C61F572B-1D91-4BB3-81C5-2CD92B8A5CF1}"/>
    <cellStyle name="Normal 9 2 3 2 2 2 3" xfId="5300" xr:uid="{00000000-0005-0000-0000-0000121F0000}"/>
    <cellStyle name="Normal 9 2 3 2 2 2 3 2" xfId="13739" xr:uid="{A892E6CA-C0D2-44EB-A8EF-D8C7E2D61512}"/>
    <cellStyle name="Normal 9 2 3 2 2 2 4" xfId="9521" xr:uid="{CEE7EEC9-9EE4-4C52-BA7C-723D5355786F}"/>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2E44C14D-FBFB-4BEE-9AFE-40B51A8FAE1D}"/>
    <cellStyle name="Normal 9 2 3 2 2 3 2 3" xfId="12079" xr:uid="{869BA80B-F75D-4DB6-ADD9-C1D48C34906F}"/>
    <cellStyle name="Normal 9 2 3 2 2 3 3" xfId="5713" xr:uid="{00000000-0005-0000-0000-0000161F0000}"/>
    <cellStyle name="Normal 9 2 3 2 2 3 3 2" xfId="14152" xr:uid="{7191BC74-CEAB-4C11-BE30-8758E960792A}"/>
    <cellStyle name="Normal 9 2 3 2 2 3 4" xfId="9934" xr:uid="{3893FD32-CC32-4F92-BC2D-8B233896156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C41F84A0-0976-474B-9321-D7C3DFECC4F3}"/>
    <cellStyle name="Normal 9 2 3 2 2 4 2 3" xfId="12492" xr:uid="{D3BC4A19-C9CD-4545-8DFC-063A3152D643}"/>
    <cellStyle name="Normal 9 2 3 2 2 4 3" xfId="6126" xr:uid="{00000000-0005-0000-0000-00001A1F0000}"/>
    <cellStyle name="Normal 9 2 3 2 2 4 3 2" xfId="14565" xr:uid="{1DE3D396-0A40-4FDE-8B3C-4D0AF7AF0B29}"/>
    <cellStyle name="Normal 9 2 3 2 2 4 4" xfId="10347" xr:uid="{17CC6761-F52B-47CC-BA90-A70F8D421905}"/>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6FD3AFB5-2584-409B-9147-05684753B424}"/>
    <cellStyle name="Normal 9 2 3 2 2 5 2 3" xfId="12905" xr:uid="{AC5AF342-3FD4-4CAB-9A70-A23BE2825AD2}"/>
    <cellStyle name="Normal 9 2 3 2 2 5 3" xfId="6539" xr:uid="{00000000-0005-0000-0000-00001E1F0000}"/>
    <cellStyle name="Normal 9 2 3 2 2 5 3 2" xfId="14978" xr:uid="{DFAC3863-7EC0-4D2C-9F9E-FE2EBDC7D411}"/>
    <cellStyle name="Normal 9 2 3 2 2 5 4" xfId="10760" xr:uid="{E727C34F-FD29-46C5-92FD-79422DE3FAF9}"/>
    <cellStyle name="Normal 9 2 3 2 2 6" xfId="2668" xr:uid="{00000000-0005-0000-0000-00001F1F0000}"/>
    <cellStyle name="Normal 9 2 3 2 2 6 2" xfId="6952" xr:uid="{00000000-0005-0000-0000-0000201F0000}"/>
    <cellStyle name="Normal 9 2 3 2 2 6 2 2" xfId="15391" xr:uid="{DEA1E7FB-935E-46E4-B689-F5D8210A3905}"/>
    <cellStyle name="Normal 9 2 3 2 2 6 3" xfId="11173" xr:uid="{E520BEFC-C780-4F9D-9EAA-8E6928F225DA}"/>
    <cellStyle name="Normal 9 2 3 2 2 7" xfId="4887" xr:uid="{00000000-0005-0000-0000-0000211F0000}"/>
    <cellStyle name="Normal 9 2 3 2 2 7 2" xfId="13326" xr:uid="{22CDEF47-AC05-4BD9-AD86-A198F7BD01AB}"/>
    <cellStyle name="Normal 9 2 3 2 2 8" xfId="9108" xr:uid="{29D14A5B-0AB0-42AF-B8BD-FF06FB8FB421}"/>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CF473EFB-DB90-43A4-B3BF-080515CEFCDE}"/>
    <cellStyle name="Normal 9 2 3 2 3 2 3" xfId="11665" xr:uid="{D61AB44C-6479-4AE3-AE2E-982A564932BC}"/>
    <cellStyle name="Normal 9 2 3 2 3 3" xfId="5299" xr:uid="{00000000-0005-0000-0000-0000251F0000}"/>
    <cellStyle name="Normal 9 2 3 2 3 3 2" xfId="13738" xr:uid="{3501762A-C9AF-4C84-9996-A6702EC0A9CD}"/>
    <cellStyle name="Normal 9 2 3 2 3 4" xfId="9520" xr:uid="{165F951B-7135-4CD6-A39F-4B985A497C5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70BDBD5F-4579-4C40-862D-FC3224625480}"/>
    <cellStyle name="Normal 9 2 3 2 4 2 3" xfId="12078" xr:uid="{F480BC0E-58C2-4C79-8E9E-D6AD29EB6443}"/>
    <cellStyle name="Normal 9 2 3 2 4 3" xfId="5712" xr:uid="{00000000-0005-0000-0000-0000291F0000}"/>
    <cellStyle name="Normal 9 2 3 2 4 3 2" xfId="14151" xr:uid="{92F8C808-0404-4043-9642-2779CEB81256}"/>
    <cellStyle name="Normal 9 2 3 2 4 4" xfId="9933" xr:uid="{AA2C8197-D17A-47EE-B2A4-7624EB29242F}"/>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47112077-121E-4A7B-A69A-F009FC65AB7F}"/>
    <cellStyle name="Normal 9 2 3 2 5 2 3" xfId="12491" xr:uid="{F4A47F52-039C-4D08-9877-AF80A845E372}"/>
    <cellStyle name="Normal 9 2 3 2 5 3" xfId="6125" xr:uid="{00000000-0005-0000-0000-00002D1F0000}"/>
    <cellStyle name="Normal 9 2 3 2 5 3 2" xfId="14564" xr:uid="{63DCBF53-76D3-478D-9880-28FAE23EFE11}"/>
    <cellStyle name="Normal 9 2 3 2 5 4" xfId="10346" xr:uid="{4D3329D1-D706-4597-B1B1-DC72ED0264DC}"/>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CA1DB481-0BB4-451C-BE81-6892FB6B83FB}"/>
    <cellStyle name="Normal 9 2 3 2 6 2 3" xfId="12904" xr:uid="{48546F13-F269-4040-876B-B20B40BA2776}"/>
    <cellStyle name="Normal 9 2 3 2 6 3" xfId="6538" xr:uid="{00000000-0005-0000-0000-0000311F0000}"/>
    <cellStyle name="Normal 9 2 3 2 6 3 2" xfId="14977" xr:uid="{300F74F6-139F-4956-A2D3-3BEDDFE9CACD}"/>
    <cellStyle name="Normal 9 2 3 2 6 4" xfId="10759" xr:uid="{E88FD23E-729F-4748-91D6-27B14E047341}"/>
    <cellStyle name="Normal 9 2 3 2 7" xfId="2667" xr:uid="{00000000-0005-0000-0000-0000321F0000}"/>
    <cellStyle name="Normal 9 2 3 2 7 2" xfId="6951" xr:uid="{00000000-0005-0000-0000-0000331F0000}"/>
    <cellStyle name="Normal 9 2 3 2 7 2 2" xfId="15390" xr:uid="{BB822DD4-6EFD-4E40-80A9-04B82E645392}"/>
    <cellStyle name="Normal 9 2 3 2 7 3" xfId="11172" xr:uid="{8A4AD00D-6407-40A7-AF4B-910E0DD3FF2F}"/>
    <cellStyle name="Normal 9 2 3 2 8" xfId="4886" xr:uid="{00000000-0005-0000-0000-0000341F0000}"/>
    <cellStyle name="Normal 9 2 3 2 8 2" xfId="13325" xr:uid="{2BCF8281-AB21-4816-9EAC-4793DFF6525F}"/>
    <cellStyle name="Normal 9 2 3 2 9" xfId="9107" xr:uid="{0865BA7C-A944-4F55-9FF8-5287FCCBDFBA}"/>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515CA8B5-F548-4A3E-A600-8395BA3DB75E}"/>
    <cellStyle name="Normal 9 2 3 3 2 2 3" xfId="11667" xr:uid="{D9640070-064A-4044-B223-58114AE7521E}"/>
    <cellStyle name="Normal 9 2 3 3 2 3" xfId="5301" xr:uid="{00000000-0005-0000-0000-0000391F0000}"/>
    <cellStyle name="Normal 9 2 3 3 2 3 2" xfId="13740" xr:uid="{95412FEE-1B0D-47B4-84E2-180BC76C3507}"/>
    <cellStyle name="Normal 9 2 3 3 2 4" xfId="9522" xr:uid="{388CAEFD-F373-4EE5-8370-AB763ACDD3B5}"/>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DA4B6565-4CC8-49B9-98E4-25266118DCAB}"/>
    <cellStyle name="Normal 9 2 3 3 3 2 3" xfId="12080" xr:uid="{15B84A7A-7915-4559-9B60-7E57853B2481}"/>
    <cellStyle name="Normal 9 2 3 3 3 3" xfId="5714" xr:uid="{00000000-0005-0000-0000-00003D1F0000}"/>
    <cellStyle name="Normal 9 2 3 3 3 3 2" xfId="14153" xr:uid="{7C380B80-7FDE-409B-8C65-77C87A95807C}"/>
    <cellStyle name="Normal 9 2 3 3 3 4" xfId="9935" xr:uid="{51B0FED9-8B53-49C9-8560-0B474773D042}"/>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396BA76D-0B74-4E2A-A360-B6B8D5FD93A9}"/>
    <cellStyle name="Normal 9 2 3 3 4 2 3" xfId="12493" xr:uid="{01C97245-FBDC-4434-B8E9-95B70B822637}"/>
    <cellStyle name="Normal 9 2 3 3 4 3" xfId="6127" xr:uid="{00000000-0005-0000-0000-0000411F0000}"/>
    <cellStyle name="Normal 9 2 3 3 4 3 2" xfId="14566" xr:uid="{9AE5AD3F-7B11-44BC-A84F-F99555B6D063}"/>
    <cellStyle name="Normal 9 2 3 3 4 4" xfId="10348" xr:uid="{5C6E5146-9561-4E69-B16F-B9F785BD8AEE}"/>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1BCD9F30-CE88-4832-B4C9-60A640DE347B}"/>
    <cellStyle name="Normal 9 2 3 3 5 2 3" xfId="12906" xr:uid="{4658EEDE-129E-4B6C-AC72-AD8C5E8CDB35}"/>
    <cellStyle name="Normal 9 2 3 3 5 3" xfId="6540" xr:uid="{00000000-0005-0000-0000-0000451F0000}"/>
    <cellStyle name="Normal 9 2 3 3 5 3 2" xfId="14979" xr:uid="{34F0ED8B-341E-4FE9-A410-0749F46BDBDC}"/>
    <cellStyle name="Normal 9 2 3 3 5 4" xfId="10761" xr:uid="{9A13515D-DC1A-480F-A8E1-3C2CFB5034DC}"/>
    <cellStyle name="Normal 9 2 3 3 6" xfId="2669" xr:uid="{00000000-0005-0000-0000-0000461F0000}"/>
    <cellStyle name="Normal 9 2 3 3 6 2" xfId="6953" xr:uid="{00000000-0005-0000-0000-0000471F0000}"/>
    <cellStyle name="Normal 9 2 3 3 6 2 2" xfId="15392" xr:uid="{FD97B371-3C89-468E-86D5-4ABFA61ABBB9}"/>
    <cellStyle name="Normal 9 2 3 3 6 3" xfId="11174" xr:uid="{7A82AF1E-007D-4778-9C2F-411CEFD35D4D}"/>
    <cellStyle name="Normal 9 2 3 3 7" xfId="4888" xr:uid="{00000000-0005-0000-0000-0000481F0000}"/>
    <cellStyle name="Normal 9 2 3 3 7 2" xfId="13327" xr:uid="{3D535664-2CFD-48EB-87DA-D25AA94B4E27}"/>
    <cellStyle name="Normal 9 2 3 3 8" xfId="9109" xr:uid="{85312E25-FA27-487D-A082-A9B97FDFEBBE}"/>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EEED7EAC-F167-4C7D-B5AA-2E27A008034F}"/>
    <cellStyle name="Normal 9 2 3 4 2 3" xfId="11664" xr:uid="{86A41D1D-C4B9-4BF7-ACA8-8DD5B6085B30}"/>
    <cellStyle name="Normal 9 2 3 4 3" xfId="5298" xr:uid="{00000000-0005-0000-0000-00004C1F0000}"/>
    <cellStyle name="Normal 9 2 3 4 3 2" xfId="13737" xr:uid="{70CF7178-B7BB-45DE-916A-AEF7F0ED6D1D}"/>
    <cellStyle name="Normal 9 2 3 4 4" xfId="9519" xr:uid="{4DF5384F-3BDD-4212-80EB-FD9651EC1D20}"/>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1B458B1F-F13D-4AE2-82B3-CBC3437448BC}"/>
    <cellStyle name="Normal 9 2 3 5 2 3" xfId="12077" xr:uid="{72F305C2-44AF-44C5-97AB-F688380FBA7F}"/>
    <cellStyle name="Normal 9 2 3 5 3" xfId="5711" xr:uid="{00000000-0005-0000-0000-0000501F0000}"/>
    <cellStyle name="Normal 9 2 3 5 3 2" xfId="14150" xr:uid="{C2C7D87A-A778-4B37-B8CB-64BF1DB943EE}"/>
    <cellStyle name="Normal 9 2 3 5 4" xfId="9932" xr:uid="{F032B3BF-1069-4A9F-8395-BBBE7C670B8C}"/>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8AFD19B7-E2A0-48F4-9EB3-2D657525D982}"/>
    <cellStyle name="Normal 9 2 3 6 2 3" xfId="12490" xr:uid="{8C53F359-8E67-4FDB-BA76-38D13D1BF91C}"/>
    <cellStyle name="Normal 9 2 3 6 3" xfId="6124" xr:uid="{00000000-0005-0000-0000-0000541F0000}"/>
    <cellStyle name="Normal 9 2 3 6 3 2" xfId="14563" xr:uid="{F0EF9D50-FEFD-4982-ACBF-98710114DCC9}"/>
    <cellStyle name="Normal 9 2 3 6 4" xfId="10345" xr:uid="{440138AD-7FD1-4745-8E6F-F5BEA18065A7}"/>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5A2570E0-4CFA-41E4-B30C-7AC98CCE111E}"/>
    <cellStyle name="Normal 9 2 3 7 2 3" xfId="12903" xr:uid="{78ED0D40-1765-46CD-AB64-3288DC1F6C57}"/>
    <cellStyle name="Normal 9 2 3 7 3" xfId="6537" xr:uid="{00000000-0005-0000-0000-0000581F0000}"/>
    <cellStyle name="Normal 9 2 3 7 3 2" xfId="14976" xr:uid="{91056410-7F54-4960-B0B6-312D0CF1419F}"/>
    <cellStyle name="Normal 9 2 3 7 4" xfId="10758" xr:uid="{2EA9C714-6DE2-4DB9-8297-E34CC19E6ADF}"/>
    <cellStyle name="Normal 9 2 3 8" xfId="2666" xr:uid="{00000000-0005-0000-0000-0000591F0000}"/>
    <cellStyle name="Normal 9 2 3 8 2" xfId="6950" xr:uid="{00000000-0005-0000-0000-00005A1F0000}"/>
    <cellStyle name="Normal 9 2 3 8 2 2" xfId="15389" xr:uid="{4D7DB5F8-53D7-4F4A-9612-CBD0003006A3}"/>
    <cellStyle name="Normal 9 2 3 8 3" xfId="11171" xr:uid="{645C49EA-E544-4789-9A37-BE1D9807BCA4}"/>
    <cellStyle name="Normal 9 2 3 9" xfId="4885" xr:uid="{00000000-0005-0000-0000-00005B1F0000}"/>
    <cellStyle name="Normal 9 2 3 9 2" xfId="13324" xr:uid="{DDE0185F-9682-48FC-9764-71AD6D10E019}"/>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E617EBFB-EFDF-4571-87D0-EA9846D2E6E1}"/>
    <cellStyle name="Normal 9 2 4 2 2 2 3" xfId="11669" xr:uid="{E74A56DA-7364-4355-A72B-36E3DA8F7CA9}"/>
    <cellStyle name="Normal 9 2 4 2 2 3" xfId="5303" xr:uid="{00000000-0005-0000-0000-0000611F0000}"/>
    <cellStyle name="Normal 9 2 4 2 2 3 2" xfId="13742" xr:uid="{5C4C7FE8-6AF2-4B06-A2E7-D79F291F78B9}"/>
    <cellStyle name="Normal 9 2 4 2 2 4" xfId="9524" xr:uid="{23B1A422-0C54-46E8-9ACB-FBBBF58FAD5A}"/>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D8EAE206-5357-4DED-B3CC-79ED49434C08}"/>
    <cellStyle name="Normal 9 2 4 2 3 2 3" xfId="12082" xr:uid="{2C4E8198-330B-47FA-B6CE-090917D40986}"/>
    <cellStyle name="Normal 9 2 4 2 3 3" xfId="5716" xr:uid="{00000000-0005-0000-0000-0000651F0000}"/>
    <cellStyle name="Normal 9 2 4 2 3 3 2" xfId="14155" xr:uid="{E2B3325F-CFCC-41EF-9058-A0FB3C77A1F7}"/>
    <cellStyle name="Normal 9 2 4 2 3 4" xfId="9937" xr:uid="{0B14E7C6-B956-453A-B2B4-EE75DEB092B3}"/>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A3FC3F81-B35D-42EA-8B9F-B77D8A9E8939}"/>
    <cellStyle name="Normal 9 2 4 2 4 2 3" xfId="12495" xr:uid="{3E5AA10C-BE29-43A5-8D55-79835FA0F59A}"/>
    <cellStyle name="Normal 9 2 4 2 4 3" xfId="6129" xr:uid="{00000000-0005-0000-0000-0000691F0000}"/>
    <cellStyle name="Normal 9 2 4 2 4 3 2" xfId="14568" xr:uid="{EEB18D05-399A-4BAF-A10B-AC751F40FE84}"/>
    <cellStyle name="Normal 9 2 4 2 4 4" xfId="10350" xr:uid="{95DF80E3-B984-4CB6-AC4F-317AFBDCB954}"/>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BE6D4959-6E80-45AF-960B-0F5306274ED4}"/>
    <cellStyle name="Normal 9 2 4 2 5 2 3" xfId="12908" xr:uid="{269EA6B0-6698-4EEF-81B3-8E6DAA2C8973}"/>
    <cellStyle name="Normal 9 2 4 2 5 3" xfId="6542" xr:uid="{00000000-0005-0000-0000-00006D1F0000}"/>
    <cellStyle name="Normal 9 2 4 2 5 3 2" xfId="14981" xr:uid="{A8C24CA3-0D4D-48F8-82ED-AB2C5182D203}"/>
    <cellStyle name="Normal 9 2 4 2 5 4" xfId="10763" xr:uid="{0ED99F41-8070-4D33-96FC-D52FEB45F0A1}"/>
    <cellStyle name="Normal 9 2 4 2 6" xfId="2671" xr:uid="{00000000-0005-0000-0000-00006E1F0000}"/>
    <cellStyle name="Normal 9 2 4 2 6 2" xfId="6955" xr:uid="{00000000-0005-0000-0000-00006F1F0000}"/>
    <cellStyle name="Normal 9 2 4 2 6 2 2" xfId="15394" xr:uid="{367FFE22-AD3B-4F2B-A46D-0F1FFFF78DAD}"/>
    <cellStyle name="Normal 9 2 4 2 6 3" xfId="11176" xr:uid="{2B08985C-11AD-4640-B0BF-8CF91BC6CC3D}"/>
    <cellStyle name="Normal 9 2 4 2 7" xfId="4890" xr:uid="{00000000-0005-0000-0000-0000701F0000}"/>
    <cellStyle name="Normal 9 2 4 2 7 2" xfId="13329" xr:uid="{B6D611A4-D91C-4CFA-ABDA-2273A60729FF}"/>
    <cellStyle name="Normal 9 2 4 2 8" xfId="9111" xr:uid="{28BF391D-C4DA-4A73-A125-217E149B1AC9}"/>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FA8804E1-77D2-4DCC-9DC7-4E75E0C4A579}"/>
    <cellStyle name="Normal 9 2 4 3 2 3" xfId="11668" xr:uid="{628555CE-599C-4D40-8D7A-E7FAD01D87C3}"/>
    <cellStyle name="Normal 9 2 4 3 3" xfId="5302" xr:uid="{00000000-0005-0000-0000-0000741F0000}"/>
    <cellStyle name="Normal 9 2 4 3 3 2" xfId="13741" xr:uid="{56691E18-AF49-47AB-8C59-B4DA29DD447D}"/>
    <cellStyle name="Normal 9 2 4 3 4" xfId="9523" xr:uid="{431BC44E-D533-4B60-B787-F1A3CCC3BFD6}"/>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4920F246-AFE8-417F-9685-375697F9118C}"/>
    <cellStyle name="Normal 9 2 4 4 2 3" xfId="12081" xr:uid="{EEE83C40-D784-47D0-B73C-D3FFDFB6A56E}"/>
    <cellStyle name="Normal 9 2 4 4 3" xfId="5715" xr:uid="{00000000-0005-0000-0000-0000781F0000}"/>
    <cellStyle name="Normal 9 2 4 4 3 2" xfId="14154" xr:uid="{7DD93F6E-C23B-4777-B980-FA901BFAA473}"/>
    <cellStyle name="Normal 9 2 4 4 4" xfId="9936" xr:uid="{298B09A9-D85C-47D9-806A-43D74C89F7E2}"/>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396F330D-09D7-4B82-8B12-50277227C225}"/>
    <cellStyle name="Normal 9 2 4 5 2 3" xfId="12494" xr:uid="{A7B90BF5-A272-4982-9162-24392DF44A16}"/>
    <cellStyle name="Normal 9 2 4 5 3" xfId="6128" xr:uid="{00000000-0005-0000-0000-00007C1F0000}"/>
    <cellStyle name="Normal 9 2 4 5 3 2" xfId="14567" xr:uid="{6A446079-9DE1-452C-9F7E-090DC2D39891}"/>
    <cellStyle name="Normal 9 2 4 5 4" xfId="10349" xr:uid="{58C321CB-2362-48E0-B0E8-69AAC9D84DC9}"/>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C8F8ECD0-38D4-4BB9-A84C-F066CE4526FC}"/>
    <cellStyle name="Normal 9 2 4 6 2 3" xfId="12907" xr:uid="{D14C89BC-E497-458E-BA6F-E65F4FA3CE4E}"/>
    <cellStyle name="Normal 9 2 4 6 3" xfId="6541" xr:uid="{00000000-0005-0000-0000-0000801F0000}"/>
    <cellStyle name="Normal 9 2 4 6 3 2" xfId="14980" xr:uid="{6E417AD1-D90D-478D-AD4D-9CA342F88EF7}"/>
    <cellStyle name="Normal 9 2 4 6 4" xfId="10762" xr:uid="{F310BB43-BCF3-4E4D-BB19-D8B9399B0A3F}"/>
    <cellStyle name="Normal 9 2 4 7" xfId="2670" xr:uid="{00000000-0005-0000-0000-0000811F0000}"/>
    <cellStyle name="Normal 9 2 4 7 2" xfId="6954" xr:uid="{00000000-0005-0000-0000-0000821F0000}"/>
    <cellStyle name="Normal 9 2 4 7 2 2" xfId="15393" xr:uid="{D9E62D3E-5875-49A7-A8E7-2344518197C9}"/>
    <cellStyle name="Normal 9 2 4 7 3" xfId="11175" xr:uid="{9565323A-761F-4FFE-8E9C-AF01C0C4FC6A}"/>
    <cellStyle name="Normal 9 2 4 8" xfId="4889" xr:uid="{00000000-0005-0000-0000-0000831F0000}"/>
    <cellStyle name="Normal 9 2 4 8 2" xfId="13328" xr:uid="{A95057D5-D3BB-4EB4-9A66-E25A95C116ED}"/>
    <cellStyle name="Normal 9 2 4 9" xfId="9110" xr:uid="{4C6EEA77-126A-4DB9-8C8B-F122BD0F5097}"/>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E5F87CF7-42B8-48B8-9BCC-B0DA8B629EF8}"/>
    <cellStyle name="Normal 9 2 5 2 2 3" xfId="11670" xr:uid="{DB7B91BF-F0F1-4B60-813A-4C6AC9E1219C}"/>
    <cellStyle name="Normal 9 2 5 2 3" xfId="5304" xr:uid="{00000000-0005-0000-0000-0000881F0000}"/>
    <cellStyle name="Normal 9 2 5 2 3 2" xfId="13743" xr:uid="{C782B5F0-875E-4FD0-85BA-ED5BE346DC8F}"/>
    <cellStyle name="Normal 9 2 5 2 4" xfId="9525" xr:uid="{844CD7C7-8ABD-4AF9-95FC-F41B97D70E79}"/>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D052671B-FD6E-4BFE-869C-730CD3041568}"/>
    <cellStyle name="Normal 9 2 5 3 2 3" xfId="12083" xr:uid="{2660CD14-3B16-401E-A0D6-15941B93CCFA}"/>
    <cellStyle name="Normal 9 2 5 3 3" xfId="5717" xr:uid="{00000000-0005-0000-0000-00008C1F0000}"/>
    <cellStyle name="Normal 9 2 5 3 3 2" xfId="14156" xr:uid="{5EEA3D20-3D99-4535-A977-EEB792B91CE7}"/>
    <cellStyle name="Normal 9 2 5 3 4" xfId="9938" xr:uid="{3005F1F9-7353-4C9D-BEF1-5C9F83954249}"/>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96996145-2AF6-4623-BE8C-7B39AF93F379}"/>
    <cellStyle name="Normal 9 2 5 4 2 3" xfId="12496" xr:uid="{6B502FA8-BDF8-4C6E-B3B7-C44563642BD5}"/>
    <cellStyle name="Normal 9 2 5 4 3" xfId="6130" xr:uid="{00000000-0005-0000-0000-0000901F0000}"/>
    <cellStyle name="Normal 9 2 5 4 3 2" xfId="14569" xr:uid="{1531976B-51C1-43B6-AA83-11115445361C}"/>
    <cellStyle name="Normal 9 2 5 4 4" xfId="10351" xr:uid="{1EC05012-BA53-441B-B9C6-7BA33DF9F51B}"/>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90318AD0-10B6-49D0-8435-056BEBF15F42}"/>
    <cellStyle name="Normal 9 2 5 5 2 3" xfId="12909" xr:uid="{4D0C7824-2F6D-429D-8E8A-44B7CD29943A}"/>
    <cellStyle name="Normal 9 2 5 5 3" xfId="6543" xr:uid="{00000000-0005-0000-0000-0000941F0000}"/>
    <cellStyle name="Normal 9 2 5 5 3 2" xfId="14982" xr:uid="{70D46D7A-732A-4210-B363-71F1D314C5BF}"/>
    <cellStyle name="Normal 9 2 5 5 4" xfId="10764" xr:uid="{F07EF475-5055-4B56-A9AB-73EEE5480843}"/>
    <cellStyle name="Normal 9 2 5 6" xfId="2672" xr:uid="{00000000-0005-0000-0000-0000951F0000}"/>
    <cellStyle name="Normal 9 2 5 6 2" xfId="6956" xr:uid="{00000000-0005-0000-0000-0000961F0000}"/>
    <cellStyle name="Normal 9 2 5 6 2 2" xfId="15395" xr:uid="{7666F7A6-B7B2-4704-B0F3-F84C2CE3452B}"/>
    <cellStyle name="Normal 9 2 5 6 3" xfId="11177" xr:uid="{6C7B5829-BB14-44FD-BAD1-823DE92491B5}"/>
    <cellStyle name="Normal 9 2 5 7" xfId="4891" xr:uid="{00000000-0005-0000-0000-0000971F0000}"/>
    <cellStyle name="Normal 9 2 5 7 2" xfId="13330" xr:uid="{524476D5-C719-482E-B362-4A9408F00AFF}"/>
    <cellStyle name="Normal 9 2 5 8" xfId="9112" xr:uid="{08B2B867-EA9A-4C7B-9ECF-F0B25792FBB0}"/>
    <cellStyle name="Normal 9 2 6" xfId="978" xr:uid="{00000000-0005-0000-0000-0000981F0000}"/>
    <cellStyle name="Normal 9 2 6 2" xfId="3211" xr:uid="{00000000-0005-0000-0000-0000991F0000}"/>
    <cellStyle name="Normal 9 2 6 2 2" xfId="7434" xr:uid="{00000000-0005-0000-0000-00009A1F0000}"/>
    <cellStyle name="Normal 9 2 6 2 2 2" xfId="15873" xr:uid="{4D7C19CB-74D1-4A4A-BC96-6C83626B897F}"/>
    <cellStyle name="Normal 9 2 6 2 3" xfId="11655" xr:uid="{40A20D5B-5188-452B-9E23-2B290A6E607B}"/>
    <cellStyle name="Normal 9 2 6 3" xfId="5289" xr:uid="{00000000-0005-0000-0000-00009B1F0000}"/>
    <cellStyle name="Normal 9 2 6 3 2" xfId="13728" xr:uid="{021C0136-80A9-4E92-BC6E-AE4048EE5B0F}"/>
    <cellStyle name="Normal 9 2 6 4" xfId="9510" xr:uid="{BDDC36E0-8869-453C-B5F5-4C8940F80690}"/>
    <cellStyle name="Normal 9 2 7" xfId="1394" xr:uid="{00000000-0005-0000-0000-00009C1F0000}"/>
    <cellStyle name="Normal 9 2 7 2" xfId="3624" xr:uid="{00000000-0005-0000-0000-00009D1F0000}"/>
    <cellStyle name="Normal 9 2 7 2 2" xfId="7847" xr:uid="{00000000-0005-0000-0000-00009E1F0000}"/>
    <cellStyle name="Normal 9 2 7 2 2 2" xfId="16286" xr:uid="{A93D4E42-979C-42AC-A2E8-CB6D55E90EAE}"/>
    <cellStyle name="Normal 9 2 7 2 3" xfId="12068" xr:uid="{655B34EB-F7EB-47FD-9633-D1EFF16DBC00}"/>
    <cellStyle name="Normal 9 2 7 3" xfId="5702" xr:uid="{00000000-0005-0000-0000-00009F1F0000}"/>
    <cellStyle name="Normal 9 2 7 3 2" xfId="14141" xr:uid="{019BE452-6B3C-4FDC-918C-6038A8FFE479}"/>
    <cellStyle name="Normal 9 2 7 4" xfId="9923" xr:uid="{21943B7F-6B00-445E-B3E9-4A46F9480004}"/>
    <cellStyle name="Normal 9 2 8" xfId="1807" xr:uid="{00000000-0005-0000-0000-0000A01F0000}"/>
    <cellStyle name="Normal 9 2 8 2" xfId="4037" xr:uid="{00000000-0005-0000-0000-0000A11F0000}"/>
    <cellStyle name="Normal 9 2 8 2 2" xfId="8260" xr:uid="{00000000-0005-0000-0000-0000A21F0000}"/>
    <cellStyle name="Normal 9 2 8 2 2 2" xfId="16699" xr:uid="{A8ED5F9A-B834-4987-A78B-EF4316EE1ADF}"/>
    <cellStyle name="Normal 9 2 8 2 3" xfId="12481" xr:uid="{BD563D19-8A09-4DF5-BCBF-66249EFF3DB1}"/>
    <cellStyle name="Normal 9 2 8 3" xfId="6115" xr:uid="{00000000-0005-0000-0000-0000A31F0000}"/>
    <cellStyle name="Normal 9 2 8 3 2" xfId="14554" xr:uid="{6BC4CEFB-B32A-4BE1-A2C1-13397E28B0E1}"/>
    <cellStyle name="Normal 9 2 8 4" xfId="10336" xr:uid="{9C824213-7BA5-4760-9201-1B8B42B1EDC4}"/>
    <cellStyle name="Normal 9 2 9" xfId="2221" xr:uid="{00000000-0005-0000-0000-0000A41F0000}"/>
    <cellStyle name="Normal 9 2 9 2" xfId="4450" xr:uid="{00000000-0005-0000-0000-0000A51F0000}"/>
    <cellStyle name="Normal 9 2 9 2 2" xfId="8673" xr:uid="{00000000-0005-0000-0000-0000A61F0000}"/>
    <cellStyle name="Normal 9 2 9 2 2 2" xfId="17112" xr:uid="{8148FCE6-36E3-4BE0-8265-AFCA1F93F411}"/>
    <cellStyle name="Normal 9 2 9 2 3" xfId="12894" xr:uid="{972C454C-121F-4887-A1C9-E14863B34827}"/>
    <cellStyle name="Normal 9 2 9 3" xfId="6528" xr:uid="{00000000-0005-0000-0000-0000A71F0000}"/>
    <cellStyle name="Normal 9 2 9 3 2" xfId="14967" xr:uid="{81136541-5569-4D68-99E2-358594D23171}"/>
    <cellStyle name="Normal 9 2 9 4" xfId="10749" xr:uid="{2E6886BC-C1B5-45CA-A4C7-A631099E215B}"/>
    <cellStyle name="Normal 9 3" xfId="527" xr:uid="{00000000-0005-0000-0000-0000A81F0000}"/>
    <cellStyle name="Normal 9 3 10" xfId="4892" xr:uid="{00000000-0005-0000-0000-0000A91F0000}"/>
    <cellStyle name="Normal 9 3 10 2" xfId="13331" xr:uid="{2A64B26C-C3B3-4EA7-8D70-FE52465B4AC1}"/>
    <cellStyle name="Normal 9 3 11" xfId="9113" xr:uid="{94B2ACEA-E69E-4538-925F-17B0FA706BC9}"/>
    <cellStyle name="Normal 9 3 2" xfId="528" xr:uid="{00000000-0005-0000-0000-0000AA1F0000}"/>
    <cellStyle name="Normal 9 3 2 10" xfId="9114" xr:uid="{5BDC2D58-7014-4514-9333-1CC57E7F9992}"/>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1B28D3E5-41F2-400A-BF34-2B9EEDD7D2BF}"/>
    <cellStyle name="Normal 9 3 2 2 2 2 2 3" xfId="11674" xr:uid="{E0ACCBB0-046F-4178-8DC3-CEFBBA5BF507}"/>
    <cellStyle name="Normal 9 3 2 2 2 2 3" xfId="5308" xr:uid="{00000000-0005-0000-0000-0000B01F0000}"/>
    <cellStyle name="Normal 9 3 2 2 2 2 3 2" xfId="13747" xr:uid="{65EEF404-2977-4BC7-9043-07618F03110A}"/>
    <cellStyle name="Normal 9 3 2 2 2 2 4" xfId="9529" xr:uid="{DB6597EB-B055-49A2-BC2A-2D712C77B46D}"/>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5E3B25BD-F944-436F-B3C7-0A65306938AF}"/>
    <cellStyle name="Normal 9 3 2 2 2 3 2 3" xfId="12087" xr:uid="{30F2355E-DF2C-4E3E-8372-3C12A69E2829}"/>
    <cellStyle name="Normal 9 3 2 2 2 3 3" xfId="5721" xr:uid="{00000000-0005-0000-0000-0000B41F0000}"/>
    <cellStyle name="Normal 9 3 2 2 2 3 3 2" xfId="14160" xr:uid="{D714DC9F-C5FA-44CE-AFBB-BDF9C2436346}"/>
    <cellStyle name="Normal 9 3 2 2 2 3 4" xfId="9942" xr:uid="{68B4DA59-125B-438B-AE20-A41A738097A8}"/>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E4D96037-E97B-4DD2-BC1E-3756F38F4B4F}"/>
    <cellStyle name="Normal 9 3 2 2 2 4 2 3" xfId="12500" xr:uid="{352ADB3D-25A6-4E51-96A0-2175DA1FF6CC}"/>
    <cellStyle name="Normal 9 3 2 2 2 4 3" xfId="6134" xr:uid="{00000000-0005-0000-0000-0000B81F0000}"/>
    <cellStyle name="Normal 9 3 2 2 2 4 3 2" xfId="14573" xr:uid="{8D79BF64-CF5E-4F11-9709-73BC6EF42164}"/>
    <cellStyle name="Normal 9 3 2 2 2 4 4" xfId="10355" xr:uid="{D021A927-F2FA-4AE9-92D5-242ECC87C4F7}"/>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A24EA7BF-584E-4013-AAEE-BB51718BC9C6}"/>
    <cellStyle name="Normal 9 3 2 2 2 5 2 3" xfId="12913" xr:uid="{03ECE595-A5E2-475E-8B1E-68D120C2D30C}"/>
    <cellStyle name="Normal 9 3 2 2 2 5 3" xfId="6547" xr:uid="{00000000-0005-0000-0000-0000BC1F0000}"/>
    <cellStyle name="Normal 9 3 2 2 2 5 3 2" xfId="14986" xr:uid="{3FA8DE44-649A-40FE-B2B8-0BAFA9B3FE8C}"/>
    <cellStyle name="Normal 9 3 2 2 2 5 4" xfId="10768" xr:uid="{3D2AE2AE-2D3C-42EE-B564-FB9CE8D5F11A}"/>
    <cellStyle name="Normal 9 3 2 2 2 6" xfId="2676" xr:uid="{00000000-0005-0000-0000-0000BD1F0000}"/>
    <cellStyle name="Normal 9 3 2 2 2 6 2" xfId="6960" xr:uid="{00000000-0005-0000-0000-0000BE1F0000}"/>
    <cellStyle name="Normal 9 3 2 2 2 6 2 2" xfId="15399" xr:uid="{097AEA1B-6D54-4D73-A951-E5F95D78FCF5}"/>
    <cellStyle name="Normal 9 3 2 2 2 6 3" xfId="11181" xr:uid="{371A208C-485F-4BD7-8D6E-9F3DEB7741A5}"/>
    <cellStyle name="Normal 9 3 2 2 2 7" xfId="4895" xr:uid="{00000000-0005-0000-0000-0000BF1F0000}"/>
    <cellStyle name="Normal 9 3 2 2 2 7 2" xfId="13334" xr:uid="{2BE11CEC-95CE-4C36-AC40-0217839C5FD8}"/>
    <cellStyle name="Normal 9 3 2 2 2 8" xfId="9116" xr:uid="{A237312B-AC70-4E74-ACD6-5DE9BE94D30E}"/>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077EDFDC-05D0-45D2-9493-D771BB1C4EB2}"/>
    <cellStyle name="Normal 9 3 2 2 3 2 3" xfId="11673" xr:uid="{26C802F4-489C-427A-9882-3F30B61322DF}"/>
    <cellStyle name="Normal 9 3 2 2 3 3" xfId="5307" xr:uid="{00000000-0005-0000-0000-0000C31F0000}"/>
    <cellStyle name="Normal 9 3 2 2 3 3 2" xfId="13746" xr:uid="{18AD52FB-EE48-488A-8664-450E99D323CC}"/>
    <cellStyle name="Normal 9 3 2 2 3 4" xfId="9528" xr:uid="{3337C4F7-85DA-43F8-9935-4C0AEE20C4C5}"/>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EE8AC979-D6FE-4F25-B871-4014E9A52498}"/>
    <cellStyle name="Normal 9 3 2 2 4 2 3" xfId="12086" xr:uid="{E81C901C-F8D2-43B2-8E65-499185D0C1B3}"/>
    <cellStyle name="Normal 9 3 2 2 4 3" xfId="5720" xr:uid="{00000000-0005-0000-0000-0000C71F0000}"/>
    <cellStyle name="Normal 9 3 2 2 4 3 2" xfId="14159" xr:uid="{49187135-7444-437E-B86D-932DFCFF9487}"/>
    <cellStyle name="Normal 9 3 2 2 4 4" xfId="9941" xr:uid="{1EB60182-CF37-463E-A860-755311076F1B}"/>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52104B39-5BA9-4BB7-8F3F-DE5A16E2E813}"/>
    <cellStyle name="Normal 9 3 2 2 5 2 3" xfId="12499" xr:uid="{2EAA5534-D726-4D35-AAE0-398E7ECCC185}"/>
    <cellStyle name="Normal 9 3 2 2 5 3" xfId="6133" xr:uid="{00000000-0005-0000-0000-0000CB1F0000}"/>
    <cellStyle name="Normal 9 3 2 2 5 3 2" xfId="14572" xr:uid="{50F2C532-5B8F-42F8-ABE1-DC7714EB87D1}"/>
    <cellStyle name="Normal 9 3 2 2 5 4" xfId="10354" xr:uid="{9B5A4BFB-C584-4DEC-9D00-22BF908ABD06}"/>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3A910975-799F-49CC-950F-B916EDB90E73}"/>
    <cellStyle name="Normal 9 3 2 2 6 2 3" xfId="12912" xr:uid="{35372747-5AF6-4D59-8537-5444E60C84A8}"/>
    <cellStyle name="Normal 9 3 2 2 6 3" xfId="6546" xr:uid="{00000000-0005-0000-0000-0000CF1F0000}"/>
    <cellStyle name="Normal 9 3 2 2 6 3 2" xfId="14985" xr:uid="{492DB36C-7ACA-4FEB-B3E8-76BA1B5CF63F}"/>
    <cellStyle name="Normal 9 3 2 2 6 4" xfId="10767" xr:uid="{B1B9D7BC-B5C6-4D66-A88E-DF4889F298D4}"/>
    <cellStyle name="Normal 9 3 2 2 7" xfId="2675" xr:uid="{00000000-0005-0000-0000-0000D01F0000}"/>
    <cellStyle name="Normal 9 3 2 2 7 2" xfId="6959" xr:uid="{00000000-0005-0000-0000-0000D11F0000}"/>
    <cellStyle name="Normal 9 3 2 2 7 2 2" xfId="15398" xr:uid="{5E6C472B-6362-4E45-8D2B-1B7D77C71D84}"/>
    <cellStyle name="Normal 9 3 2 2 7 3" xfId="11180" xr:uid="{EC5016C2-A236-4D5E-8899-2078AD96633E}"/>
    <cellStyle name="Normal 9 3 2 2 8" xfId="4894" xr:uid="{00000000-0005-0000-0000-0000D21F0000}"/>
    <cellStyle name="Normal 9 3 2 2 8 2" xfId="13333" xr:uid="{8EF7F666-7819-41C3-899B-2F84846C7663}"/>
    <cellStyle name="Normal 9 3 2 2 9" xfId="9115" xr:uid="{70CD2820-4B12-4A06-B1D7-F4AC6693CD36}"/>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44A269FF-E304-468A-8111-16862E0C7C24}"/>
    <cellStyle name="Normal 9 3 2 3 2 2 3" xfId="11675" xr:uid="{F3F7A9E1-F805-427F-8F74-8EE91B16C48E}"/>
    <cellStyle name="Normal 9 3 2 3 2 3" xfId="5309" xr:uid="{00000000-0005-0000-0000-0000D71F0000}"/>
    <cellStyle name="Normal 9 3 2 3 2 3 2" xfId="13748" xr:uid="{489E4A0C-DC25-4221-A804-E5D5726232E6}"/>
    <cellStyle name="Normal 9 3 2 3 2 4" xfId="9530" xr:uid="{C43179CE-DFAE-44B2-B04B-7AB9AD06E223}"/>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2D6D94D7-9A9F-4292-B508-FFF84F1E49AB}"/>
    <cellStyle name="Normal 9 3 2 3 3 2 3" xfId="12088" xr:uid="{39CACF82-2816-4DBB-8DBB-232CD68C7471}"/>
    <cellStyle name="Normal 9 3 2 3 3 3" xfId="5722" xr:uid="{00000000-0005-0000-0000-0000DB1F0000}"/>
    <cellStyle name="Normal 9 3 2 3 3 3 2" xfId="14161" xr:uid="{12CC7AF2-F76D-485B-9D93-688AC843D5FB}"/>
    <cellStyle name="Normal 9 3 2 3 3 4" xfId="9943" xr:uid="{A0B4DD82-7D24-471E-9962-7205D644F774}"/>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4D2260EA-7854-42EC-AA0B-A27A55104B2F}"/>
    <cellStyle name="Normal 9 3 2 3 4 2 3" xfId="12501" xr:uid="{275671CD-3DB1-468F-A548-AE7A9CE1E773}"/>
    <cellStyle name="Normal 9 3 2 3 4 3" xfId="6135" xr:uid="{00000000-0005-0000-0000-0000DF1F0000}"/>
    <cellStyle name="Normal 9 3 2 3 4 3 2" xfId="14574" xr:uid="{EA8967EE-0965-48CA-B8E0-D90DEA69125D}"/>
    <cellStyle name="Normal 9 3 2 3 4 4" xfId="10356" xr:uid="{10A48DD3-A2C1-4FCA-B808-9C536DAF74A6}"/>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9E6F556F-06A9-4351-BD0A-C5B32E5146D8}"/>
    <cellStyle name="Normal 9 3 2 3 5 2 3" xfId="12914" xr:uid="{79B48D83-9991-48A7-A204-F1F5369A37CC}"/>
    <cellStyle name="Normal 9 3 2 3 5 3" xfId="6548" xr:uid="{00000000-0005-0000-0000-0000E31F0000}"/>
    <cellStyle name="Normal 9 3 2 3 5 3 2" xfId="14987" xr:uid="{4F900546-F3D2-4AB7-9F29-156F2F120543}"/>
    <cellStyle name="Normal 9 3 2 3 5 4" xfId="10769" xr:uid="{2C0F0A52-0F96-4961-AFA0-1BF39BA3A4CC}"/>
    <cellStyle name="Normal 9 3 2 3 6" xfId="2677" xr:uid="{00000000-0005-0000-0000-0000E41F0000}"/>
    <cellStyle name="Normal 9 3 2 3 6 2" xfId="6961" xr:uid="{00000000-0005-0000-0000-0000E51F0000}"/>
    <cellStyle name="Normal 9 3 2 3 6 2 2" xfId="15400" xr:uid="{F9661EA8-3C2D-44DB-B3A6-0D4BC40F87E0}"/>
    <cellStyle name="Normal 9 3 2 3 6 3" xfId="11182" xr:uid="{5448F20E-644F-4DE8-9218-D64906EE3679}"/>
    <cellStyle name="Normal 9 3 2 3 7" xfId="4896" xr:uid="{00000000-0005-0000-0000-0000E61F0000}"/>
    <cellStyle name="Normal 9 3 2 3 7 2" xfId="13335" xr:uid="{EC7ECA46-95BE-4BD2-AE31-05BE7C7DFF65}"/>
    <cellStyle name="Normal 9 3 2 3 8" xfId="9117" xr:uid="{21ACBDB1-E24D-4E68-AE0A-94A9EB4B8739}"/>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EFA28196-C6E8-483F-BC0E-3EA7F94E9452}"/>
    <cellStyle name="Normal 9 3 2 4 2 3" xfId="11672" xr:uid="{A599CFD2-ADAB-4041-8907-18C4A5AABC3D}"/>
    <cellStyle name="Normal 9 3 2 4 3" xfId="5306" xr:uid="{00000000-0005-0000-0000-0000EA1F0000}"/>
    <cellStyle name="Normal 9 3 2 4 3 2" xfId="13745" xr:uid="{CAFCB008-19A7-4541-B377-54625966F585}"/>
    <cellStyle name="Normal 9 3 2 4 4" xfId="9527" xr:uid="{A19CA459-302D-44ED-9FE5-B2138E3E3E6B}"/>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B38B4792-D80B-4223-A365-0CB91D99A9F6}"/>
    <cellStyle name="Normal 9 3 2 5 2 3" xfId="12085" xr:uid="{97BA160E-33F0-4068-8D74-5EB0F6F33FD7}"/>
    <cellStyle name="Normal 9 3 2 5 3" xfId="5719" xr:uid="{00000000-0005-0000-0000-0000EE1F0000}"/>
    <cellStyle name="Normal 9 3 2 5 3 2" xfId="14158" xr:uid="{919F9855-406F-4C9E-AC1C-6B49710A3D9F}"/>
    <cellStyle name="Normal 9 3 2 5 4" xfId="9940" xr:uid="{43F15E7A-43E1-49B9-B40E-468AB1026F6A}"/>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A156632C-5A8C-4BBE-B41A-E83648917BD6}"/>
    <cellStyle name="Normal 9 3 2 6 2 3" xfId="12498" xr:uid="{3DC0566D-001C-4BF9-BA0E-64F19057C6EB}"/>
    <cellStyle name="Normal 9 3 2 6 3" xfId="6132" xr:uid="{00000000-0005-0000-0000-0000F21F0000}"/>
    <cellStyle name="Normal 9 3 2 6 3 2" xfId="14571" xr:uid="{8944746C-BBC4-4D20-ABEC-4F3CD0F3C85F}"/>
    <cellStyle name="Normal 9 3 2 6 4" xfId="10353" xr:uid="{7D05675C-DC79-4BB8-BB9D-2310A5442F4A}"/>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63EB790F-376F-4BA4-95B5-206B0FE72D31}"/>
    <cellStyle name="Normal 9 3 2 7 2 3" xfId="12911" xr:uid="{17BD116F-8C43-4A8C-A999-0C53251E98C5}"/>
    <cellStyle name="Normal 9 3 2 7 3" xfId="6545" xr:uid="{00000000-0005-0000-0000-0000F61F0000}"/>
    <cellStyle name="Normal 9 3 2 7 3 2" xfId="14984" xr:uid="{27A2E667-BF52-42AF-B9E0-2A95B5FA675D}"/>
    <cellStyle name="Normal 9 3 2 7 4" xfId="10766" xr:uid="{7DDB8F87-176B-4210-8E50-0F59D6D0CC79}"/>
    <cellStyle name="Normal 9 3 2 8" xfId="2674" xr:uid="{00000000-0005-0000-0000-0000F71F0000}"/>
    <cellStyle name="Normal 9 3 2 8 2" xfId="6958" xr:uid="{00000000-0005-0000-0000-0000F81F0000}"/>
    <cellStyle name="Normal 9 3 2 8 2 2" xfId="15397" xr:uid="{0FBC54AA-7E79-4E58-BC98-7E08663732D3}"/>
    <cellStyle name="Normal 9 3 2 8 3" xfId="11179" xr:uid="{ACE91264-3BEA-4102-BB32-43B1C3AF23D0}"/>
    <cellStyle name="Normal 9 3 2 9" xfId="4893" xr:uid="{00000000-0005-0000-0000-0000F91F0000}"/>
    <cellStyle name="Normal 9 3 2 9 2" xfId="13332" xr:uid="{4CA4CC2D-3B3F-40AC-8741-132C8DC06177}"/>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41F1CEA5-536A-42AB-8B35-CC2DE5CBB3DD}"/>
    <cellStyle name="Normal 9 3 3 2 2 2 3" xfId="11677" xr:uid="{78964D74-90E5-4097-A190-D622289C43A4}"/>
    <cellStyle name="Normal 9 3 3 2 2 3" xfId="5311" xr:uid="{00000000-0005-0000-0000-0000FF1F0000}"/>
    <cellStyle name="Normal 9 3 3 2 2 3 2" xfId="13750" xr:uid="{01FB961B-FF96-4942-AA3D-8F9443632C57}"/>
    <cellStyle name="Normal 9 3 3 2 2 4" xfId="9532" xr:uid="{CF9F3057-E0CD-4692-8A19-F96116E95C86}"/>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BAD1CAA7-D2C3-4F86-BF26-F83D1A056630}"/>
    <cellStyle name="Normal 9 3 3 2 3 2 3" xfId="12090" xr:uid="{4F46E00D-6001-43F7-AF5B-15361356CE65}"/>
    <cellStyle name="Normal 9 3 3 2 3 3" xfId="5724" xr:uid="{00000000-0005-0000-0000-000003200000}"/>
    <cellStyle name="Normal 9 3 3 2 3 3 2" xfId="14163" xr:uid="{7208CCEE-1D8B-4A98-B376-A354389CED4E}"/>
    <cellStyle name="Normal 9 3 3 2 3 4" xfId="9945" xr:uid="{04C7D0E9-5D0F-44E4-96EB-31B34B072377}"/>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2E3E5749-AA9D-475E-80E6-762178120DA3}"/>
    <cellStyle name="Normal 9 3 3 2 4 2 3" xfId="12503" xr:uid="{0DA063FF-BBB6-4121-B34F-05B6ED64420E}"/>
    <cellStyle name="Normal 9 3 3 2 4 3" xfId="6137" xr:uid="{00000000-0005-0000-0000-000007200000}"/>
    <cellStyle name="Normal 9 3 3 2 4 3 2" xfId="14576" xr:uid="{1920445E-72BC-4BF3-9D7E-511A8C6E8867}"/>
    <cellStyle name="Normal 9 3 3 2 4 4" xfId="10358" xr:uid="{C4CD6CEC-AA5D-4100-8188-7C178A9F7D7D}"/>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26A252FC-9A8B-463B-98C3-951EA5DE6D59}"/>
    <cellStyle name="Normal 9 3 3 2 5 2 3" xfId="12916" xr:uid="{822FB776-1203-4F3D-AE7A-C27790BAB324}"/>
    <cellStyle name="Normal 9 3 3 2 5 3" xfId="6550" xr:uid="{00000000-0005-0000-0000-00000B200000}"/>
    <cellStyle name="Normal 9 3 3 2 5 3 2" xfId="14989" xr:uid="{A4E04E85-A11E-4C14-A665-0AD9C119F1C5}"/>
    <cellStyle name="Normal 9 3 3 2 5 4" xfId="10771" xr:uid="{0541989E-4348-4FBB-9851-133FCBA258E3}"/>
    <cellStyle name="Normal 9 3 3 2 6" xfId="2679" xr:uid="{00000000-0005-0000-0000-00000C200000}"/>
    <cellStyle name="Normal 9 3 3 2 6 2" xfId="6963" xr:uid="{00000000-0005-0000-0000-00000D200000}"/>
    <cellStyle name="Normal 9 3 3 2 6 2 2" xfId="15402" xr:uid="{C6DA2BE4-233A-4258-B281-6CE0D6D8B62D}"/>
    <cellStyle name="Normal 9 3 3 2 6 3" xfId="11184" xr:uid="{1AB054FB-9183-4713-910B-4B271D71F9E5}"/>
    <cellStyle name="Normal 9 3 3 2 7" xfId="4898" xr:uid="{00000000-0005-0000-0000-00000E200000}"/>
    <cellStyle name="Normal 9 3 3 2 7 2" xfId="13337" xr:uid="{5CB5E411-55B2-45B5-AC54-D7F1EFB30A40}"/>
    <cellStyle name="Normal 9 3 3 2 8" xfId="9119" xr:uid="{5A9EA7E2-CD8A-4369-B230-D88BFA3C4C81}"/>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F777F31E-F654-42DC-B977-9FA41A902D94}"/>
    <cellStyle name="Normal 9 3 3 3 2 3" xfId="11676" xr:uid="{0016C4B1-E719-4FC6-B17B-1BC1CE1B68DA}"/>
    <cellStyle name="Normal 9 3 3 3 3" xfId="5310" xr:uid="{00000000-0005-0000-0000-000012200000}"/>
    <cellStyle name="Normal 9 3 3 3 3 2" xfId="13749" xr:uid="{7068423E-C2C8-49F6-B650-1955F73C9E42}"/>
    <cellStyle name="Normal 9 3 3 3 4" xfId="9531" xr:uid="{ABA780EB-56E0-4B26-8053-84AE27428A77}"/>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E3EEB477-76E8-4EEF-BC3C-48AAECF823B3}"/>
    <cellStyle name="Normal 9 3 3 4 2 3" xfId="12089" xr:uid="{BBDC2C04-2B1F-434E-9AC2-04278E50837B}"/>
    <cellStyle name="Normal 9 3 3 4 3" xfId="5723" xr:uid="{00000000-0005-0000-0000-000016200000}"/>
    <cellStyle name="Normal 9 3 3 4 3 2" xfId="14162" xr:uid="{E8C0415F-E16E-4433-8770-9AB480C2E469}"/>
    <cellStyle name="Normal 9 3 3 4 4" xfId="9944" xr:uid="{E6448D5B-D676-4436-BF9D-EEFE81BCF5F6}"/>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837BF348-FD05-4F3C-9569-8D553CD3E037}"/>
    <cellStyle name="Normal 9 3 3 5 2 3" xfId="12502" xr:uid="{975BB3BC-F352-4479-A174-E9C371289216}"/>
    <cellStyle name="Normal 9 3 3 5 3" xfId="6136" xr:uid="{00000000-0005-0000-0000-00001A200000}"/>
    <cellStyle name="Normal 9 3 3 5 3 2" xfId="14575" xr:uid="{437415DD-DA05-40F1-BD43-2DFD16D7DAA5}"/>
    <cellStyle name="Normal 9 3 3 5 4" xfId="10357" xr:uid="{1372081E-6C15-4469-91CA-8E8936B77131}"/>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3EC05288-A4BB-45C4-AC9E-91D504117F94}"/>
    <cellStyle name="Normal 9 3 3 6 2 3" xfId="12915" xr:uid="{1AF9675C-F1F3-4E43-81B6-4A39DB42C46D}"/>
    <cellStyle name="Normal 9 3 3 6 3" xfId="6549" xr:uid="{00000000-0005-0000-0000-00001E200000}"/>
    <cellStyle name="Normal 9 3 3 6 3 2" xfId="14988" xr:uid="{B31BE79F-CE16-4B7D-903C-DF5FE8F690D8}"/>
    <cellStyle name="Normal 9 3 3 6 4" xfId="10770" xr:uid="{E04CE49E-F824-4911-B1E2-DEE9D54C1FAA}"/>
    <cellStyle name="Normal 9 3 3 7" xfId="2678" xr:uid="{00000000-0005-0000-0000-00001F200000}"/>
    <cellStyle name="Normal 9 3 3 7 2" xfId="6962" xr:uid="{00000000-0005-0000-0000-000020200000}"/>
    <cellStyle name="Normal 9 3 3 7 2 2" xfId="15401" xr:uid="{5F5248A3-1F7A-403F-80DA-70CF35D9E439}"/>
    <cellStyle name="Normal 9 3 3 7 3" xfId="11183" xr:uid="{DBF3E9C3-5D6B-4E31-9DCC-820F9355E89F}"/>
    <cellStyle name="Normal 9 3 3 8" xfId="4897" xr:uid="{00000000-0005-0000-0000-000021200000}"/>
    <cellStyle name="Normal 9 3 3 8 2" xfId="13336" xr:uid="{5A6CD7EB-118C-4B04-BAF1-25023F46373B}"/>
    <cellStyle name="Normal 9 3 3 9" xfId="9118" xr:uid="{0B5B30A7-445F-4B29-B45C-CE54E1359CAE}"/>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21B9C5E6-DF5E-4F14-8778-42DE0C7E49DE}"/>
    <cellStyle name="Normal 9 3 4 2 2 3" xfId="11678" xr:uid="{B9ABB577-D4AA-405F-9308-A082A6D42088}"/>
    <cellStyle name="Normal 9 3 4 2 3" xfId="5312" xr:uid="{00000000-0005-0000-0000-000026200000}"/>
    <cellStyle name="Normal 9 3 4 2 3 2" xfId="13751" xr:uid="{F45BC666-D9CA-493C-8F1C-EE6970937BCA}"/>
    <cellStyle name="Normal 9 3 4 2 4" xfId="9533" xr:uid="{5451249D-D2C6-4AB2-8F30-06090D718972}"/>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2E345A9A-9880-47AA-9A84-76404E088FBE}"/>
    <cellStyle name="Normal 9 3 4 3 2 3" xfId="12091" xr:uid="{4812E250-4FF6-4AE7-8838-673C025E53CB}"/>
    <cellStyle name="Normal 9 3 4 3 3" xfId="5725" xr:uid="{00000000-0005-0000-0000-00002A200000}"/>
    <cellStyle name="Normal 9 3 4 3 3 2" xfId="14164" xr:uid="{C6C33D49-F2EA-4234-990E-5D55B692F0FB}"/>
    <cellStyle name="Normal 9 3 4 3 4" xfId="9946" xr:uid="{27FC9471-B9B9-4457-8DB3-60CFA8834339}"/>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7A4F9A50-81F0-4946-9151-6E69AA89F323}"/>
    <cellStyle name="Normal 9 3 4 4 2 3" xfId="12504" xr:uid="{7A783F6D-847B-4180-8BE9-E78B07E8E3DD}"/>
    <cellStyle name="Normal 9 3 4 4 3" xfId="6138" xr:uid="{00000000-0005-0000-0000-00002E200000}"/>
    <cellStyle name="Normal 9 3 4 4 3 2" xfId="14577" xr:uid="{E8081019-F846-49D6-BC8D-4C466EC2C50C}"/>
    <cellStyle name="Normal 9 3 4 4 4" xfId="10359" xr:uid="{1C7B1E49-ABE4-4FD1-9FBA-8426EDF1C0A6}"/>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B2B5C5F7-1370-4E1E-BB11-E9B95D2E160D}"/>
    <cellStyle name="Normal 9 3 4 5 2 3" xfId="12917" xr:uid="{6B75FFE0-DFE6-4D12-A828-0790F05B9B62}"/>
    <cellStyle name="Normal 9 3 4 5 3" xfId="6551" xr:uid="{00000000-0005-0000-0000-000032200000}"/>
    <cellStyle name="Normal 9 3 4 5 3 2" xfId="14990" xr:uid="{14760C62-3208-4A6B-B1C2-A26582C89BA3}"/>
    <cellStyle name="Normal 9 3 4 5 4" xfId="10772" xr:uid="{67813562-3F6B-4145-A1AB-007303E0168A}"/>
    <cellStyle name="Normal 9 3 4 6" xfId="2680" xr:uid="{00000000-0005-0000-0000-000033200000}"/>
    <cellStyle name="Normal 9 3 4 6 2" xfId="6964" xr:uid="{00000000-0005-0000-0000-000034200000}"/>
    <cellStyle name="Normal 9 3 4 6 2 2" xfId="15403" xr:uid="{C345280B-73D9-4A2F-A995-C88D186EA2C2}"/>
    <cellStyle name="Normal 9 3 4 6 3" xfId="11185" xr:uid="{F2F22AE9-29BA-480F-B4D2-4FFE18DA4770}"/>
    <cellStyle name="Normal 9 3 4 7" xfId="4899" xr:uid="{00000000-0005-0000-0000-000035200000}"/>
    <cellStyle name="Normal 9 3 4 7 2" xfId="13338" xr:uid="{C1F361AD-33DE-48D9-9CC7-5A473F41AEAE}"/>
    <cellStyle name="Normal 9 3 4 8" xfId="9120" xr:uid="{C36DE8FD-887D-47F5-96C5-41EC373F2AFB}"/>
    <cellStyle name="Normal 9 3 5" xfId="994" xr:uid="{00000000-0005-0000-0000-000036200000}"/>
    <cellStyle name="Normal 9 3 5 2" xfId="3227" xr:uid="{00000000-0005-0000-0000-000037200000}"/>
    <cellStyle name="Normal 9 3 5 2 2" xfId="7450" xr:uid="{00000000-0005-0000-0000-000038200000}"/>
    <cellStyle name="Normal 9 3 5 2 2 2" xfId="15889" xr:uid="{1C5AB8D6-9D94-489B-A1E7-3DC14CACD142}"/>
    <cellStyle name="Normal 9 3 5 2 3" xfId="11671" xr:uid="{4364ABF2-8C57-495B-BB1A-EEC44B8E812F}"/>
    <cellStyle name="Normal 9 3 5 3" xfId="5305" xr:uid="{00000000-0005-0000-0000-000039200000}"/>
    <cellStyle name="Normal 9 3 5 3 2" xfId="13744" xr:uid="{5217C79B-D745-496F-84F1-40D62ECFF00F}"/>
    <cellStyle name="Normal 9 3 5 4" xfId="9526" xr:uid="{699666B2-E744-4214-908E-B82FBA42D84A}"/>
    <cellStyle name="Normal 9 3 6" xfId="1410" xr:uid="{00000000-0005-0000-0000-00003A200000}"/>
    <cellStyle name="Normal 9 3 6 2" xfId="3640" xr:uid="{00000000-0005-0000-0000-00003B200000}"/>
    <cellStyle name="Normal 9 3 6 2 2" xfId="7863" xr:uid="{00000000-0005-0000-0000-00003C200000}"/>
    <cellStyle name="Normal 9 3 6 2 2 2" xfId="16302" xr:uid="{8A67C1AF-FEE5-4F28-A1BB-A2D392E95056}"/>
    <cellStyle name="Normal 9 3 6 2 3" xfId="12084" xr:uid="{76A7EDA3-9D68-4421-B190-6C396EC3569F}"/>
    <cellStyle name="Normal 9 3 6 3" xfId="5718" xr:uid="{00000000-0005-0000-0000-00003D200000}"/>
    <cellStyle name="Normal 9 3 6 3 2" xfId="14157" xr:uid="{B84C7547-B541-44A5-87C6-5A971D089C49}"/>
    <cellStyle name="Normal 9 3 6 4" xfId="9939" xr:uid="{988F43F9-D374-4C5B-86BF-1DA03ABA3DE1}"/>
    <cellStyle name="Normal 9 3 7" xfId="1823" xr:uid="{00000000-0005-0000-0000-00003E200000}"/>
    <cellStyle name="Normal 9 3 7 2" xfId="4053" xr:uid="{00000000-0005-0000-0000-00003F200000}"/>
    <cellStyle name="Normal 9 3 7 2 2" xfId="8276" xr:uid="{00000000-0005-0000-0000-000040200000}"/>
    <cellStyle name="Normal 9 3 7 2 2 2" xfId="16715" xr:uid="{4F74F481-9A60-417B-85C5-0F78E570EB05}"/>
    <cellStyle name="Normal 9 3 7 2 3" xfId="12497" xr:uid="{68F97EF2-D4E8-4FC7-8062-544E9EB48CD0}"/>
    <cellStyle name="Normal 9 3 7 3" xfId="6131" xr:uid="{00000000-0005-0000-0000-000041200000}"/>
    <cellStyle name="Normal 9 3 7 3 2" xfId="14570" xr:uid="{3E42C14F-6EC7-4338-BE60-1E400200B212}"/>
    <cellStyle name="Normal 9 3 7 4" xfId="10352" xr:uid="{60E7E900-42B4-426E-BDCC-A228D7D2B8CD}"/>
    <cellStyle name="Normal 9 3 8" xfId="2237" xr:uid="{00000000-0005-0000-0000-000042200000}"/>
    <cellStyle name="Normal 9 3 8 2" xfId="4466" xr:uid="{00000000-0005-0000-0000-000043200000}"/>
    <cellStyle name="Normal 9 3 8 2 2" xfId="8689" xr:uid="{00000000-0005-0000-0000-000044200000}"/>
    <cellStyle name="Normal 9 3 8 2 2 2" xfId="17128" xr:uid="{0ACA9886-6EE7-4446-8FF6-3CE93A55458F}"/>
    <cellStyle name="Normal 9 3 8 2 3" xfId="12910" xr:uid="{3F5D2F39-A50F-4987-B218-EDA39BB96566}"/>
    <cellStyle name="Normal 9 3 8 3" xfId="6544" xr:uid="{00000000-0005-0000-0000-000045200000}"/>
    <cellStyle name="Normal 9 3 8 3 2" xfId="14983" xr:uid="{C47A4A89-0B98-40B4-A207-EAB8CB5C2AFC}"/>
    <cellStyle name="Normal 9 3 8 4" xfId="10765" xr:uid="{83829732-E125-4886-8658-3D377DF5615E}"/>
    <cellStyle name="Normal 9 3 9" xfId="2673" xr:uid="{00000000-0005-0000-0000-000046200000}"/>
    <cellStyle name="Normal 9 3 9 2" xfId="6957" xr:uid="{00000000-0005-0000-0000-000047200000}"/>
    <cellStyle name="Normal 9 3 9 2 2" xfId="15396" xr:uid="{60002280-EF83-479B-B0A8-29C9B6D7986E}"/>
    <cellStyle name="Normal 9 3 9 3" xfId="11178" xr:uid="{9E63EEF0-7ECE-4688-A04E-F320EBF56EE1}"/>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4D5E8F81-F001-48B5-A680-987512757259}"/>
    <cellStyle name="Normal 9 5 2 2 2 3" xfId="11680" xr:uid="{4DDF2017-7AA8-49C4-B2D3-6DE206E79E0D}"/>
    <cellStyle name="Normal 9 5 2 2 3" xfId="5314" xr:uid="{00000000-0005-0000-0000-00004F200000}"/>
    <cellStyle name="Normal 9 5 2 2 3 2" xfId="13753" xr:uid="{2D8D0F37-4FA8-45AB-A76E-58DFDEC0731E}"/>
    <cellStyle name="Normal 9 5 2 2 4" xfId="9535" xr:uid="{B1F3C065-228D-4282-823D-A002A5F27D40}"/>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DEDBF7DD-EF2C-40BF-A0F6-842743609874}"/>
    <cellStyle name="Normal 9 5 2 3 2 3" xfId="12093" xr:uid="{181F46B4-FCE1-4002-A742-F18EA1A87EDD}"/>
    <cellStyle name="Normal 9 5 2 3 3" xfId="5727" xr:uid="{00000000-0005-0000-0000-000053200000}"/>
    <cellStyle name="Normal 9 5 2 3 3 2" xfId="14166" xr:uid="{7566CF14-9F51-4C78-AC29-9C4AA2013B30}"/>
    <cellStyle name="Normal 9 5 2 3 4" xfId="9948" xr:uid="{C042EF5F-845C-4E25-8175-068B9829292E}"/>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0A3128C4-2E04-4B36-ADBF-A7B9E85A222A}"/>
    <cellStyle name="Normal 9 5 2 4 2 3" xfId="12506" xr:uid="{99848BD9-6367-4F97-95E9-88F977E2FF9A}"/>
    <cellStyle name="Normal 9 5 2 4 3" xfId="6140" xr:uid="{00000000-0005-0000-0000-000057200000}"/>
    <cellStyle name="Normal 9 5 2 4 3 2" xfId="14579" xr:uid="{96080C31-BFF7-4B39-A8D4-425F5F3A7D81}"/>
    <cellStyle name="Normal 9 5 2 4 4" xfId="10361" xr:uid="{B4CC60E2-5AC4-48C0-B541-E31473DF658A}"/>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A7C9C8F0-698C-41F1-A1E8-4442DEDC63A9}"/>
    <cellStyle name="Normal 9 5 2 5 2 3" xfId="12919" xr:uid="{ACE8B1B1-84EB-442E-BD5A-DA0ED4383FFB}"/>
    <cellStyle name="Normal 9 5 2 5 3" xfId="6553" xr:uid="{00000000-0005-0000-0000-00005B200000}"/>
    <cellStyle name="Normal 9 5 2 5 3 2" xfId="14992" xr:uid="{D8468D6B-D4D9-4DBF-A141-3CA81F18BDE7}"/>
    <cellStyle name="Normal 9 5 2 5 4" xfId="10774" xr:uid="{5BE71590-51D2-4876-867D-D8BF4CE3237E}"/>
    <cellStyle name="Normal 9 5 2 6" xfId="2682" xr:uid="{00000000-0005-0000-0000-00005C200000}"/>
    <cellStyle name="Normal 9 5 2 6 2" xfId="6966" xr:uid="{00000000-0005-0000-0000-00005D200000}"/>
    <cellStyle name="Normal 9 5 2 6 2 2" xfId="15405" xr:uid="{DA8BB94B-900F-4ADB-A254-B6D96FF786A7}"/>
    <cellStyle name="Normal 9 5 2 6 3" xfId="11187" xr:uid="{15FEA01E-D7C0-435E-992E-01766956CC95}"/>
    <cellStyle name="Normal 9 5 2 7" xfId="4901" xr:uid="{00000000-0005-0000-0000-00005E200000}"/>
    <cellStyle name="Normal 9 5 2 7 2" xfId="13340" xr:uid="{73314D2D-A60E-46D0-BF8E-6D444E3FD0D8}"/>
    <cellStyle name="Normal 9 5 2 8" xfId="9122" xr:uid="{AEC5517A-571A-4463-8D86-ECB09125E50A}"/>
    <cellStyle name="Normal 9 5 3" xfId="1003" xr:uid="{00000000-0005-0000-0000-00005F200000}"/>
    <cellStyle name="Normal 9 5 3 2" xfId="3235" xr:uid="{00000000-0005-0000-0000-000060200000}"/>
    <cellStyle name="Normal 9 5 3 2 2" xfId="7458" xr:uid="{00000000-0005-0000-0000-000061200000}"/>
    <cellStyle name="Normal 9 5 3 2 2 2" xfId="15897" xr:uid="{6EF0CBE3-6E2B-49F7-96B9-516279F5F110}"/>
    <cellStyle name="Normal 9 5 3 2 3" xfId="11679" xr:uid="{2B83C0C6-D46D-48EC-8319-C5DA2F869B56}"/>
    <cellStyle name="Normal 9 5 3 3" xfId="5313" xr:uid="{00000000-0005-0000-0000-000062200000}"/>
    <cellStyle name="Normal 9 5 3 3 2" xfId="13752" xr:uid="{99511842-68F3-4FFD-A2D0-6D8280FFD4A7}"/>
    <cellStyle name="Normal 9 5 3 4" xfId="9534" xr:uid="{D3A30B82-6002-4E18-9409-59B1C073881F}"/>
    <cellStyle name="Normal 9 5 4" xfId="1418" xr:uid="{00000000-0005-0000-0000-000063200000}"/>
    <cellStyle name="Normal 9 5 4 2" xfId="3648" xr:uid="{00000000-0005-0000-0000-000064200000}"/>
    <cellStyle name="Normal 9 5 4 2 2" xfId="7871" xr:uid="{00000000-0005-0000-0000-000065200000}"/>
    <cellStyle name="Normal 9 5 4 2 2 2" xfId="16310" xr:uid="{E5DF8E93-81AC-437C-97FB-CA5AB54F89CA}"/>
    <cellStyle name="Normal 9 5 4 2 3" xfId="12092" xr:uid="{2F52CB6F-B3A0-4004-B99D-D549663F372B}"/>
    <cellStyle name="Normal 9 5 4 3" xfId="5726" xr:uid="{00000000-0005-0000-0000-000066200000}"/>
    <cellStyle name="Normal 9 5 4 3 2" xfId="14165" xr:uid="{824AAB61-0E49-40A7-865F-9FCF6074CB77}"/>
    <cellStyle name="Normal 9 5 4 4" xfId="9947" xr:uid="{BD635F2B-AE67-4BF1-B2BB-3FAA62C72012}"/>
    <cellStyle name="Normal 9 5 5" xfId="1831" xr:uid="{00000000-0005-0000-0000-000067200000}"/>
    <cellStyle name="Normal 9 5 5 2" xfId="4061" xr:uid="{00000000-0005-0000-0000-000068200000}"/>
    <cellStyle name="Normal 9 5 5 2 2" xfId="8284" xr:uid="{00000000-0005-0000-0000-000069200000}"/>
    <cellStyle name="Normal 9 5 5 2 2 2" xfId="16723" xr:uid="{73FCD3AE-7B90-4392-B3D0-CC7141EEC1A0}"/>
    <cellStyle name="Normal 9 5 5 2 3" xfId="12505" xr:uid="{BF75C368-15E4-4EBC-9862-3F5CC1F5BE6B}"/>
    <cellStyle name="Normal 9 5 5 3" xfId="6139" xr:uid="{00000000-0005-0000-0000-00006A200000}"/>
    <cellStyle name="Normal 9 5 5 3 2" xfId="14578" xr:uid="{E4431767-59D7-42DB-B48D-C9E8138E55CC}"/>
    <cellStyle name="Normal 9 5 5 4" xfId="10360" xr:uid="{9C67C285-D71E-4E69-9222-16682E29A0BC}"/>
    <cellStyle name="Normal 9 5 6" xfId="2245" xr:uid="{00000000-0005-0000-0000-00006B200000}"/>
    <cellStyle name="Normal 9 5 6 2" xfId="4474" xr:uid="{00000000-0005-0000-0000-00006C200000}"/>
    <cellStyle name="Normal 9 5 6 2 2" xfId="8697" xr:uid="{00000000-0005-0000-0000-00006D200000}"/>
    <cellStyle name="Normal 9 5 6 2 2 2" xfId="17136" xr:uid="{981D527E-2241-4B0C-84CA-5995BDD45E7F}"/>
    <cellStyle name="Normal 9 5 6 2 3" xfId="12918" xr:uid="{719E8519-E945-45F8-ADB0-CE780120F905}"/>
    <cellStyle name="Normal 9 5 6 3" xfId="6552" xr:uid="{00000000-0005-0000-0000-00006E200000}"/>
    <cellStyle name="Normal 9 5 6 3 2" xfId="14991" xr:uid="{F49C8FD2-49B9-4397-94D8-13FE382DE3ED}"/>
    <cellStyle name="Normal 9 5 6 4" xfId="10773" xr:uid="{71C63D2F-14D7-4A55-863E-514B99148766}"/>
    <cellStyle name="Normal 9 5 7" xfId="2681" xr:uid="{00000000-0005-0000-0000-00006F200000}"/>
    <cellStyle name="Normal 9 5 7 2" xfId="6965" xr:uid="{00000000-0005-0000-0000-000070200000}"/>
    <cellStyle name="Normal 9 5 7 2 2" xfId="15404" xr:uid="{C1AE55B4-6B9C-452E-9E3F-4B428D6A1E98}"/>
    <cellStyle name="Normal 9 5 7 3" xfId="11186" xr:uid="{E72659A5-8F3B-4629-A674-B3A1B0F479F1}"/>
    <cellStyle name="Normal 9 5 8" xfId="4900" xr:uid="{00000000-0005-0000-0000-000071200000}"/>
    <cellStyle name="Normal 9 5 8 2" xfId="13339" xr:uid="{BDAF5AF9-A857-4374-987E-ECCCBB156612}"/>
    <cellStyle name="Normal 9 5 9" xfId="9121" xr:uid="{288A92C0-7D01-4236-B400-9703B848314E}"/>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0F4683E9-1666-4713-B754-E33E30C1FBDE}"/>
    <cellStyle name="Normal 9 6 2 2 3" xfId="11681" xr:uid="{0AFC28C8-73AD-4336-820F-06D52C06F0D2}"/>
    <cellStyle name="Normal 9 6 2 3" xfId="5315" xr:uid="{00000000-0005-0000-0000-000076200000}"/>
    <cellStyle name="Normal 9 6 2 3 2" xfId="13754" xr:uid="{C2F26589-3DCA-4BA2-9DF5-F5AA3F62899B}"/>
    <cellStyle name="Normal 9 6 2 4" xfId="9536" xr:uid="{DFB45E6D-654F-48F8-9223-EE2BAEDCEA58}"/>
    <cellStyle name="Normal 9 6 3" xfId="1420" xr:uid="{00000000-0005-0000-0000-000077200000}"/>
    <cellStyle name="Normal 9 6 3 2" xfId="3650" xr:uid="{00000000-0005-0000-0000-000078200000}"/>
    <cellStyle name="Normal 9 6 3 2 2" xfId="7873" xr:uid="{00000000-0005-0000-0000-000079200000}"/>
    <cellStyle name="Normal 9 6 3 2 2 2" xfId="16312" xr:uid="{98946D01-0878-48E3-99C9-D0A055EE9079}"/>
    <cellStyle name="Normal 9 6 3 2 3" xfId="12094" xr:uid="{9D80026E-1EFF-4E1E-8417-6AFCB21892AF}"/>
    <cellStyle name="Normal 9 6 3 3" xfId="5728" xr:uid="{00000000-0005-0000-0000-00007A200000}"/>
    <cellStyle name="Normal 9 6 3 3 2" xfId="14167" xr:uid="{62071B17-E408-4BB8-B1D6-0480B09C8EED}"/>
    <cellStyle name="Normal 9 6 3 4" xfId="9949" xr:uid="{959E9EC2-6754-45BA-9CFD-915FDC07E5A5}"/>
    <cellStyle name="Normal 9 6 4" xfId="1833" xr:uid="{00000000-0005-0000-0000-00007B200000}"/>
    <cellStyle name="Normal 9 6 4 2" xfId="4063" xr:uid="{00000000-0005-0000-0000-00007C200000}"/>
    <cellStyle name="Normal 9 6 4 2 2" xfId="8286" xr:uid="{00000000-0005-0000-0000-00007D200000}"/>
    <cellStyle name="Normal 9 6 4 2 2 2" xfId="16725" xr:uid="{CE0C2877-70EA-4DB9-B49C-FC46B39AE373}"/>
    <cellStyle name="Normal 9 6 4 2 3" xfId="12507" xr:uid="{EA266E78-881C-47D8-904A-4114C0F9A374}"/>
    <cellStyle name="Normal 9 6 4 3" xfId="6141" xr:uid="{00000000-0005-0000-0000-00007E200000}"/>
    <cellStyle name="Normal 9 6 4 3 2" xfId="14580" xr:uid="{34AF7A5B-16D8-4BD3-ABC1-30D2B902C709}"/>
    <cellStyle name="Normal 9 6 4 4" xfId="10362" xr:uid="{0ACE7FD9-0176-4A09-8F01-1D9234A0C541}"/>
    <cellStyle name="Normal 9 6 5" xfId="2247" xr:uid="{00000000-0005-0000-0000-00007F200000}"/>
    <cellStyle name="Normal 9 6 5 2" xfId="4476" xr:uid="{00000000-0005-0000-0000-000080200000}"/>
    <cellStyle name="Normal 9 6 5 2 2" xfId="8699" xr:uid="{00000000-0005-0000-0000-000081200000}"/>
    <cellStyle name="Normal 9 6 5 2 2 2" xfId="17138" xr:uid="{1EE9BBAD-845A-423C-8E22-B3EF4A58A6D8}"/>
    <cellStyle name="Normal 9 6 5 2 3" xfId="12920" xr:uid="{7D170E79-1277-4E07-A520-3C5D57A317AE}"/>
    <cellStyle name="Normal 9 6 5 3" xfId="6554" xr:uid="{00000000-0005-0000-0000-000082200000}"/>
    <cellStyle name="Normal 9 6 5 3 2" xfId="14993" xr:uid="{E4726C2A-19A3-475F-8FC9-52C1C93FE96C}"/>
    <cellStyle name="Normal 9 6 5 4" xfId="10775" xr:uid="{9C3C8B3E-EB16-4644-B28A-6FEBF9EC350E}"/>
    <cellStyle name="Normal 9 6 6" xfId="2683" xr:uid="{00000000-0005-0000-0000-000083200000}"/>
    <cellStyle name="Normal 9 6 6 2" xfId="6967" xr:uid="{00000000-0005-0000-0000-000084200000}"/>
    <cellStyle name="Normal 9 6 6 2 2" xfId="15406" xr:uid="{2572E28F-F4E8-4195-B022-FC74E50558E4}"/>
    <cellStyle name="Normal 9 6 6 3" xfId="11188" xr:uid="{AF5BCF76-00EC-428C-A300-DA2E2649455B}"/>
    <cellStyle name="Normal 9 6 7" xfId="4902" xr:uid="{00000000-0005-0000-0000-000085200000}"/>
    <cellStyle name="Normal 9 6 7 2" xfId="13341" xr:uid="{7FE4513D-C23D-4715-AE02-3705FD35CC9A}"/>
    <cellStyle name="Normal 9 6 8" xfId="9123" xr:uid="{C870B01D-C7C0-4967-B58E-F5F2F21F3227}"/>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9921C187-F515-43DD-9AD2-DC3A581B5FB7}"/>
    <cellStyle name="Note 2 2 10 3" xfId="11269" xr:uid="{B313128C-C425-41FF-BDE7-F73E359A3267}"/>
    <cellStyle name="Note 2 2 11" xfId="4903" xr:uid="{00000000-0005-0000-0000-000094200000}"/>
    <cellStyle name="Note 2 2 11 2" xfId="13342" xr:uid="{2EB5BFF7-ADFC-40DF-90B5-1037F1A24D8C}"/>
    <cellStyle name="Note 2 2 12" xfId="9124" xr:uid="{8605C10C-1487-4B87-8FD3-2290F14DFA76}"/>
    <cellStyle name="Note 2 2 2" xfId="546" xr:uid="{00000000-0005-0000-0000-000095200000}"/>
    <cellStyle name="Note 2 2 2 10" xfId="4904" xr:uid="{00000000-0005-0000-0000-000096200000}"/>
    <cellStyle name="Note 2 2 2 10 2" xfId="13343" xr:uid="{BD89080E-C913-49CE-BB0E-50736BDC3221}"/>
    <cellStyle name="Note 2 2 2 11" xfId="9125" xr:uid="{A2B22D72-1762-41CB-8BD5-56D11357B555}"/>
    <cellStyle name="Note 2 2 2 2" xfId="547" xr:uid="{00000000-0005-0000-0000-000097200000}"/>
    <cellStyle name="Note 2 2 2 2 10" xfId="9126" xr:uid="{D965257A-708A-46E3-8F21-E1E22C98B21C}"/>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5B621665-92A5-4237-9611-25A180AD8CA2}"/>
    <cellStyle name="Note 2 2 2 2 2 2 3" xfId="11684" xr:uid="{53D96ED2-8F97-4D4A-9C5B-1E3F8C1161C4}"/>
    <cellStyle name="Note 2 2 2 2 2 3" xfId="5318" xr:uid="{00000000-0005-0000-0000-00009B200000}"/>
    <cellStyle name="Note 2 2 2 2 2 3 2" xfId="13757" xr:uid="{7BD5AC73-1C92-48BC-AA71-827EBF0C630C}"/>
    <cellStyle name="Note 2 2 2 2 2 4" xfId="9539" xr:uid="{0A419B08-6188-4B9E-869C-3A3BBFB5AB16}"/>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52C70767-3745-453F-BC15-82D0D6E7175F}"/>
    <cellStyle name="Note 2 2 2 2 3 2 3" xfId="12097" xr:uid="{58269BA0-07FC-41EF-9A78-FF966CD46FD0}"/>
    <cellStyle name="Note 2 2 2 2 3 3" xfId="5731" xr:uid="{00000000-0005-0000-0000-00009F200000}"/>
    <cellStyle name="Note 2 2 2 2 3 3 2" xfId="14170" xr:uid="{3A33CFFE-A423-4189-A60C-44E86603B2E3}"/>
    <cellStyle name="Note 2 2 2 2 3 4" xfId="9952" xr:uid="{DCBB09CC-3E12-47B7-BE0D-D161D23638EA}"/>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F095C8E9-0723-4F4E-A8BB-132B4CE6B9D0}"/>
    <cellStyle name="Note 2 2 2 2 4 2 3" xfId="12510" xr:uid="{7E8D4FC3-C225-4735-823E-E7FB43CEF2BE}"/>
    <cellStyle name="Note 2 2 2 2 4 3" xfId="6144" xr:uid="{00000000-0005-0000-0000-0000A3200000}"/>
    <cellStyle name="Note 2 2 2 2 4 3 2" xfId="14583" xr:uid="{2F0C8330-4A06-4EC2-9CFA-501E64147EFC}"/>
    <cellStyle name="Note 2 2 2 2 4 4" xfId="10365" xr:uid="{A8A5CCC3-4FB2-4EB8-9AC6-630D2D5E9F5B}"/>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C77808A6-4BE3-4D0B-8758-BD1A1F4361A9}"/>
    <cellStyle name="Note 2 2 2 2 5 2 3" xfId="12923" xr:uid="{9E275D62-65B6-4AB1-8DE4-F43E3C505B64}"/>
    <cellStyle name="Note 2 2 2 2 5 3" xfId="6557" xr:uid="{00000000-0005-0000-0000-0000A7200000}"/>
    <cellStyle name="Note 2 2 2 2 5 3 2" xfId="14996" xr:uid="{9DD5141C-18C3-4FD8-96CD-10E821F761A8}"/>
    <cellStyle name="Note 2 2 2 2 5 4" xfId="10778" xr:uid="{A395AF71-59C1-4926-A45D-CDF733B3E3F2}"/>
    <cellStyle name="Note 2 2 2 2 6" xfId="2686" xr:uid="{00000000-0005-0000-0000-0000A8200000}"/>
    <cellStyle name="Note 2 2 2 2 6 2" xfId="6970" xr:uid="{00000000-0005-0000-0000-0000A9200000}"/>
    <cellStyle name="Note 2 2 2 2 6 2 2" xfId="15409" xr:uid="{1A9F623C-9EC0-47DD-9C0E-2326E98DC8BD}"/>
    <cellStyle name="Note 2 2 2 2 6 3" xfId="11191" xr:uid="{707D24DC-CE2A-4B48-A775-DEE36DBF06A2}"/>
    <cellStyle name="Note 2 2 2 2 7" xfId="2745" xr:uid="{00000000-0005-0000-0000-0000AA200000}"/>
    <cellStyle name="Note 2 2 2 2 8" xfId="2826" xr:uid="{00000000-0005-0000-0000-0000AB200000}"/>
    <cellStyle name="Note 2 2 2 2 8 2" xfId="7050" xr:uid="{00000000-0005-0000-0000-0000AC200000}"/>
    <cellStyle name="Note 2 2 2 2 8 2 2" xfId="15489" xr:uid="{5B885BD2-4870-4CCB-ABA7-FBAD7459D2CA}"/>
    <cellStyle name="Note 2 2 2 2 8 3" xfId="11271" xr:uid="{D89E6C3D-E3EF-4E9D-85DD-A9282EFF915A}"/>
    <cellStyle name="Note 2 2 2 2 9" xfId="4905" xr:uid="{00000000-0005-0000-0000-0000AD200000}"/>
    <cellStyle name="Note 2 2 2 2 9 2" xfId="13344" xr:uid="{E3F60E62-441A-4443-A629-73F975FD83BD}"/>
    <cellStyle name="Note 2 2 2 3" xfId="1007" xr:uid="{00000000-0005-0000-0000-0000AE200000}"/>
    <cellStyle name="Note 2 2 2 3 2" xfId="3239" xr:uid="{00000000-0005-0000-0000-0000AF200000}"/>
    <cellStyle name="Note 2 2 2 3 2 2" xfId="7462" xr:uid="{00000000-0005-0000-0000-0000B0200000}"/>
    <cellStyle name="Note 2 2 2 3 2 2 2" xfId="15901" xr:uid="{6A8A4F1E-BB92-4CC3-8E0C-C71966B82E7F}"/>
    <cellStyle name="Note 2 2 2 3 2 3" xfId="11683" xr:uid="{9A8F8E72-E9D1-431D-BAA2-032867111138}"/>
    <cellStyle name="Note 2 2 2 3 3" xfId="5317" xr:uid="{00000000-0005-0000-0000-0000B1200000}"/>
    <cellStyle name="Note 2 2 2 3 3 2" xfId="13756" xr:uid="{88635689-B7F0-42CE-B2AC-17DAAAED7BE7}"/>
    <cellStyle name="Note 2 2 2 3 4" xfId="9538" xr:uid="{91DA0EB1-2523-45F0-835F-68262D16F1C7}"/>
    <cellStyle name="Note 2 2 2 4" xfId="1422" xr:uid="{00000000-0005-0000-0000-0000B2200000}"/>
    <cellStyle name="Note 2 2 2 4 2" xfId="3652" xr:uid="{00000000-0005-0000-0000-0000B3200000}"/>
    <cellStyle name="Note 2 2 2 4 2 2" xfId="7875" xr:uid="{00000000-0005-0000-0000-0000B4200000}"/>
    <cellStyle name="Note 2 2 2 4 2 2 2" xfId="16314" xr:uid="{D1DEA831-9070-46DA-BA4A-0F6E26985B19}"/>
    <cellStyle name="Note 2 2 2 4 2 3" xfId="12096" xr:uid="{5CC8D36F-91EB-47F4-A813-094D9FE3847B}"/>
    <cellStyle name="Note 2 2 2 4 3" xfId="5730" xr:uid="{00000000-0005-0000-0000-0000B5200000}"/>
    <cellStyle name="Note 2 2 2 4 3 2" xfId="14169" xr:uid="{EDD389A5-7690-426E-8A2D-66A0E4BFCAD0}"/>
    <cellStyle name="Note 2 2 2 4 4" xfId="9951" xr:uid="{536D530A-3E67-43D7-B677-090B6323DFE3}"/>
    <cellStyle name="Note 2 2 2 5" xfId="1836" xr:uid="{00000000-0005-0000-0000-0000B6200000}"/>
    <cellStyle name="Note 2 2 2 5 2" xfId="4065" xr:uid="{00000000-0005-0000-0000-0000B7200000}"/>
    <cellStyle name="Note 2 2 2 5 2 2" xfId="8288" xr:uid="{00000000-0005-0000-0000-0000B8200000}"/>
    <cellStyle name="Note 2 2 2 5 2 2 2" xfId="16727" xr:uid="{6529DA77-E324-4169-9A74-EDC462B9D266}"/>
    <cellStyle name="Note 2 2 2 5 2 3" xfId="12509" xr:uid="{61A935DD-BE21-4FCB-9290-CA5F9965D72C}"/>
    <cellStyle name="Note 2 2 2 5 3" xfId="6143" xr:uid="{00000000-0005-0000-0000-0000B9200000}"/>
    <cellStyle name="Note 2 2 2 5 3 2" xfId="14582" xr:uid="{E2712C84-CFCC-4BDB-BD18-C2A5D004F79F}"/>
    <cellStyle name="Note 2 2 2 5 4" xfId="10364" xr:uid="{538CFCC4-4B60-44D7-AA68-2AA0566DB775}"/>
    <cellStyle name="Note 2 2 2 6" xfId="2249" xr:uid="{00000000-0005-0000-0000-0000BA200000}"/>
    <cellStyle name="Note 2 2 2 6 2" xfId="4478" xr:uid="{00000000-0005-0000-0000-0000BB200000}"/>
    <cellStyle name="Note 2 2 2 6 2 2" xfId="8701" xr:uid="{00000000-0005-0000-0000-0000BC200000}"/>
    <cellStyle name="Note 2 2 2 6 2 2 2" xfId="17140" xr:uid="{567DCC2A-0B85-4455-9888-50EBBF76E9FE}"/>
    <cellStyle name="Note 2 2 2 6 2 3" xfId="12922" xr:uid="{A83324FD-2C13-46AB-BD35-45F5CBA2CFA3}"/>
    <cellStyle name="Note 2 2 2 6 3" xfId="6556" xr:uid="{00000000-0005-0000-0000-0000BD200000}"/>
    <cellStyle name="Note 2 2 2 6 3 2" xfId="14995" xr:uid="{4DC1FC03-1EB7-4B13-98F4-DE5B6D0CE15B}"/>
    <cellStyle name="Note 2 2 2 6 4" xfId="10777" xr:uid="{3D43EE19-C06D-465E-A9F2-A1AEAA52E853}"/>
    <cellStyle name="Note 2 2 2 7" xfId="2685" xr:uid="{00000000-0005-0000-0000-0000BE200000}"/>
    <cellStyle name="Note 2 2 2 7 2" xfId="6969" xr:uid="{00000000-0005-0000-0000-0000BF200000}"/>
    <cellStyle name="Note 2 2 2 7 2 2" xfId="15408" xr:uid="{9A858021-84CB-45E9-A49E-BDE8DE3108EA}"/>
    <cellStyle name="Note 2 2 2 7 3" xfId="11190" xr:uid="{F62B4FEE-86FE-4466-B1D0-100C4FF13A47}"/>
    <cellStyle name="Note 2 2 2 8" xfId="2744" xr:uid="{00000000-0005-0000-0000-0000C0200000}"/>
    <cellStyle name="Note 2 2 2 9" xfId="2825" xr:uid="{00000000-0005-0000-0000-0000C1200000}"/>
    <cellStyle name="Note 2 2 2 9 2" xfId="7049" xr:uid="{00000000-0005-0000-0000-0000C2200000}"/>
    <cellStyle name="Note 2 2 2 9 2 2" xfId="15488" xr:uid="{B6A6E996-455A-4576-8C6C-B4A3C80F79B5}"/>
    <cellStyle name="Note 2 2 2 9 3" xfId="11270" xr:uid="{5DDF0FE8-C893-49A3-B2A4-28A48581A774}"/>
    <cellStyle name="Note 2 2 3" xfId="548" xr:uid="{00000000-0005-0000-0000-0000C3200000}"/>
    <cellStyle name="Note 2 2 3 10" xfId="9127" xr:uid="{79B64451-C304-40B7-9DCE-347CF7FE1742}"/>
    <cellStyle name="Note 2 2 3 2" xfId="1009" xr:uid="{00000000-0005-0000-0000-0000C4200000}"/>
    <cellStyle name="Note 2 2 3 2 2" xfId="3241" xr:uid="{00000000-0005-0000-0000-0000C5200000}"/>
    <cellStyle name="Note 2 2 3 2 2 2" xfId="7464" xr:uid="{00000000-0005-0000-0000-0000C6200000}"/>
    <cellStyle name="Note 2 2 3 2 2 2 2" xfId="15903" xr:uid="{967A9332-F4F7-4C86-BEEA-8CC6DE1A0408}"/>
    <cellStyle name="Note 2 2 3 2 2 3" xfId="11685" xr:uid="{BC6E1D0C-A137-4487-9D4B-26DE4B69E471}"/>
    <cellStyle name="Note 2 2 3 2 3" xfId="5319" xr:uid="{00000000-0005-0000-0000-0000C7200000}"/>
    <cellStyle name="Note 2 2 3 2 3 2" xfId="13758" xr:uid="{D5E0839F-D47F-4012-93E9-98699A5D2C7E}"/>
    <cellStyle name="Note 2 2 3 2 4" xfId="9540" xr:uid="{4B8601C9-CD50-40CB-86CF-722893774719}"/>
    <cellStyle name="Note 2 2 3 3" xfId="1424" xr:uid="{00000000-0005-0000-0000-0000C8200000}"/>
    <cellStyle name="Note 2 2 3 3 2" xfId="3654" xr:uid="{00000000-0005-0000-0000-0000C9200000}"/>
    <cellStyle name="Note 2 2 3 3 2 2" xfId="7877" xr:uid="{00000000-0005-0000-0000-0000CA200000}"/>
    <cellStyle name="Note 2 2 3 3 2 2 2" xfId="16316" xr:uid="{BFE0B5D3-8091-44B5-B34A-3E5E459E33E2}"/>
    <cellStyle name="Note 2 2 3 3 2 3" xfId="12098" xr:uid="{E5C7A884-6B6E-494A-8280-4233A2F817CB}"/>
    <cellStyle name="Note 2 2 3 3 3" xfId="5732" xr:uid="{00000000-0005-0000-0000-0000CB200000}"/>
    <cellStyle name="Note 2 2 3 3 3 2" xfId="14171" xr:uid="{24DA8CB5-18CD-4A89-914C-77B53EE00022}"/>
    <cellStyle name="Note 2 2 3 3 4" xfId="9953" xr:uid="{E64030B6-DE02-4980-835F-8B5C57730BF7}"/>
    <cellStyle name="Note 2 2 3 4" xfId="1838" xr:uid="{00000000-0005-0000-0000-0000CC200000}"/>
    <cellStyle name="Note 2 2 3 4 2" xfId="4067" xr:uid="{00000000-0005-0000-0000-0000CD200000}"/>
    <cellStyle name="Note 2 2 3 4 2 2" xfId="8290" xr:uid="{00000000-0005-0000-0000-0000CE200000}"/>
    <cellStyle name="Note 2 2 3 4 2 2 2" xfId="16729" xr:uid="{53A66E26-49E2-44C6-B140-600380B23418}"/>
    <cellStyle name="Note 2 2 3 4 2 3" xfId="12511" xr:uid="{1013E73E-948E-4729-B657-5F4AAB106F69}"/>
    <cellStyle name="Note 2 2 3 4 3" xfId="6145" xr:uid="{00000000-0005-0000-0000-0000CF200000}"/>
    <cellStyle name="Note 2 2 3 4 3 2" xfId="14584" xr:uid="{15D78742-D88B-4F5B-A0A6-30E2EC97CEC8}"/>
    <cellStyle name="Note 2 2 3 4 4" xfId="10366" xr:uid="{730610FB-2021-45A7-A4E7-914B2EB0A71F}"/>
    <cellStyle name="Note 2 2 3 5" xfId="2251" xr:uid="{00000000-0005-0000-0000-0000D0200000}"/>
    <cellStyle name="Note 2 2 3 5 2" xfId="4480" xr:uid="{00000000-0005-0000-0000-0000D1200000}"/>
    <cellStyle name="Note 2 2 3 5 2 2" xfId="8703" xr:uid="{00000000-0005-0000-0000-0000D2200000}"/>
    <cellStyle name="Note 2 2 3 5 2 2 2" xfId="17142" xr:uid="{070BBF59-70C7-460A-86BC-4B26AFD65595}"/>
    <cellStyle name="Note 2 2 3 5 2 3" xfId="12924" xr:uid="{80C8CE24-2DAC-4CC1-97F5-A6F287D9FD2E}"/>
    <cellStyle name="Note 2 2 3 5 3" xfId="6558" xr:uid="{00000000-0005-0000-0000-0000D3200000}"/>
    <cellStyle name="Note 2 2 3 5 3 2" xfId="14997" xr:uid="{0042D759-5D2F-4DBB-8D64-398EE0956E3B}"/>
    <cellStyle name="Note 2 2 3 5 4" xfId="10779" xr:uid="{F7B8B290-6F03-4602-A0F2-D38C64118939}"/>
    <cellStyle name="Note 2 2 3 6" xfId="2687" xr:uid="{00000000-0005-0000-0000-0000D4200000}"/>
    <cellStyle name="Note 2 2 3 6 2" xfId="6971" xr:uid="{00000000-0005-0000-0000-0000D5200000}"/>
    <cellStyle name="Note 2 2 3 6 2 2" xfId="15410" xr:uid="{05A4D752-EBD2-462C-B502-462AB398FBE9}"/>
    <cellStyle name="Note 2 2 3 6 3" xfId="11192" xr:uid="{6E1E26E9-C2E1-42F2-90D1-145A2A4BF44C}"/>
    <cellStyle name="Note 2 2 3 7" xfId="2746" xr:uid="{00000000-0005-0000-0000-0000D6200000}"/>
    <cellStyle name="Note 2 2 3 8" xfId="2827" xr:uid="{00000000-0005-0000-0000-0000D7200000}"/>
    <cellStyle name="Note 2 2 3 8 2" xfId="7051" xr:uid="{00000000-0005-0000-0000-0000D8200000}"/>
    <cellStyle name="Note 2 2 3 8 2 2" xfId="15490" xr:uid="{E109FFFF-8BA1-431B-9A63-02573D8EB40A}"/>
    <cellStyle name="Note 2 2 3 8 3" xfId="11272" xr:uid="{A164DAC1-7D0E-41B4-B8CD-459063F8EC6D}"/>
    <cellStyle name="Note 2 2 3 9" xfId="4906" xr:uid="{00000000-0005-0000-0000-0000D9200000}"/>
    <cellStyle name="Note 2 2 3 9 2" xfId="13345" xr:uid="{A85814DC-4369-4C45-84F0-C9D3857662DB}"/>
    <cellStyle name="Note 2 2 4" xfId="1006" xr:uid="{00000000-0005-0000-0000-0000DA200000}"/>
    <cellStyle name="Note 2 2 4 2" xfId="3238" xr:uid="{00000000-0005-0000-0000-0000DB200000}"/>
    <cellStyle name="Note 2 2 4 2 2" xfId="7461" xr:uid="{00000000-0005-0000-0000-0000DC200000}"/>
    <cellStyle name="Note 2 2 4 2 2 2" xfId="15900" xr:uid="{C9AF25BB-77F6-4C84-B0DC-8402EA38532C}"/>
    <cellStyle name="Note 2 2 4 2 3" xfId="11682" xr:uid="{3D695090-90BA-4132-B7C0-ED4F147DC14F}"/>
    <cellStyle name="Note 2 2 4 3" xfId="5316" xr:uid="{00000000-0005-0000-0000-0000DD200000}"/>
    <cellStyle name="Note 2 2 4 3 2" xfId="13755" xr:uid="{5BB491EF-495F-46BE-A7AD-495D5F8E7AB1}"/>
    <cellStyle name="Note 2 2 4 4" xfId="9537" xr:uid="{7CDF9247-41D2-4260-B7FE-868FA24F3767}"/>
    <cellStyle name="Note 2 2 5" xfId="1421" xr:uid="{00000000-0005-0000-0000-0000DE200000}"/>
    <cellStyle name="Note 2 2 5 2" xfId="3651" xr:uid="{00000000-0005-0000-0000-0000DF200000}"/>
    <cellStyle name="Note 2 2 5 2 2" xfId="7874" xr:uid="{00000000-0005-0000-0000-0000E0200000}"/>
    <cellStyle name="Note 2 2 5 2 2 2" xfId="16313" xr:uid="{F6A9AD35-10AF-4C20-9320-7F530DFA7354}"/>
    <cellStyle name="Note 2 2 5 2 3" xfId="12095" xr:uid="{0D058FD9-0A2A-4D27-9552-5C5DE7CA6273}"/>
    <cellStyle name="Note 2 2 5 3" xfId="5729" xr:uid="{00000000-0005-0000-0000-0000E1200000}"/>
    <cellStyle name="Note 2 2 5 3 2" xfId="14168" xr:uid="{73510E17-A61D-4F68-BEBD-53187F7CF941}"/>
    <cellStyle name="Note 2 2 5 4" xfId="9950" xr:uid="{F5D87F0D-1EC8-44FF-9A55-986E79041490}"/>
    <cellStyle name="Note 2 2 6" xfId="1835" xr:uid="{00000000-0005-0000-0000-0000E2200000}"/>
    <cellStyle name="Note 2 2 6 2" xfId="4064" xr:uid="{00000000-0005-0000-0000-0000E3200000}"/>
    <cellStyle name="Note 2 2 6 2 2" xfId="8287" xr:uid="{00000000-0005-0000-0000-0000E4200000}"/>
    <cellStyle name="Note 2 2 6 2 2 2" xfId="16726" xr:uid="{27EC6165-AC0A-420F-9E02-3E946B889A72}"/>
    <cellStyle name="Note 2 2 6 2 3" xfId="12508" xr:uid="{006109AC-3784-4F4F-9764-BE9C173102F0}"/>
    <cellStyle name="Note 2 2 6 3" xfId="6142" xr:uid="{00000000-0005-0000-0000-0000E5200000}"/>
    <cellStyle name="Note 2 2 6 3 2" xfId="14581" xr:uid="{05ED45A2-BB8B-4266-9E36-4E77DBA91710}"/>
    <cellStyle name="Note 2 2 6 4" xfId="10363" xr:uid="{26E87EA1-7A27-4CF4-82C5-F71F31AEF033}"/>
    <cellStyle name="Note 2 2 7" xfId="2248" xr:uid="{00000000-0005-0000-0000-0000E6200000}"/>
    <cellStyle name="Note 2 2 7 2" xfId="4477" xr:uid="{00000000-0005-0000-0000-0000E7200000}"/>
    <cellStyle name="Note 2 2 7 2 2" xfId="8700" xr:uid="{00000000-0005-0000-0000-0000E8200000}"/>
    <cellStyle name="Note 2 2 7 2 2 2" xfId="17139" xr:uid="{9E5E3FBF-0FE4-4D05-8C99-A857671DDAA5}"/>
    <cellStyle name="Note 2 2 7 2 3" xfId="12921" xr:uid="{4A6E5FD8-5DB5-4EB3-B4B7-218EC0FD4B7A}"/>
    <cellStyle name="Note 2 2 7 3" xfId="6555" xr:uid="{00000000-0005-0000-0000-0000E9200000}"/>
    <cellStyle name="Note 2 2 7 3 2" xfId="14994" xr:uid="{4E09D485-6A09-4A23-A44B-324AEF6322C3}"/>
    <cellStyle name="Note 2 2 7 4" xfId="10776" xr:uid="{6033CE55-706F-4F37-9E79-574F4539B8AE}"/>
    <cellStyle name="Note 2 2 8" xfId="2684" xr:uid="{00000000-0005-0000-0000-0000EA200000}"/>
    <cellStyle name="Note 2 2 8 2" xfId="6968" xr:uid="{00000000-0005-0000-0000-0000EB200000}"/>
    <cellStyle name="Note 2 2 8 2 2" xfId="15407" xr:uid="{4B6819B4-057B-471C-9F0D-A8CDA1A5A6C6}"/>
    <cellStyle name="Note 2 2 8 3" xfId="11189" xr:uid="{BC771E70-274B-477F-815F-F80C91BF6DC2}"/>
    <cellStyle name="Note 2 2 9" xfId="2743" xr:uid="{00000000-0005-0000-0000-0000EC200000}"/>
    <cellStyle name="Note 2 3" xfId="549" xr:uid="{00000000-0005-0000-0000-0000ED200000}"/>
    <cellStyle name="Note 2 3 10" xfId="4907" xr:uid="{00000000-0005-0000-0000-0000EE200000}"/>
    <cellStyle name="Note 2 3 10 2" xfId="13346" xr:uid="{BE9FF015-EB05-42DD-B185-3EBC9BBF3381}"/>
    <cellStyle name="Note 2 3 11" xfId="9128" xr:uid="{859E0155-B682-4195-A647-5F72C098DEA5}"/>
    <cellStyle name="Note 2 3 2" xfId="550" xr:uid="{00000000-0005-0000-0000-0000EF200000}"/>
    <cellStyle name="Note 2 3 2 10" xfId="9129" xr:uid="{7C179F32-E601-4DAD-B02A-4792E71C5B8E}"/>
    <cellStyle name="Note 2 3 2 2" xfId="1011" xr:uid="{00000000-0005-0000-0000-0000F0200000}"/>
    <cellStyle name="Note 2 3 2 2 2" xfId="3243" xr:uid="{00000000-0005-0000-0000-0000F1200000}"/>
    <cellStyle name="Note 2 3 2 2 2 2" xfId="7466" xr:uid="{00000000-0005-0000-0000-0000F2200000}"/>
    <cellStyle name="Note 2 3 2 2 2 2 2" xfId="15905" xr:uid="{08A0AF84-4DC4-40A7-9169-3B07F353E3D6}"/>
    <cellStyle name="Note 2 3 2 2 2 3" xfId="11687" xr:uid="{C0F11476-1D7B-41BA-A3C9-92DB20CFE728}"/>
    <cellStyle name="Note 2 3 2 2 3" xfId="5321" xr:uid="{00000000-0005-0000-0000-0000F3200000}"/>
    <cellStyle name="Note 2 3 2 2 3 2" xfId="13760" xr:uid="{56EFB07D-7859-4C08-B42F-827412E9F4E9}"/>
    <cellStyle name="Note 2 3 2 2 4" xfId="9542" xr:uid="{CA64F8FB-5D66-4BBF-BC35-D2DB2F832EA1}"/>
    <cellStyle name="Note 2 3 2 3" xfId="1426" xr:uid="{00000000-0005-0000-0000-0000F4200000}"/>
    <cellStyle name="Note 2 3 2 3 2" xfId="3656" xr:uid="{00000000-0005-0000-0000-0000F5200000}"/>
    <cellStyle name="Note 2 3 2 3 2 2" xfId="7879" xr:uid="{00000000-0005-0000-0000-0000F6200000}"/>
    <cellStyle name="Note 2 3 2 3 2 2 2" xfId="16318" xr:uid="{6B523503-672B-440D-B5B7-34786FF190BD}"/>
    <cellStyle name="Note 2 3 2 3 2 3" xfId="12100" xr:uid="{CD1C3212-71B8-4EC8-A2A8-05A7E4C0F90F}"/>
    <cellStyle name="Note 2 3 2 3 3" xfId="5734" xr:uid="{00000000-0005-0000-0000-0000F7200000}"/>
    <cellStyle name="Note 2 3 2 3 3 2" xfId="14173" xr:uid="{1EA289F4-4657-49D0-925C-65AAE0CDE212}"/>
    <cellStyle name="Note 2 3 2 3 4" xfId="9955" xr:uid="{8F758248-CE8B-4221-B8C1-E35DA9B62FF4}"/>
    <cellStyle name="Note 2 3 2 4" xfId="1840" xr:uid="{00000000-0005-0000-0000-0000F8200000}"/>
    <cellStyle name="Note 2 3 2 4 2" xfId="4069" xr:uid="{00000000-0005-0000-0000-0000F9200000}"/>
    <cellStyle name="Note 2 3 2 4 2 2" xfId="8292" xr:uid="{00000000-0005-0000-0000-0000FA200000}"/>
    <cellStyle name="Note 2 3 2 4 2 2 2" xfId="16731" xr:uid="{C6F7CF57-3B59-475C-8ECA-9DDD2D58F4FF}"/>
    <cellStyle name="Note 2 3 2 4 2 3" xfId="12513" xr:uid="{AECF903E-52D9-4F85-B5C3-DE0B8ED1F9ED}"/>
    <cellStyle name="Note 2 3 2 4 3" xfId="6147" xr:uid="{00000000-0005-0000-0000-0000FB200000}"/>
    <cellStyle name="Note 2 3 2 4 3 2" xfId="14586" xr:uid="{73519967-9806-4FAB-93CB-4F77DD947E7C}"/>
    <cellStyle name="Note 2 3 2 4 4" xfId="10368" xr:uid="{A691F2C9-2C8C-4DC2-945D-2F79442030FF}"/>
    <cellStyle name="Note 2 3 2 5" xfId="2253" xr:uid="{00000000-0005-0000-0000-0000FC200000}"/>
    <cellStyle name="Note 2 3 2 5 2" xfId="4482" xr:uid="{00000000-0005-0000-0000-0000FD200000}"/>
    <cellStyle name="Note 2 3 2 5 2 2" xfId="8705" xr:uid="{00000000-0005-0000-0000-0000FE200000}"/>
    <cellStyle name="Note 2 3 2 5 2 2 2" xfId="17144" xr:uid="{8BF4C463-1A8B-42E3-BF46-8A552B15E3F1}"/>
    <cellStyle name="Note 2 3 2 5 2 3" xfId="12926" xr:uid="{80BD9CC7-4D96-4A87-BBEC-2CD194952EEC}"/>
    <cellStyle name="Note 2 3 2 5 3" xfId="6560" xr:uid="{00000000-0005-0000-0000-0000FF200000}"/>
    <cellStyle name="Note 2 3 2 5 3 2" xfId="14999" xr:uid="{40109858-0544-4253-882B-7EE876EE1735}"/>
    <cellStyle name="Note 2 3 2 5 4" xfId="10781" xr:uid="{ED270795-02F9-4D05-B8C0-0D572905A0A3}"/>
    <cellStyle name="Note 2 3 2 6" xfId="2689" xr:uid="{00000000-0005-0000-0000-000000210000}"/>
    <cellStyle name="Note 2 3 2 6 2" xfId="6973" xr:uid="{00000000-0005-0000-0000-000001210000}"/>
    <cellStyle name="Note 2 3 2 6 2 2" xfId="15412" xr:uid="{949D92DF-AD33-4DBB-8693-36E88C255070}"/>
    <cellStyle name="Note 2 3 2 6 3" xfId="11194" xr:uid="{7499D4C6-D2FB-4C43-8136-EBF5B40F2302}"/>
    <cellStyle name="Note 2 3 2 7" xfId="2748" xr:uid="{00000000-0005-0000-0000-000002210000}"/>
    <cellStyle name="Note 2 3 2 8" xfId="2829" xr:uid="{00000000-0005-0000-0000-000003210000}"/>
    <cellStyle name="Note 2 3 2 8 2" xfId="7053" xr:uid="{00000000-0005-0000-0000-000004210000}"/>
    <cellStyle name="Note 2 3 2 8 2 2" xfId="15492" xr:uid="{4D90C053-7003-4772-874C-7C8E02E92531}"/>
    <cellStyle name="Note 2 3 2 8 3" xfId="11274" xr:uid="{EF59B7D9-64F1-4EE9-A8A2-F616CECB8560}"/>
    <cellStyle name="Note 2 3 2 9" xfId="4908" xr:uid="{00000000-0005-0000-0000-000005210000}"/>
    <cellStyle name="Note 2 3 2 9 2" xfId="13347" xr:uid="{8046A834-4DB9-4836-BBEC-E44BF2D76380}"/>
    <cellStyle name="Note 2 3 3" xfId="1010" xr:uid="{00000000-0005-0000-0000-000006210000}"/>
    <cellStyle name="Note 2 3 3 2" xfId="3242" xr:uid="{00000000-0005-0000-0000-000007210000}"/>
    <cellStyle name="Note 2 3 3 2 2" xfId="7465" xr:uid="{00000000-0005-0000-0000-000008210000}"/>
    <cellStyle name="Note 2 3 3 2 2 2" xfId="15904" xr:uid="{A43EF75E-A59A-485B-87ED-DBDF8292D361}"/>
    <cellStyle name="Note 2 3 3 2 3" xfId="11686" xr:uid="{445F7512-8F22-4412-AA84-7AC6C30E11D0}"/>
    <cellStyle name="Note 2 3 3 3" xfId="5320" xr:uid="{00000000-0005-0000-0000-000009210000}"/>
    <cellStyle name="Note 2 3 3 3 2" xfId="13759" xr:uid="{0F36A65C-BF8A-4BD0-B7F6-2BE90E93EE50}"/>
    <cellStyle name="Note 2 3 3 4" xfId="9541" xr:uid="{C7B2FEF8-58D8-410C-90E2-7893B985A5AB}"/>
    <cellStyle name="Note 2 3 4" xfId="1425" xr:uid="{00000000-0005-0000-0000-00000A210000}"/>
    <cellStyle name="Note 2 3 4 2" xfId="3655" xr:uid="{00000000-0005-0000-0000-00000B210000}"/>
    <cellStyle name="Note 2 3 4 2 2" xfId="7878" xr:uid="{00000000-0005-0000-0000-00000C210000}"/>
    <cellStyle name="Note 2 3 4 2 2 2" xfId="16317" xr:uid="{2E2877BD-FBD3-4E93-A185-1833799D1D86}"/>
    <cellStyle name="Note 2 3 4 2 3" xfId="12099" xr:uid="{7A18636A-17AB-4394-88E6-3022D099C8E0}"/>
    <cellStyle name="Note 2 3 4 3" xfId="5733" xr:uid="{00000000-0005-0000-0000-00000D210000}"/>
    <cellStyle name="Note 2 3 4 3 2" xfId="14172" xr:uid="{D14D144B-AB8C-4B20-A693-7E6B5DA556CB}"/>
    <cellStyle name="Note 2 3 4 4" xfId="9954" xr:uid="{A6DA1BE3-E337-4367-BA93-414DC6943439}"/>
    <cellStyle name="Note 2 3 5" xfId="1839" xr:uid="{00000000-0005-0000-0000-00000E210000}"/>
    <cellStyle name="Note 2 3 5 2" xfId="4068" xr:uid="{00000000-0005-0000-0000-00000F210000}"/>
    <cellStyle name="Note 2 3 5 2 2" xfId="8291" xr:uid="{00000000-0005-0000-0000-000010210000}"/>
    <cellStyle name="Note 2 3 5 2 2 2" xfId="16730" xr:uid="{A835664F-59D9-4F35-95D2-15B7736E542D}"/>
    <cellStyle name="Note 2 3 5 2 3" xfId="12512" xr:uid="{ACF68282-69D5-409E-AF13-C5C198975C93}"/>
    <cellStyle name="Note 2 3 5 3" xfId="6146" xr:uid="{00000000-0005-0000-0000-000011210000}"/>
    <cellStyle name="Note 2 3 5 3 2" xfId="14585" xr:uid="{B4A6536F-D0E7-45F6-AA6E-E23D28889BA0}"/>
    <cellStyle name="Note 2 3 5 4" xfId="10367" xr:uid="{9A62BDF5-6468-491D-8617-1EFB54C732DD}"/>
    <cellStyle name="Note 2 3 6" xfId="2252" xr:uid="{00000000-0005-0000-0000-000012210000}"/>
    <cellStyle name="Note 2 3 6 2" xfId="4481" xr:uid="{00000000-0005-0000-0000-000013210000}"/>
    <cellStyle name="Note 2 3 6 2 2" xfId="8704" xr:uid="{00000000-0005-0000-0000-000014210000}"/>
    <cellStyle name="Note 2 3 6 2 2 2" xfId="17143" xr:uid="{CEFA473A-B7F2-4454-9A95-E30F791D43B1}"/>
    <cellStyle name="Note 2 3 6 2 3" xfId="12925" xr:uid="{0DF7EC7D-06B2-42F2-8C1F-7043653B9C2A}"/>
    <cellStyle name="Note 2 3 6 3" xfId="6559" xr:uid="{00000000-0005-0000-0000-000015210000}"/>
    <cellStyle name="Note 2 3 6 3 2" xfId="14998" xr:uid="{C50FA713-C462-431E-B47C-01EFACA3546A}"/>
    <cellStyle name="Note 2 3 6 4" xfId="10780" xr:uid="{56B1CCF7-B47F-448F-9569-0186C19A3B69}"/>
    <cellStyle name="Note 2 3 7" xfId="2688" xr:uid="{00000000-0005-0000-0000-000016210000}"/>
    <cellStyle name="Note 2 3 7 2" xfId="6972" xr:uid="{00000000-0005-0000-0000-000017210000}"/>
    <cellStyle name="Note 2 3 7 2 2" xfId="15411" xr:uid="{5834A039-9F6B-4E01-B395-4015B7750294}"/>
    <cellStyle name="Note 2 3 7 3" xfId="11193" xr:uid="{34A44B91-82BA-4DC9-9241-0AC90DF7D9D9}"/>
    <cellStyle name="Note 2 3 8" xfId="2747" xr:uid="{00000000-0005-0000-0000-000018210000}"/>
    <cellStyle name="Note 2 3 9" xfId="2828" xr:uid="{00000000-0005-0000-0000-000019210000}"/>
    <cellStyle name="Note 2 3 9 2" xfId="7052" xr:uid="{00000000-0005-0000-0000-00001A210000}"/>
    <cellStyle name="Note 2 3 9 2 2" xfId="15491" xr:uid="{044492A6-8612-434D-B927-EC2777BC307D}"/>
    <cellStyle name="Note 2 3 9 3" xfId="11273" xr:uid="{3EF4DAC8-DF94-4CE2-A1A9-0E8EF03CB63C}"/>
    <cellStyle name="Note 2 4" xfId="551" xr:uid="{00000000-0005-0000-0000-00001B210000}"/>
    <cellStyle name="Note 2 4 10" xfId="9130" xr:uid="{09021399-ACD3-4572-B719-EF34B1C238F4}"/>
    <cellStyle name="Note 2 4 2" xfId="1012" xr:uid="{00000000-0005-0000-0000-00001C210000}"/>
    <cellStyle name="Note 2 4 2 2" xfId="3244" xr:uid="{00000000-0005-0000-0000-00001D210000}"/>
    <cellStyle name="Note 2 4 2 2 2" xfId="7467" xr:uid="{00000000-0005-0000-0000-00001E210000}"/>
    <cellStyle name="Note 2 4 2 2 2 2" xfId="15906" xr:uid="{D2AE4180-2EE1-4755-810A-BD87E32D5321}"/>
    <cellStyle name="Note 2 4 2 2 3" xfId="11688" xr:uid="{7B4006B5-7A55-4C4E-9F34-09EAC0F9D98B}"/>
    <cellStyle name="Note 2 4 2 3" xfId="5322" xr:uid="{00000000-0005-0000-0000-00001F210000}"/>
    <cellStyle name="Note 2 4 2 3 2" xfId="13761" xr:uid="{D8ED208A-F380-4D42-ACC1-9E887DE1695E}"/>
    <cellStyle name="Note 2 4 2 4" xfId="9543" xr:uid="{DB49DFBF-1421-4CD2-93DA-1D7CA1A53EBC}"/>
    <cellStyle name="Note 2 4 3" xfId="1427" xr:uid="{00000000-0005-0000-0000-000020210000}"/>
    <cellStyle name="Note 2 4 3 2" xfId="3657" xr:uid="{00000000-0005-0000-0000-000021210000}"/>
    <cellStyle name="Note 2 4 3 2 2" xfId="7880" xr:uid="{00000000-0005-0000-0000-000022210000}"/>
    <cellStyle name="Note 2 4 3 2 2 2" xfId="16319" xr:uid="{54F9554D-F668-4204-B4FE-B8CA50B27014}"/>
    <cellStyle name="Note 2 4 3 2 3" xfId="12101" xr:uid="{B30F377C-F9E2-4451-BAD7-32418FDBA9E3}"/>
    <cellStyle name="Note 2 4 3 3" xfId="5735" xr:uid="{00000000-0005-0000-0000-000023210000}"/>
    <cellStyle name="Note 2 4 3 3 2" xfId="14174" xr:uid="{6783E3DD-2228-44DB-8835-1A667D403845}"/>
    <cellStyle name="Note 2 4 3 4" xfId="9956" xr:uid="{8353C1B2-E8CD-4B37-88DC-3A17E6C599F5}"/>
    <cellStyle name="Note 2 4 4" xfId="1841" xr:uid="{00000000-0005-0000-0000-000024210000}"/>
    <cellStyle name="Note 2 4 4 2" xfId="4070" xr:uid="{00000000-0005-0000-0000-000025210000}"/>
    <cellStyle name="Note 2 4 4 2 2" xfId="8293" xr:uid="{00000000-0005-0000-0000-000026210000}"/>
    <cellStyle name="Note 2 4 4 2 2 2" xfId="16732" xr:uid="{9043BC29-60DA-4025-BCE3-C41C22563F30}"/>
    <cellStyle name="Note 2 4 4 2 3" xfId="12514" xr:uid="{EA411C7D-A36B-43E1-8120-1D60F541B88D}"/>
    <cellStyle name="Note 2 4 4 3" xfId="6148" xr:uid="{00000000-0005-0000-0000-000027210000}"/>
    <cellStyle name="Note 2 4 4 3 2" xfId="14587" xr:uid="{FA78DA9D-0B84-4CB9-9470-1C965D50E878}"/>
    <cellStyle name="Note 2 4 4 4" xfId="10369" xr:uid="{00F6479B-AD96-4DA5-BD1D-99CD92233F9C}"/>
    <cellStyle name="Note 2 4 5" xfId="2254" xr:uid="{00000000-0005-0000-0000-000028210000}"/>
    <cellStyle name="Note 2 4 5 2" xfId="4483" xr:uid="{00000000-0005-0000-0000-000029210000}"/>
    <cellStyle name="Note 2 4 5 2 2" xfId="8706" xr:uid="{00000000-0005-0000-0000-00002A210000}"/>
    <cellStyle name="Note 2 4 5 2 2 2" xfId="17145" xr:uid="{95CDCC4C-9F12-4AA1-A006-62ABEDC8A0DC}"/>
    <cellStyle name="Note 2 4 5 2 3" xfId="12927" xr:uid="{4464F7E4-42DC-4E17-B926-4E51D256A023}"/>
    <cellStyle name="Note 2 4 5 3" xfId="6561" xr:uid="{00000000-0005-0000-0000-00002B210000}"/>
    <cellStyle name="Note 2 4 5 3 2" xfId="15000" xr:uid="{DCBA969D-ECAB-4D5E-9EA0-5B0E5D605414}"/>
    <cellStyle name="Note 2 4 5 4" xfId="10782" xr:uid="{DFE5B622-AE96-4F52-8F7A-ABDA160B0131}"/>
    <cellStyle name="Note 2 4 6" xfId="2690" xr:uid="{00000000-0005-0000-0000-00002C210000}"/>
    <cellStyle name="Note 2 4 6 2" xfId="6974" xr:uid="{00000000-0005-0000-0000-00002D210000}"/>
    <cellStyle name="Note 2 4 6 2 2" xfId="15413" xr:uid="{FFC479B1-4FCF-43CE-85BD-4FC96EFA2C55}"/>
    <cellStyle name="Note 2 4 6 3" xfId="11195" xr:uid="{BE3A4105-CFA7-41BA-A52F-3D091E234C36}"/>
    <cellStyle name="Note 2 4 7" xfId="2749" xr:uid="{00000000-0005-0000-0000-00002E210000}"/>
    <cellStyle name="Note 2 4 8" xfId="2830" xr:uid="{00000000-0005-0000-0000-00002F210000}"/>
    <cellStyle name="Note 2 4 8 2" xfId="7054" xr:uid="{00000000-0005-0000-0000-000030210000}"/>
    <cellStyle name="Note 2 4 8 2 2" xfId="15493" xr:uid="{A3A0A915-1A8D-45DF-A33B-F7922B0EB3CF}"/>
    <cellStyle name="Note 2 4 8 3" xfId="11275" xr:uid="{CE814C4F-BC70-45E5-BD92-DED41ED89219}"/>
    <cellStyle name="Note 2 4 9" xfId="4909" xr:uid="{00000000-0005-0000-0000-000031210000}"/>
    <cellStyle name="Note 2 4 9 2" xfId="13348" xr:uid="{F6D9B93B-D62D-4B5C-8585-2775F953B16C}"/>
    <cellStyle name="Note 2 5" xfId="552" xr:uid="{00000000-0005-0000-0000-000032210000}"/>
    <cellStyle name="Note 2 5 10" xfId="9131" xr:uid="{131ECEE2-235A-4CFA-BFE4-10397976F849}"/>
    <cellStyle name="Note 2 5 2" xfId="1013" xr:uid="{00000000-0005-0000-0000-000033210000}"/>
    <cellStyle name="Note 2 5 2 2" xfId="3245" xr:uid="{00000000-0005-0000-0000-000034210000}"/>
    <cellStyle name="Note 2 5 2 2 2" xfId="7468" xr:uid="{00000000-0005-0000-0000-000035210000}"/>
    <cellStyle name="Note 2 5 2 2 2 2" xfId="15907" xr:uid="{BB301C39-05F4-426D-9BF4-FAF3AC10486F}"/>
    <cellStyle name="Note 2 5 2 2 3" xfId="11689" xr:uid="{F45EFBB0-5EA0-4733-8C02-AF1865EAB156}"/>
    <cellStyle name="Note 2 5 2 3" xfId="5323" xr:uid="{00000000-0005-0000-0000-000036210000}"/>
    <cellStyle name="Note 2 5 2 3 2" xfId="13762" xr:uid="{EB6E5F27-C9E4-43A6-83E5-566C71BDC1D2}"/>
    <cellStyle name="Note 2 5 2 4" xfId="9544" xr:uid="{FBF44402-16F1-4427-830C-7AF397D76091}"/>
    <cellStyle name="Note 2 5 3" xfId="1428" xr:uid="{00000000-0005-0000-0000-000037210000}"/>
    <cellStyle name="Note 2 5 3 2" xfId="3658" xr:uid="{00000000-0005-0000-0000-000038210000}"/>
    <cellStyle name="Note 2 5 3 2 2" xfId="7881" xr:uid="{00000000-0005-0000-0000-000039210000}"/>
    <cellStyle name="Note 2 5 3 2 2 2" xfId="16320" xr:uid="{1B3E15EA-BFC5-4CD9-AC79-66724DD2FCD6}"/>
    <cellStyle name="Note 2 5 3 2 3" xfId="12102" xr:uid="{515FA85E-678B-4416-A57F-C8E5222489D9}"/>
    <cellStyle name="Note 2 5 3 3" xfId="5736" xr:uid="{00000000-0005-0000-0000-00003A210000}"/>
    <cellStyle name="Note 2 5 3 3 2" xfId="14175" xr:uid="{34567E86-DCFD-4F51-AD3A-BBDFEE73DF45}"/>
    <cellStyle name="Note 2 5 3 4" xfId="9957" xr:uid="{DFA449DC-D237-442E-A587-54D893A08D24}"/>
    <cellStyle name="Note 2 5 4" xfId="1842" xr:uid="{00000000-0005-0000-0000-00003B210000}"/>
    <cellStyle name="Note 2 5 4 2" xfId="4071" xr:uid="{00000000-0005-0000-0000-00003C210000}"/>
    <cellStyle name="Note 2 5 4 2 2" xfId="8294" xr:uid="{00000000-0005-0000-0000-00003D210000}"/>
    <cellStyle name="Note 2 5 4 2 2 2" xfId="16733" xr:uid="{70BC5D83-2399-4255-9E07-A6E35E6780D1}"/>
    <cellStyle name="Note 2 5 4 2 3" xfId="12515" xr:uid="{87EA4C0A-0EFC-4AC9-986C-1EFAC81CA24F}"/>
    <cellStyle name="Note 2 5 4 3" xfId="6149" xr:uid="{00000000-0005-0000-0000-00003E210000}"/>
    <cellStyle name="Note 2 5 4 3 2" xfId="14588" xr:uid="{849264D7-3687-43A4-8570-615FC9381DF3}"/>
    <cellStyle name="Note 2 5 4 4" xfId="10370" xr:uid="{C7D35B8A-6E8B-4435-B074-C434D725150A}"/>
    <cellStyle name="Note 2 5 5" xfId="2255" xr:uid="{00000000-0005-0000-0000-00003F210000}"/>
    <cellStyle name="Note 2 5 5 2" xfId="4484" xr:uid="{00000000-0005-0000-0000-000040210000}"/>
    <cellStyle name="Note 2 5 5 2 2" xfId="8707" xr:uid="{00000000-0005-0000-0000-000041210000}"/>
    <cellStyle name="Note 2 5 5 2 2 2" xfId="17146" xr:uid="{C0B4D4AA-61AB-4F5E-81CB-57E316D01D68}"/>
    <cellStyle name="Note 2 5 5 2 3" xfId="12928" xr:uid="{02E7F5AF-1017-4709-B02E-51D29F5988CB}"/>
    <cellStyle name="Note 2 5 5 3" xfId="6562" xr:uid="{00000000-0005-0000-0000-000042210000}"/>
    <cellStyle name="Note 2 5 5 3 2" xfId="15001" xr:uid="{4861D618-9436-43E9-A60F-1EF0B4ACF574}"/>
    <cellStyle name="Note 2 5 5 4" xfId="10783" xr:uid="{4DA9DE52-C790-437A-A7EF-0D79599A06A5}"/>
    <cellStyle name="Note 2 5 6" xfId="2691" xr:uid="{00000000-0005-0000-0000-000043210000}"/>
    <cellStyle name="Note 2 5 6 2" xfId="6975" xr:uid="{00000000-0005-0000-0000-000044210000}"/>
    <cellStyle name="Note 2 5 6 2 2" xfId="15414" xr:uid="{091B66ED-4AEF-42D5-B0AD-DCC780D9BF6B}"/>
    <cellStyle name="Note 2 5 6 3" xfId="11196" xr:uid="{BA77FAC7-AA21-4498-B77F-B06F15695DB0}"/>
    <cellStyle name="Note 2 5 7" xfId="2750" xr:uid="{00000000-0005-0000-0000-000045210000}"/>
    <cellStyle name="Note 2 5 8" xfId="2831" xr:uid="{00000000-0005-0000-0000-000046210000}"/>
    <cellStyle name="Note 2 5 8 2" xfId="7055" xr:uid="{00000000-0005-0000-0000-000047210000}"/>
    <cellStyle name="Note 2 5 8 2 2" xfId="15494" xr:uid="{CB9E07E7-E93D-42A2-A8E1-DDE4D4F4DF0A}"/>
    <cellStyle name="Note 2 5 8 3" xfId="11276" xr:uid="{E05D003C-33D6-48B9-9206-0BAD9F070C76}"/>
    <cellStyle name="Note 2 5 9" xfId="4910" xr:uid="{00000000-0005-0000-0000-000048210000}"/>
    <cellStyle name="Note 2 5 9 2" xfId="13349" xr:uid="{43B7A96D-96BB-4F78-8D0D-3065FB186DB2}"/>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F5DAC05E-A9A9-49D3-B1CD-669ED214486D}"/>
    <cellStyle name="Note 3 2 10 3" xfId="11277" xr:uid="{8F377866-8C02-42AC-A950-1C86D6A91E88}"/>
    <cellStyle name="Note 3 2 11" xfId="4911" xr:uid="{00000000-0005-0000-0000-00004D210000}"/>
    <cellStyle name="Note 3 2 11 2" xfId="13350" xr:uid="{6D58CF31-2F02-4356-8B64-A2AE820B1FC3}"/>
    <cellStyle name="Note 3 2 12" xfId="9132" xr:uid="{ADB5CC39-B7E5-4074-90D6-6BC8DF31EAEB}"/>
    <cellStyle name="Note 3 2 2" xfId="555" xr:uid="{00000000-0005-0000-0000-00004E210000}"/>
    <cellStyle name="Note 3 2 2 10" xfId="4912" xr:uid="{00000000-0005-0000-0000-00004F210000}"/>
    <cellStyle name="Note 3 2 2 10 2" xfId="13351" xr:uid="{0762AB44-9188-4E04-998D-9201CD0E099E}"/>
    <cellStyle name="Note 3 2 2 11" xfId="9133" xr:uid="{D7074BC4-4E0A-47E4-8483-DC98B0F2ECAA}"/>
    <cellStyle name="Note 3 2 2 2" xfId="556" xr:uid="{00000000-0005-0000-0000-000050210000}"/>
    <cellStyle name="Note 3 2 2 2 10" xfId="9134" xr:uid="{0F46B1BE-C08F-42BB-93FD-C4573B9995F8}"/>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63E11CC0-F9D3-4369-8EAB-16A55C0DFD4A}"/>
    <cellStyle name="Note 3 2 2 2 2 2 3" xfId="11692" xr:uid="{879C3F26-AA92-4564-B46D-97002662E129}"/>
    <cellStyle name="Note 3 2 2 2 2 3" xfId="5326" xr:uid="{00000000-0005-0000-0000-000054210000}"/>
    <cellStyle name="Note 3 2 2 2 2 3 2" xfId="13765" xr:uid="{D7B8B654-EDF4-4D38-9FF0-FD229A29A2E5}"/>
    <cellStyle name="Note 3 2 2 2 2 4" xfId="9547" xr:uid="{19A82457-9B62-4250-85D9-FD91504DFC37}"/>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7B088A31-5708-40CB-A93A-8990CAFD3DB2}"/>
    <cellStyle name="Note 3 2 2 2 3 2 3" xfId="12105" xr:uid="{C1BCEC23-7499-4FCB-BAF7-3B38A5848049}"/>
    <cellStyle name="Note 3 2 2 2 3 3" xfId="5739" xr:uid="{00000000-0005-0000-0000-000058210000}"/>
    <cellStyle name="Note 3 2 2 2 3 3 2" xfId="14178" xr:uid="{BA939E00-9E6B-4642-8F6B-A3AAB2EFBF25}"/>
    <cellStyle name="Note 3 2 2 2 3 4" xfId="9960" xr:uid="{AF63F47F-2F59-4657-8E9C-FB2D1F5B3F6B}"/>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5283ED73-4833-42D5-B005-911FE0D1D267}"/>
    <cellStyle name="Note 3 2 2 2 4 2 3" xfId="12518" xr:uid="{CCC51E8A-1F80-4E92-BBBD-6487F90DFBBC}"/>
    <cellStyle name="Note 3 2 2 2 4 3" xfId="6152" xr:uid="{00000000-0005-0000-0000-00005C210000}"/>
    <cellStyle name="Note 3 2 2 2 4 3 2" xfId="14591" xr:uid="{00C1C5BC-2B2E-4C00-B3A8-0A95EDABDBE8}"/>
    <cellStyle name="Note 3 2 2 2 4 4" xfId="10373" xr:uid="{80D2A575-970F-4CE9-BEBA-70657083E749}"/>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4440A604-2BA3-4285-80EC-2903B9084E0D}"/>
    <cellStyle name="Note 3 2 2 2 5 2 3" xfId="12931" xr:uid="{6F7007EF-2D25-4325-BFC1-5A2E1E035CD1}"/>
    <cellStyle name="Note 3 2 2 2 5 3" xfId="6565" xr:uid="{00000000-0005-0000-0000-000060210000}"/>
    <cellStyle name="Note 3 2 2 2 5 3 2" xfId="15004" xr:uid="{A254C42B-5CFF-48F8-8C49-21C5D26B481B}"/>
    <cellStyle name="Note 3 2 2 2 5 4" xfId="10786" xr:uid="{F4035765-2012-4799-BC91-5B435E47022F}"/>
    <cellStyle name="Note 3 2 2 2 6" xfId="2694" xr:uid="{00000000-0005-0000-0000-000061210000}"/>
    <cellStyle name="Note 3 2 2 2 6 2" xfId="6978" xr:uid="{00000000-0005-0000-0000-000062210000}"/>
    <cellStyle name="Note 3 2 2 2 6 2 2" xfId="15417" xr:uid="{C10A2E22-7FDB-465E-809E-D6CFC7F8927F}"/>
    <cellStyle name="Note 3 2 2 2 6 3" xfId="11199" xr:uid="{DAE45966-D23C-4ECD-804C-FB303B98C677}"/>
    <cellStyle name="Note 3 2 2 2 7" xfId="2753" xr:uid="{00000000-0005-0000-0000-000063210000}"/>
    <cellStyle name="Note 3 2 2 2 8" xfId="2834" xr:uid="{00000000-0005-0000-0000-000064210000}"/>
    <cellStyle name="Note 3 2 2 2 8 2" xfId="7058" xr:uid="{00000000-0005-0000-0000-000065210000}"/>
    <cellStyle name="Note 3 2 2 2 8 2 2" xfId="15497" xr:uid="{5717F3F7-3BE3-4FF0-BFA6-3EF2D46DF447}"/>
    <cellStyle name="Note 3 2 2 2 8 3" xfId="11279" xr:uid="{250D6611-B134-41A7-BECA-54B8E11DBDC6}"/>
    <cellStyle name="Note 3 2 2 2 9" xfId="4913" xr:uid="{00000000-0005-0000-0000-000066210000}"/>
    <cellStyle name="Note 3 2 2 2 9 2" xfId="13352" xr:uid="{57C2E371-240D-4A86-BFF6-0F0833F40AAE}"/>
    <cellStyle name="Note 3 2 2 3" xfId="1015" xr:uid="{00000000-0005-0000-0000-000067210000}"/>
    <cellStyle name="Note 3 2 2 3 2" xfId="3247" xr:uid="{00000000-0005-0000-0000-000068210000}"/>
    <cellStyle name="Note 3 2 2 3 2 2" xfId="7470" xr:uid="{00000000-0005-0000-0000-000069210000}"/>
    <cellStyle name="Note 3 2 2 3 2 2 2" xfId="15909" xr:uid="{6E58FB94-C620-41C4-814B-639BE62486BD}"/>
    <cellStyle name="Note 3 2 2 3 2 3" xfId="11691" xr:uid="{A3238D38-8EB4-49AC-8A98-6CA5435DF472}"/>
    <cellStyle name="Note 3 2 2 3 3" xfId="5325" xr:uid="{00000000-0005-0000-0000-00006A210000}"/>
    <cellStyle name="Note 3 2 2 3 3 2" xfId="13764" xr:uid="{A0858825-22F0-498A-90BC-3A65E2B682B4}"/>
    <cellStyle name="Note 3 2 2 3 4" xfId="9546" xr:uid="{E06F1F89-159A-45F0-9B69-185364442998}"/>
    <cellStyle name="Note 3 2 2 4" xfId="1430" xr:uid="{00000000-0005-0000-0000-00006B210000}"/>
    <cellStyle name="Note 3 2 2 4 2" xfId="3660" xr:uid="{00000000-0005-0000-0000-00006C210000}"/>
    <cellStyle name="Note 3 2 2 4 2 2" xfId="7883" xr:uid="{00000000-0005-0000-0000-00006D210000}"/>
    <cellStyle name="Note 3 2 2 4 2 2 2" xfId="16322" xr:uid="{035EE5F0-6FDB-4CA2-A485-919B1BE1909E}"/>
    <cellStyle name="Note 3 2 2 4 2 3" xfId="12104" xr:uid="{BFBEE64E-5B35-43B8-934A-5085029ADC95}"/>
    <cellStyle name="Note 3 2 2 4 3" xfId="5738" xr:uid="{00000000-0005-0000-0000-00006E210000}"/>
    <cellStyle name="Note 3 2 2 4 3 2" xfId="14177" xr:uid="{B8B0B6C6-24C4-4B23-971A-EBB7BC85EBD7}"/>
    <cellStyle name="Note 3 2 2 4 4" xfId="9959" xr:uid="{584895A5-9033-4EE7-9DD2-A3B6DB4F01B1}"/>
    <cellStyle name="Note 3 2 2 5" xfId="1844" xr:uid="{00000000-0005-0000-0000-00006F210000}"/>
    <cellStyle name="Note 3 2 2 5 2" xfId="4073" xr:uid="{00000000-0005-0000-0000-000070210000}"/>
    <cellStyle name="Note 3 2 2 5 2 2" xfId="8296" xr:uid="{00000000-0005-0000-0000-000071210000}"/>
    <cellStyle name="Note 3 2 2 5 2 2 2" xfId="16735" xr:uid="{D56FA0DD-126B-4472-B10C-30280D5CF2F0}"/>
    <cellStyle name="Note 3 2 2 5 2 3" xfId="12517" xr:uid="{E1057E52-2793-4FDA-BB40-B68E8F3F5E33}"/>
    <cellStyle name="Note 3 2 2 5 3" xfId="6151" xr:uid="{00000000-0005-0000-0000-000072210000}"/>
    <cellStyle name="Note 3 2 2 5 3 2" xfId="14590" xr:uid="{24598E9D-2389-4228-92F5-509A2F1E6263}"/>
    <cellStyle name="Note 3 2 2 5 4" xfId="10372" xr:uid="{CF93ACCE-2134-4FCF-95A4-2B3F740F801C}"/>
    <cellStyle name="Note 3 2 2 6" xfId="2257" xr:uid="{00000000-0005-0000-0000-000073210000}"/>
    <cellStyle name="Note 3 2 2 6 2" xfId="4486" xr:uid="{00000000-0005-0000-0000-000074210000}"/>
    <cellStyle name="Note 3 2 2 6 2 2" xfId="8709" xr:uid="{00000000-0005-0000-0000-000075210000}"/>
    <cellStyle name="Note 3 2 2 6 2 2 2" xfId="17148" xr:uid="{A6B27004-4094-4C04-AEDC-EEBDBDEBC291}"/>
    <cellStyle name="Note 3 2 2 6 2 3" xfId="12930" xr:uid="{4DFF199B-1210-4334-BBC6-8DEF43D2E451}"/>
    <cellStyle name="Note 3 2 2 6 3" xfId="6564" xr:uid="{00000000-0005-0000-0000-000076210000}"/>
    <cellStyle name="Note 3 2 2 6 3 2" xfId="15003" xr:uid="{AD9BA59D-1CD3-4ED5-9FC5-8032B0AC4A70}"/>
    <cellStyle name="Note 3 2 2 6 4" xfId="10785" xr:uid="{BD16512E-0181-434E-8FF0-332CEA13B85E}"/>
    <cellStyle name="Note 3 2 2 7" xfId="2693" xr:uid="{00000000-0005-0000-0000-000077210000}"/>
    <cellStyle name="Note 3 2 2 7 2" xfId="6977" xr:uid="{00000000-0005-0000-0000-000078210000}"/>
    <cellStyle name="Note 3 2 2 7 2 2" xfId="15416" xr:uid="{12BFC2BD-26F8-41E4-9AA2-816FA2299655}"/>
    <cellStyle name="Note 3 2 2 7 3" xfId="11198" xr:uid="{D90DDC94-0243-4908-A5A6-E4D1462B1B36}"/>
    <cellStyle name="Note 3 2 2 8" xfId="2752" xr:uid="{00000000-0005-0000-0000-000079210000}"/>
    <cellStyle name="Note 3 2 2 9" xfId="2833" xr:uid="{00000000-0005-0000-0000-00007A210000}"/>
    <cellStyle name="Note 3 2 2 9 2" xfId="7057" xr:uid="{00000000-0005-0000-0000-00007B210000}"/>
    <cellStyle name="Note 3 2 2 9 2 2" xfId="15496" xr:uid="{B9CA31AB-CB16-4FC5-951D-9B37B2972F3F}"/>
    <cellStyle name="Note 3 2 2 9 3" xfId="11278" xr:uid="{34FD86B9-5656-48DC-86E0-E1B5965289BE}"/>
    <cellStyle name="Note 3 2 3" xfId="557" xr:uid="{00000000-0005-0000-0000-00007C210000}"/>
    <cellStyle name="Note 3 2 3 10" xfId="9135" xr:uid="{5C4B840C-7586-4F53-89F8-FA4FD7996971}"/>
    <cellStyle name="Note 3 2 3 2" xfId="1017" xr:uid="{00000000-0005-0000-0000-00007D210000}"/>
    <cellStyle name="Note 3 2 3 2 2" xfId="3249" xr:uid="{00000000-0005-0000-0000-00007E210000}"/>
    <cellStyle name="Note 3 2 3 2 2 2" xfId="7472" xr:uid="{00000000-0005-0000-0000-00007F210000}"/>
    <cellStyle name="Note 3 2 3 2 2 2 2" xfId="15911" xr:uid="{173E31D2-96E2-41DD-A278-22E4594BA57A}"/>
    <cellStyle name="Note 3 2 3 2 2 3" xfId="11693" xr:uid="{A4783F3A-5814-454C-B446-696D6C584385}"/>
    <cellStyle name="Note 3 2 3 2 3" xfId="5327" xr:uid="{00000000-0005-0000-0000-000080210000}"/>
    <cellStyle name="Note 3 2 3 2 3 2" xfId="13766" xr:uid="{162590D4-F011-4E16-84E0-12975367ABEA}"/>
    <cellStyle name="Note 3 2 3 2 4" xfId="9548" xr:uid="{A0C942A9-BC23-4BA3-A33F-DF38DD584677}"/>
    <cellStyle name="Note 3 2 3 3" xfId="1432" xr:uid="{00000000-0005-0000-0000-000081210000}"/>
    <cellStyle name="Note 3 2 3 3 2" xfId="3662" xr:uid="{00000000-0005-0000-0000-000082210000}"/>
    <cellStyle name="Note 3 2 3 3 2 2" xfId="7885" xr:uid="{00000000-0005-0000-0000-000083210000}"/>
    <cellStyle name="Note 3 2 3 3 2 2 2" xfId="16324" xr:uid="{E80CCFEC-32A1-4D17-9DB4-F6B8B6A2A7A7}"/>
    <cellStyle name="Note 3 2 3 3 2 3" xfId="12106" xr:uid="{00C99C83-68CC-46D4-B9B1-19F8D6A9FCED}"/>
    <cellStyle name="Note 3 2 3 3 3" xfId="5740" xr:uid="{00000000-0005-0000-0000-000084210000}"/>
    <cellStyle name="Note 3 2 3 3 3 2" xfId="14179" xr:uid="{474CBECD-48D5-400E-9915-4C86DBD0A083}"/>
    <cellStyle name="Note 3 2 3 3 4" xfId="9961" xr:uid="{CE860BF1-98F3-4BEC-8C9A-A4DB4BA76F87}"/>
    <cellStyle name="Note 3 2 3 4" xfId="1846" xr:uid="{00000000-0005-0000-0000-000085210000}"/>
    <cellStyle name="Note 3 2 3 4 2" xfId="4075" xr:uid="{00000000-0005-0000-0000-000086210000}"/>
    <cellStyle name="Note 3 2 3 4 2 2" xfId="8298" xr:uid="{00000000-0005-0000-0000-000087210000}"/>
    <cellStyle name="Note 3 2 3 4 2 2 2" xfId="16737" xr:uid="{961A0F96-950D-46FC-BEB2-CC8A956529D3}"/>
    <cellStyle name="Note 3 2 3 4 2 3" xfId="12519" xr:uid="{424D9C39-807E-4EA6-88A4-249FB2BE32E1}"/>
    <cellStyle name="Note 3 2 3 4 3" xfId="6153" xr:uid="{00000000-0005-0000-0000-000088210000}"/>
    <cellStyle name="Note 3 2 3 4 3 2" xfId="14592" xr:uid="{2A83A1BC-053C-433B-8725-8ACEFAD854C2}"/>
    <cellStyle name="Note 3 2 3 4 4" xfId="10374" xr:uid="{A16C08CA-1E70-451B-A090-D3D9D4F31252}"/>
    <cellStyle name="Note 3 2 3 5" xfId="2259" xr:uid="{00000000-0005-0000-0000-000089210000}"/>
    <cellStyle name="Note 3 2 3 5 2" xfId="4488" xr:uid="{00000000-0005-0000-0000-00008A210000}"/>
    <cellStyle name="Note 3 2 3 5 2 2" xfId="8711" xr:uid="{00000000-0005-0000-0000-00008B210000}"/>
    <cellStyle name="Note 3 2 3 5 2 2 2" xfId="17150" xr:uid="{3105AE0D-1B3B-4D52-91DF-21767F18D278}"/>
    <cellStyle name="Note 3 2 3 5 2 3" xfId="12932" xr:uid="{D7DD94E7-9BAC-4EA8-B403-4E41E5767523}"/>
    <cellStyle name="Note 3 2 3 5 3" xfId="6566" xr:uid="{00000000-0005-0000-0000-00008C210000}"/>
    <cellStyle name="Note 3 2 3 5 3 2" xfId="15005" xr:uid="{81BE7F1F-993C-4303-84F0-3B996BD7FE00}"/>
    <cellStyle name="Note 3 2 3 5 4" xfId="10787" xr:uid="{F892622D-5C0B-4BC8-92EC-18EAEB8BDC6B}"/>
    <cellStyle name="Note 3 2 3 6" xfId="2695" xr:uid="{00000000-0005-0000-0000-00008D210000}"/>
    <cellStyle name="Note 3 2 3 6 2" xfId="6979" xr:uid="{00000000-0005-0000-0000-00008E210000}"/>
    <cellStyle name="Note 3 2 3 6 2 2" xfId="15418" xr:uid="{8BBCD731-043D-4EEB-B212-6D2C4DE04126}"/>
    <cellStyle name="Note 3 2 3 6 3" xfId="11200" xr:uid="{1D222E11-8227-4520-A4DE-B999A8735EEC}"/>
    <cellStyle name="Note 3 2 3 7" xfId="2754" xr:uid="{00000000-0005-0000-0000-00008F210000}"/>
    <cellStyle name="Note 3 2 3 8" xfId="2835" xr:uid="{00000000-0005-0000-0000-000090210000}"/>
    <cellStyle name="Note 3 2 3 8 2" xfId="7059" xr:uid="{00000000-0005-0000-0000-000091210000}"/>
    <cellStyle name="Note 3 2 3 8 2 2" xfId="15498" xr:uid="{3A33BE0D-6CEC-4B24-9C64-454A46F1F444}"/>
    <cellStyle name="Note 3 2 3 8 3" xfId="11280" xr:uid="{2A1DFE75-3725-4FEC-BB87-6F955A410421}"/>
    <cellStyle name="Note 3 2 3 9" xfId="4914" xr:uid="{00000000-0005-0000-0000-000092210000}"/>
    <cellStyle name="Note 3 2 3 9 2" xfId="13353" xr:uid="{A66B869C-713A-45A5-B50F-15299EE0F2AA}"/>
    <cellStyle name="Note 3 2 4" xfId="1014" xr:uid="{00000000-0005-0000-0000-000093210000}"/>
    <cellStyle name="Note 3 2 4 2" xfId="3246" xr:uid="{00000000-0005-0000-0000-000094210000}"/>
    <cellStyle name="Note 3 2 4 2 2" xfId="7469" xr:uid="{00000000-0005-0000-0000-000095210000}"/>
    <cellStyle name="Note 3 2 4 2 2 2" xfId="15908" xr:uid="{40981089-629E-4405-A1C8-F186ECD28B7E}"/>
    <cellStyle name="Note 3 2 4 2 3" xfId="11690" xr:uid="{E1B36210-D272-42AA-B48C-64B7695E9970}"/>
    <cellStyle name="Note 3 2 4 3" xfId="5324" xr:uid="{00000000-0005-0000-0000-000096210000}"/>
    <cellStyle name="Note 3 2 4 3 2" xfId="13763" xr:uid="{A2FFFCF3-4F87-4375-91E2-6B58D1447176}"/>
    <cellStyle name="Note 3 2 4 4" xfId="9545" xr:uid="{26A3DAC5-D707-4A16-8622-D3E1B26A0724}"/>
    <cellStyle name="Note 3 2 5" xfId="1429" xr:uid="{00000000-0005-0000-0000-000097210000}"/>
    <cellStyle name="Note 3 2 5 2" xfId="3659" xr:uid="{00000000-0005-0000-0000-000098210000}"/>
    <cellStyle name="Note 3 2 5 2 2" xfId="7882" xr:uid="{00000000-0005-0000-0000-000099210000}"/>
    <cellStyle name="Note 3 2 5 2 2 2" xfId="16321" xr:uid="{347828A3-25D6-4242-8B3C-F8047A46E89C}"/>
    <cellStyle name="Note 3 2 5 2 3" xfId="12103" xr:uid="{04E4D75D-B085-4C58-8859-300E9ED3566C}"/>
    <cellStyle name="Note 3 2 5 3" xfId="5737" xr:uid="{00000000-0005-0000-0000-00009A210000}"/>
    <cellStyle name="Note 3 2 5 3 2" xfId="14176" xr:uid="{5ECA8C7D-E9D8-419B-9C13-1BCB97ABE0F2}"/>
    <cellStyle name="Note 3 2 5 4" xfId="9958" xr:uid="{171687D5-1BB0-4929-B076-FC402416B1C7}"/>
    <cellStyle name="Note 3 2 6" xfId="1843" xr:uid="{00000000-0005-0000-0000-00009B210000}"/>
    <cellStyle name="Note 3 2 6 2" xfId="4072" xr:uid="{00000000-0005-0000-0000-00009C210000}"/>
    <cellStyle name="Note 3 2 6 2 2" xfId="8295" xr:uid="{00000000-0005-0000-0000-00009D210000}"/>
    <cellStyle name="Note 3 2 6 2 2 2" xfId="16734" xr:uid="{FC67E370-EE00-48EA-9925-1771B8907572}"/>
    <cellStyle name="Note 3 2 6 2 3" xfId="12516" xr:uid="{C4519BB3-E76C-4685-89B6-46EDAD31EDFD}"/>
    <cellStyle name="Note 3 2 6 3" xfId="6150" xr:uid="{00000000-0005-0000-0000-00009E210000}"/>
    <cellStyle name="Note 3 2 6 3 2" xfId="14589" xr:uid="{9DCBE1C7-1842-4ED3-A3D9-75829E7D05A1}"/>
    <cellStyle name="Note 3 2 6 4" xfId="10371" xr:uid="{90BFFF6C-C9F4-4285-AF92-2B3C4D2F307A}"/>
    <cellStyle name="Note 3 2 7" xfId="2256" xr:uid="{00000000-0005-0000-0000-00009F210000}"/>
    <cellStyle name="Note 3 2 7 2" xfId="4485" xr:uid="{00000000-0005-0000-0000-0000A0210000}"/>
    <cellStyle name="Note 3 2 7 2 2" xfId="8708" xr:uid="{00000000-0005-0000-0000-0000A1210000}"/>
    <cellStyle name="Note 3 2 7 2 2 2" xfId="17147" xr:uid="{642DB4F8-6B9F-490A-ACA4-0133F31B9D6F}"/>
    <cellStyle name="Note 3 2 7 2 3" xfId="12929" xr:uid="{E8B0C5D4-26FF-41D8-A95A-E5700108EC93}"/>
    <cellStyle name="Note 3 2 7 3" xfId="6563" xr:uid="{00000000-0005-0000-0000-0000A2210000}"/>
    <cellStyle name="Note 3 2 7 3 2" xfId="15002" xr:uid="{AE932E88-889A-4635-9770-7894FC70D917}"/>
    <cellStyle name="Note 3 2 7 4" xfId="10784" xr:uid="{1BE77AB7-EC2E-42EF-A136-4F00593F3994}"/>
    <cellStyle name="Note 3 2 8" xfId="2692" xr:uid="{00000000-0005-0000-0000-0000A3210000}"/>
    <cellStyle name="Note 3 2 8 2" xfId="6976" xr:uid="{00000000-0005-0000-0000-0000A4210000}"/>
    <cellStyle name="Note 3 2 8 2 2" xfId="15415" xr:uid="{FA540AD3-6F74-4E33-8215-8EF57EA12776}"/>
    <cellStyle name="Note 3 2 8 3" xfId="11197" xr:uid="{86B1433F-23A1-422B-A2BC-00BA791B784A}"/>
    <cellStyle name="Note 3 2 9" xfId="2751" xr:uid="{00000000-0005-0000-0000-0000A5210000}"/>
    <cellStyle name="Note 3 3" xfId="558" xr:uid="{00000000-0005-0000-0000-0000A6210000}"/>
    <cellStyle name="Note 3 3 10" xfId="4915" xr:uid="{00000000-0005-0000-0000-0000A7210000}"/>
    <cellStyle name="Note 3 3 10 2" xfId="13354" xr:uid="{33F4B5DD-9C1A-4309-9811-ACAB80C778E6}"/>
    <cellStyle name="Note 3 3 11" xfId="9136" xr:uid="{285FDC6D-46DF-4617-8E9C-E819FCAA34D9}"/>
    <cellStyle name="Note 3 3 2" xfId="559" xr:uid="{00000000-0005-0000-0000-0000A8210000}"/>
    <cellStyle name="Note 3 3 2 10" xfId="9137" xr:uid="{D093C842-A1EB-49B3-AAF5-E83857CE399E}"/>
    <cellStyle name="Note 3 3 2 2" xfId="1019" xr:uid="{00000000-0005-0000-0000-0000A9210000}"/>
    <cellStyle name="Note 3 3 2 2 2" xfId="3251" xr:uid="{00000000-0005-0000-0000-0000AA210000}"/>
    <cellStyle name="Note 3 3 2 2 2 2" xfId="7474" xr:uid="{00000000-0005-0000-0000-0000AB210000}"/>
    <cellStyle name="Note 3 3 2 2 2 2 2" xfId="15913" xr:uid="{6746AA89-9DC8-405E-91AF-860709247809}"/>
    <cellStyle name="Note 3 3 2 2 2 3" xfId="11695" xr:uid="{CBD0C74A-4C96-483D-BA2F-5EB30548EF3E}"/>
    <cellStyle name="Note 3 3 2 2 3" xfId="5329" xr:uid="{00000000-0005-0000-0000-0000AC210000}"/>
    <cellStyle name="Note 3 3 2 2 3 2" xfId="13768" xr:uid="{8846CEBC-92E6-4B08-9268-CCC008297588}"/>
    <cellStyle name="Note 3 3 2 2 4" xfId="9550" xr:uid="{998EA909-716C-46C5-9D29-633E90BEC8BA}"/>
    <cellStyle name="Note 3 3 2 3" xfId="1434" xr:uid="{00000000-0005-0000-0000-0000AD210000}"/>
    <cellStyle name="Note 3 3 2 3 2" xfId="3664" xr:uid="{00000000-0005-0000-0000-0000AE210000}"/>
    <cellStyle name="Note 3 3 2 3 2 2" xfId="7887" xr:uid="{00000000-0005-0000-0000-0000AF210000}"/>
    <cellStyle name="Note 3 3 2 3 2 2 2" xfId="16326" xr:uid="{F3713D1A-F252-4835-B680-DB7B51A5154A}"/>
    <cellStyle name="Note 3 3 2 3 2 3" xfId="12108" xr:uid="{71C9C6E7-48A2-47CE-BBED-0C9E8BF9D5F1}"/>
    <cellStyle name="Note 3 3 2 3 3" xfId="5742" xr:uid="{00000000-0005-0000-0000-0000B0210000}"/>
    <cellStyle name="Note 3 3 2 3 3 2" xfId="14181" xr:uid="{528CBAB5-1DF4-4B75-B2B3-FCCE4BBCB450}"/>
    <cellStyle name="Note 3 3 2 3 4" xfId="9963" xr:uid="{76D06F27-52FB-4B40-85A1-828C0BE0282E}"/>
    <cellStyle name="Note 3 3 2 4" xfId="1848" xr:uid="{00000000-0005-0000-0000-0000B1210000}"/>
    <cellStyle name="Note 3 3 2 4 2" xfId="4077" xr:uid="{00000000-0005-0000-0000-0000B2210000}"/>
    <cellStyle name="Note 3 3 2 4 2 2" xfId="8300" xr:uid="{00000000-0005-0000-0000-0000B3210000}"/>
    <cellStyle name="Note 3 3 2 4 2 2 2" xfId="16739" xr:uid="{AFCEA50D-0866-4058-A161-05FC912B2612}"/>
    <cellStyle name="Note 3 3 2 4 2 3" xfId="12521" xr:uid="{AA9DD7E6-4278-42BB-A8A0-BFBA471A927A}"/>
    <cellStyle name="Note 3 3 2 4 3" xfId="6155" xr:uid="{00000000-0005-0000-0000-0000B4210000}"/>
    <cellStyle name="Note 3 3 2 4 3 2" xfId="14594" xr:uid="{353C742B-067D-4664-BAA0-9F54C6FE456C}"/>
    <cellStyle name="Note 3 3 2 4 4" xfId="10376" xr:uid="{709A27F0-D42D-44FF-A9D5-F5CFE4517F59}"/>
    <cellStyle name="Note 3 3 2 5" xfId="2261" xr:uid="{00000000-0005-0000-0000-0000B5210000}"/>
    <cellStyle name="Note 3 3 2 5 2" xfId="4490" xr:uid="{00000000-0005-0000-0000-0000B6210000}"/>
    <cellStyle name="Note 3 3 2 5 2 2" xfId="8713" xr:uid="{00000000-0005-0000-0000-0000B7210000}"/>
    <cellStyle name="Note 3 3 2 5 2 2 2" xfId="17152" xr:uid="{A0EE96FC-3966-481C-A309-E196E5421120}"/>
    <cellStyle name="Note 3 3 2 5 2 3" xfId="12934" xr:uid="{ABAB8B2F-FA23-4F68-9936-B1C05080CE15}"/>
    <cellStyle name="Note 3 3 2 5 3" xfId="6568" xr:uid="{00000000-0005-0000-0000-0000B8210000}"/>
    <cellStyle name="Note 3 3 2 5 3 2" xfId="15007" xr:uid="{32A5FFB2-A5DD-4098-90C6-E16D9B10B7E3}"/>
    <cellStyle name="Note 3 3 2 5 4" xfId="10789" xr:uid="{2682BFB2-6F36-4566-A996-DDEF0860D3DB}"/>
    <cellStyle name="Note 3 3 2 6" xfId="2697" xr:uid="{00000000-0005-0000-0000-0000B9210000}"/>
    <cellStyle name="Note 3 3 2 6 2" xfId="6981" xr:uid="{00000000-0005-0000-0000-0000BA210000}"/>
    <cellStyle name="Note 3 3 2 6 2 2" xfId="15420" xr:uid="{7185D787-A58C-4045-B71C-52B0BF721D77}"/>
    <cellStyle name="Note 3 3 2 6 3" xfId="11202" xr:uid="{EC5616F3-A7E6-40FE-876F-C33D6D94BD96}"/>
    <cellStyle name="Note 3 3 2 7" xfId="2756" xr:uid="{00000000-0005-0000-0000-0000BB210000}"/>
    <cellStyle name="Note 3 3 2 8" xfId="2837" xr:uid="{00000000-0005-0000-0000-0000BC210000}"/>
    <cellStyle name="Note 3 3 2 8 2" xfId="7061" xr:uid="{00000000-0005-0000-0000-0000BD210000}"/>
    <cellStyle name="Note 3 3 2 8 2 2" xfId="15500" xr:uid="{AE2EC2E9-F761-46AD-B0F6-2890B1A7A112}"/>
    <cellStyle name="Note 3 3 2 8 3" xfId="11282" xr:uid="{E05352B9-C48F-4806-83B5-1542EC425785}"/>
    <cellStyle name="Note 3 3 2 9" xfId="4916" xr:uid="{00000000-0005-0000-0000-0000BE210000}"/>
    <cellStyle name="Note 3 3 2 9 2" xfId="13355" xr:uid="{7876B58D-3E44-4926-BD05-AEE9CFE75CC4}"/>
    <cellStyle name="Note 3 3 3" xfId="1018" xr:uid="{00000000-0005-0000-0000-0000BF210000}"/>
    <cellStyle name="Note 3 3 3 2" xfId="3250" xr:uid="{00000000-0005-0000-0000-0000C0210000}"/>
    <cellStyle name="Note 3 3 3 2 2" xfId="7473" xr:uid="{00000000-0005-0000-0000-0000C1210000}"/>
    <cellStyle name="Note 3 3 3 2 2 2" xfId="15912" xr:uid="{B979B827-CD72-4305-A5F1-6B255138BB9B}"/>
    <cellStyle name="Note 3 3 3 2 3" xfId="11694" xr:uid="{9F33F879-8D84-4910-B528-24D88E9C7AD4}"/>
    <cellStyle name="Note 3 3 3 3" xfId="5328" xr:uid="{00000000-0005-0000-0000-0000C2210000}"/>
    <cellStyle name="Note 3 3 3 3 2" xfId="13767" xr:uid="{6B8B71FC-8848-46E3-843B-15AFD15AB30E}"/>
    <cellStyle name="Note 3 3 3 4" xfId="9549" xr:uid="{53A22CD9-28BE-46B5-944E-50C76B7CB14C}"/>
    <cellStyle name="Note 3 3 4" xfId="1433" xr:uid="{00000000-0005-0000-0000-0000C3210000}"/>
    <cellStyle name="Note 3 3 4 2" xfId="3663" xr:uid="{00000000-0005-0000-0000-0000C4210000}"/>
    <cellStyle name="Note 3 3 4 2 2" xfId="7886" xr:uid="{00000000-0005-0000-0000-0000C5210000}"/>
    <cellStyle name="Note 3 3 4 2 2 2" xfId="16325" xr:uid="{BFC4CCB1-52EC-4ABF-A67B-CB9A46773051}"/>
    <cellStyle name="Note 3 3 4 2 3" xfId="12107" xr:uid="{56B466A8-275F-441D-A4AD-C4DC1C3E6FED}"/>
    <cellStyle name="Note 3 3 4 3" xfId="5741" xr:uid="{00000000-0005-0000-0000-0000C6210000}"/>
    <cellStyle name="Note 3 3 4 3 2" xfId="14180" xr:uid="{BA90F69A-64CA-4E19-99E3-3C52E006F631}"/>
    <cellStyle name="Note 3 3 4 4" xfId="9962" xr:uid="{6ECF2849-2F8D-45D6-B3DC-8136873061B9}"/>
    <cellStyle name="Note 3 3 5" xfId="1847" xr:uid="{00000000-0005-0000-0000-0000C7210000}"/>
    <cellStyle name="Note 3 3 5 2" xfId="4076" xr:uid="{00000000-0005-0000-0000-0000C8210000}"/>
    <cellStyle name="Note 3 3 5 2 2" xfId="8299" xr:uid="{00000000-0005-0000-0000-0000C9210000}"/>
    <cellStyle name="Note 3 3 5 2 2 2" xfId="16738" xr:uid="{FFF44BE7-1BC8-442D-B9D3-E3FC240E246D}"/>
    <cellStyle name="Note 3 3 5 2 3" xfId="12520" xr:uid="{E71FA4C5-A916-4707-AE2B-F7D375CB8239}"/>
    <cellStyle name="Note 3 3 5 3" xfId="6154" xr:uid="{00000000-0005-0000-0000-0000CA210000}"/>
    <cellStyle name="Note 3 3 5 3 2" xfId="14593" xr:uid="{296CFDCA-8C1C-4E51-8C08-5D6093A96992}"/>
    <cellStyle name="Note 3 3 5 4" xfId="10375" xr:uid="{0A723100-29A3-46CC-8195-7F02185AEA20}"/>
    <cellStyle name="Note 3 3 6" xfId="2260" xr:uid="{00000000-0005-0000-0000-0000CB210000}"/>
    <cellStyle name="Note 3 3 6 2" xfId="4489" xr:uid="{00000000-0005-0000-0000-0000CC210000}"/>
    <cellStyle name="Note 3 3 6 2 2" xfId="8712" xr:uid="{00000000-0005-0000-0000-0000CD210000}"/>
    <cellStyle name="Note 3 3 6 2 2 2" xfId="17151" xr:uid="{EBEEE127-04E1-4515-9460-8E1AEE271A42}"/>
    <cellStyle name="Note 3 3 6 2 3" xfId="12933" xr:uid="{F72B1EB7-9ED6-4535-90E4-E33359069FDC}"/>
    <cellStyle name="Note 3 3 6 3" xfId="6567" xr:uid="{00000000-0005-0000-0000-0000CE210000}"/>
    <cellStyle name="Note 3 3 6 3 2" xfId="15006" xr:uid="{603F3D2F-385A-4648-95F1-EC3548092488}"/>
    <cellStyle name="Note 3 3 6 4" xfId="10788" xr:uid="{02BF296E-4D5F-440B-8822-D753B0C0287A}"/>
    <cellStyle name="Note 3 3 7" xfId="2696" xr:uid="{00000000-0005-0000-0000-0000CF210000}"/>
    <cellStyle name="Note 3 3 7 2" xfId="6980" xr:uid="{00000000-0005-0000-0000-0000D0210000}"/>
    <cellStyle name="Note 3 3 7 2 2" xfId="15419" xr:uid="{EBD6176D-74F1-422F-A48F-012CBE496A37}"/>
    <cellStyle name="Note 3 3 7 3" xfId="11201" xr:uid="{BCD9F805-689F-4F71-86D5-BF346012B6CE}"/>
    <cellStyle name="Note 3 3 8" xfId="2755" xr:uid="{00000000-0005-0000-0000-0000D1210000}"/>
    <cellStyle name="Note 3 3 9" xfId="2836" xr:uid="{00000000-0005-0000-0000-0000D2210000}"/>
    <cellStyle name="Note 3 3 9 2" xfId="7060" xr:uid="{00000000-0005-0000-0000-0000D3210000}"/>
    <cellStyle name="Note 3 3 9 2 2" xfId="15499" xr:uid="{1E22AF15-7B6E-46C7-AE72-A6F78B8875D9}"/>
    <cellStyle name="Note 3 3 9 3" xfId="11281" xr:uid="{40343402-9D51-4440-B3B4-7D56F09118C7}"/>
    <cellStyle name="Note 3 4" xfId="560" xr:uid="{00000000-0005-0000-0000-0000D4210000}"/>
    <cellStyle name="Note 3 4 10" xfId="9138" xr:uid="{4144A613-DB68-4308-8641-6A88D28511CD}"/>
    <cellStyle name="Note 3 4 2" xfId="1020" xr:uid="{00000000-0005-0000-0000-0000D5210000}"/>
    <cellStyle name="Note 3 4 2 2" xfId="3252" xr:uid="{00000000-0005-0000-0000-0000D6210000}"/>
    <cellStyle name="Note 3 4 2 2 2" xfId="7475" xr:uid="{00000000-0005-0000-0000-0000D7210000}"/>
    <cellStyle name="Note 3 4 2 2 2 2" xfId="15914" xr:uid="{B8352DE5-F324-4365-AE45-A349CB12B9E1}"/>
    <cellStyle name="Note 3 4 2 2 3" xfId="11696" xr:uid="{E2DE321A-156B-45B4-9C95-99D03F78BCC6}"/>
    <cellStyle name="Note 3 4 2 3" xfId="5330" xr:uid="{00000000-0005-0000-0000-0000D8210000}"/>
    <cellStyle name="Note 3 4 2 3 2" xfId="13769" xr:uid="{043D7D35-AD06-4191-B8FB-84906EF6D8A1}"/>
    <cellStyle name="Note 3 4 2 4" xfId="9551" xr:uid="{1F3B237B-3102-4442-BC8E-BCCFE9480623}"/>
    <cellStyle name="Note 3 4 3" xfId="1435" xr:uid="{00000000-0005-0000-0000-0000D9210000}"/>
    <cellStyle name="Note 3 4 3 2" xfId="3665" xr:uid="{00000000-0005-0000-0000-0000DA210000}"/>
    <cellStyle name="Note 3 4 3 2 2" xfId="7888" xr:uid="{00000000-0005-0000-0000-0000DB210000}"/>
    <cellStyle name="Note 3 4 3 2 2 2" xfId="16327" xr:uid="{2F389175-F6AF-4F84-BEE8-E160356B1CBA}"/>
    <cellStyle name="Note 3 4 3 2 3" xfId="12109" xr:uid="{643BCC94-7B4E-4EBE-8C3A-A80B5364D1C9}"/>
    <cellStyle name="Note 3 4 3 3" xfId="5743" xr:uid="{00000000-0005-0000-0000-0000DC210000}"/>
    <cellStyle name="Note 3 4 3 3 2" xfId="14182" xr:uid="{694F5F03-F0BE-4D23-812D-F882CDD24E75}"/>
    <cellStyle name="Note 3 4 3 4" xfId="9964" xr:uid="{5E76870C-CC73-46A2-A5FB-C9F038B4DDA1}"/>
    <cellStyle name="Note 3 4 4" xfId="1849" xr:uid="{00000000-0005-0000-0000-0000DD210000}"/>
    <cellStyle name="Note 3 4 4 2" xfId="4078" xr:uid="{00000000-0005-0000-0000-0000DE210000}"/>
    <cellStyle name="Note 3 4 4 2 2" xfId="8301" xr:uid="{00000000-0005-0000-0000-0000DF210000}"/>
    <cellStyle name="Note 3 4 4 2 2 2" xfId="16740" xr:uid="{2C092719-C33B-4F32-BC5A-64800ED616B1}"/>
    <cellStyle name="Note 3 4 4 2 3" xfId="12522" xr:uid="{37F4F1BB-6D0F-48D3-A01A-A44D6385A789}"/>
    <cellStyle name="Note 3 4 4 3" xfId="6156" xr:uid="{00000000-0005-0000-0000-0000E0210000}"/>
    <cellStyle name="Note 3 4 4 3 2" xfId="14595" xr:uid="{AB6C0977-0D5D-4428-8A1F-43E8AF5EFD54}"/>
    <cellStyle name="Note 3 4 4 4" xfId="10377" xr:uid="{F664A657-26B2-4A6D-9208-BEEE50482918}"/>
    <cellStyle name="Note 3 4 5" xfId="2262" xr:uid="{00000000-0005-0000-0000-0000E1210000}"/>
    <cellStyle name="Note 3 4 5 2" xfId="4491" xr:uid="{00000000-0005-0000-0000-0000E2210000}"/>
    <cellStyle name="Note 3 4 5 2 2" xfId="8714" xr:uid="{00000000-0005-0000-0000-0000E3210000}"/>
    <cellStyle name="Note 3 4 5 2 2 2" xfId="17153" xr:uid="{DACED76F-13E0-4263-90D5-849AF84253C7}"/>
    <cellStyle name="Note 3 4 5 2 3" xfId="12935" xr:uid="{D8E41541-4CE4-4C3C-BD41-D393DB80BD36}"/>
    <cellStyle name="Note 3 4 5 3" xfId="6569" xr:uid="{00000000-0005-0000-0000-0000E4210000}"/>
    <cellStyle name="Note 3 4 5 3 2" xfId="15008" xr:uid="{F8BDD2EA-07E0-441C-9EF2-989C93DD52F2}"/>
    <cellStyle name="Note 3 4 5 4" xfId="10790" xr:uid="{C450E2A9-AD4C-41E2-A3E6-89E4D6128364}"/>
    <cellStyle name="Note 3 4 6" xfId="2698" xr:uid="{00000000-0005-0000-0000-0000E5210000}"/>
    <cellStyle name="Note 3 4 6 2" xfId="6982" xr:uid="{00000000-0005-0000-0000-0000E6210000}"/>
    <cellStyle name="Note 3 4 6 2 2" xfId="15421" xr:uid="{0BE894A1-CAE7-4FAE-98CF-C7ED4EDC593D}"/>
    <cellStyle name="Note 3 4 6 3" xfId="11203" xr:uid="{4A241176-BA22-4B88-AFBF-60373E172BE0}"/>
    <cellStyle name="Note 3 4 7" xfId="2757" xr:uid="{00000000-0005-0000-0000-0000E7210000}"/>
    <cellStyle name="Note 3 4 8" xfId="2838" xr:uid="{00000000-0005-0000-0000-0000E8210000}"/>
    <cellStyle name="Note 3 4 8 2" xfId="7062" xr:uid="{00000000-0005-0000-0000-0000E9210000}"/>
    <cellStyle name="Note 3 4 8 2 2" xfId="15501" xr:uid="{2DBB2D56-B098-4875-AEC9-247F5D40ECB2}"/>
    <cellStyle name="Note 3 4 8 3" xfId="11283" xr:uid="{721B542D-A5FB-404A-BF4C-E99ADB80319B}"/>
    <cellStyle name="Note 3 4 9" xfId="4917" xr:uid="{00000000-0005-0000-0000-0000EA210000}"/>
    <cellStyle name="Note 3 4 9 2" xfId="13356" xr:uid="{9F8CDF6B-FEF6-44FD-85A3-C2F6CBA666A0}"/>
    <cellStyle name="Note 3 5" xfId="561" xr:uid="{00000000-0005-0000-0000-0000EB210000}"/>
    <cellStyle name="Note 3 5 10" xfId="9139" xr:uid="{DA52A857-024B-4FB0-B2FC-4F1A91E02A73}"/>
    <cellStyle name="Note 3 5 2" xfId="1021" xr:uid="{00000000-0005-0000-0000-0000EC210000}"/>
    <cellStyle name="Note 3 5 2 2" xfId="3253" xr:uid="{00000000-0005-0000-0000-0000ED210000}"/>
    <cellStyle name="Note 3 5 2 2 2" xfId="7476" xr:uid="{00000000-0005-0000-0000-0000EE210000}"/>
    <cellStyle name="Note 3 5 2 2 2 2" xfId="15915" xr:uid="{ABDB1BF7-D13A-4520-880D-4433D61C10CA}"/>
    <cellStyle name="Note 3 5 2 2 3" xfId="11697" xr:uid="{363AF010-62C7-4628-87D6-E995605F35DC}"/>
    <cellStyle name="Note 3 5 2 3" xfId="5331" xr:uid="{00000000-0005-0000-0000-0000EF210000}"/>
    <cellStyle name="Note 3 5 2 3 2" xfId="13770" xr:uid="{83EA9573-2B39-41D7-B8EF-24CB13B24B7A}"/>
    <cellStyle name="Note 3 5 2 4" xfId="9552" xr:uid="{C0EA1745-0924-4055-91DA-DE600435F176}"/>
    <cellStyle name="Note 3 5 3" xfId="1436" xr:uid="{00000000-0005-0000-0000-0000F0210000}"/>
    <cellStyle name="Note 3 5 3 2" xfId="3666" xr:uid="{00000000-0005-0000-0000-0000F1210000}"/>
    <cellStyle name="Note 3 5 3 2 2" xfId="7889" xr:uid="{00000000-0005-0000-0000-0000F2210000}"/>
    <cellStyle name="Note 3 5 3 2 2 2" xfId="16328" xr:uid="{75B87A46-C464-4329-8B65-02F25613C049}"/>
    <cellStyle name="Note 3 5 3 2 3" xfId="12110" xr:uid="{166B52C5-2146-456E-939E-BF92960F4BFA}"/>
    <cellStyle name="Note 3 5 3 3" xfId="5744" xr:uid="{00000000-0005-0000-0000-0000F3210000}"/>
    <cellStyle name="Note 3 5 3 3 2" xfId="14183" xr:uid="{96676C8F-33DF-4BB2-B75D-588C655692B7}"/>
    <cellStyle name="Note 3 5 3 4" xfId="9965" xr:uid="{CE7BFDA9-7E18-4C77-96EB-BC6828D6EB9C}"/>
    <cellStyle name="Note 3 5 4" xfId="1850" xr:uid="{00000000-0005-0000-0000-0000F4210000}"/>
    <cellStyle name="Note 3 5 4 2" xfId="4079" xr:uid="{00000000-0005-0000-0000-0000F5210000}"/>
    <cellStyle name="Note 3 5 4 2 2" xfId="8302" xr:uid="{00000000-0005-0000-0000-0000F6210000}"/>
    <cellStyle name="Note 3 5 4 2 2 2" xfId="16741" xr:uid="{021513B1-7E39-4927-A006-3CD9F55C5F42}"/>
    <cellStyle name="Note 3 5 4 2 3" xfId="12523" xr:uid="{F17EF381-A52D-40CE-BD79-9BA2D8A77C4A}"/>
    <cellStyle name="Note 3 5 4 3" xfId="6157" xr:uid="{00000000-0005-0000-0000-0000F7210000}"/>
    <cellStyle name="Note 3 5 4 3 2" xfId="14596" xr:uid="{C646532B-711C-4B95-8A7A-B1F07CC92741}"/>
    <cellStyle name="Note 3 5 4 4" xfId="10378" xr:uid="{488D3B11-D9A4-4175-B06D-4A27E564AE3F}"/>
    <cellStyle name="Note 3 5 5" xfId="2263" xr:uid="{00000000-0005-0000-0000-0000F8210000}"/>
    <cellStyle name="Note 3 5 5 2" xfId="4492" xr:uid="{00000000-0005-0000-0000-0000F9210000}"/>
    <cellStyle name="Note 3 5 5 2 2" xfId="8715" xr:uid="{00000000-0005-0000-0000-0000FA210000}"/>
    <cellStyle name="Note 3 5 5 2 2 2" xfId="17154" xr:uid="{2993689F-065F-48DD-A83A-3C58947036F2}"/>
    <cellStyle name="Note 3 5 5 2 3" xfId="12936" xr:uid="{73C217A3-899C-463B-AE7B-F65CA6F89464}"/>
    <cellStyle name="Note 3 5 5 3" xfId="6570" xr:uid="{00000000-0005-0000-0000-0000FB210000}"/>
    <cellStyle name="Note 3 5 5 3 2" xfId="15009" xr:uid="{C4F986D1-77B1-4FBE-A88A-DCEE644430E7}"/>
    <cellStyle name="Note 3 5 5 4" xfId="10791" xr:uid="{891D830F-6991-4633-8ACA-95B683B5DAA5}"/>
    <cellStyle name="Note 3 5 6" xfId="2699" xr:uid="{00000000-0005-0000-0000-0000FC210000}"/>
    <cellStyle name="Note 3 5 6 2" xfId="6983" xr:uid="{00000000-0005-0000-0000-0000FD210000}"/>
    <cellStyle name="Note 3 5 6 2 2" xfId="15422" xr:uid="{B7F46EB1-5AE8-4482-8BAC-5E027237D74E}"/>
    <cellStyle name="Note 3 5 6 3" xfId="11204" xr:uid="{DD873D82-8792-4C54-B390-47A098D6E408}"/>
    <cellStyle name="Note 3 5 7" xfId="2758" xr:uid="{00000000-0005-0000-0000-0000FE210000}"/>
    <cellStyle name="Note 3 5 8" xfId="2839" xr:uid="{00000000-0005-0000-0000-0000FF210000}"/>
    <cellStyle name="Note 3 5 8 2" xfId="7063" xr:uid="{00000000-0005-0000-0000-000000220000}"/>
    <cellStyle name="Note 3 5 8 2 2" xfId="15502" xr:uid="{5AA5A0E4-474D-4C6B-9913-503DCEAC5958}"/>
    <cellStyle name="Note 3 5 8 3" xfId="11284" xr:uid="{8A80C2EE-76D7-493D-B4C4-D3952325E2D9}"/>
    <cellStyle name="Note 3 5 9" xfId="4918" xr:uid="{00000000-0005-0000-0000-000001220000}"/>
    <cellStyle name="Note 3 5 9 2" xfId="13357" xr:uid="{6B41F408-38D6-4CAA-952D-5308BBB025AA}"/>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90F49F1F-2FC0-4D53-A1C8-5D8BC9B842B2}"/>
    <cellStyle name="Percent 4" xfId="4502" xr:uid="{00000000-0005-0000-0000-000007220000}"/>
    <cellStyle name="Percent 4 2" xfId="8718" xr:uid="{00000000-0005-0000-0000-000008220000}"/>
    <cellStyle name="Percent 4 2 2" xfId="17157" xr:uid="{F163468F-3BC7-4C33-AD12-0E9DC3CDE56B}"/>
    <cellStyle name="Percent 4 3" xfId="8721" xr:uid="{D09CD3FC-D632-4B66-A68A-5CC92F993799}"/>
    <cellStyle name="Percent 4 3 2" xfId="8725" xr:uid="{D57AE941-8E59-43F0-AB73-09B3BCCFA234}"/>
    <cellStyle name="Percent 4 3 2 2" xfId="17163" xr:uid="{9FA55A17-8ACA-42A7-B786-7AA5C5DC699A}"/>
    <cellStyle name="Percent 4 3 3" xfId="17160" xr:uid="{ADF4656F-37D6-4472-B2F1-81DF983EAB30}"/>
    <cellStyle name="Percent 4 4" xfId="12943" xr:uid="{763F0910-1564-4872-98C9-FC0C8EAB9E77}"/>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3">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12700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dbobrowsky@usapropfund.com" TargetMode="External"/><Relationship Id="rId13" Type="http://schemas.openxmlformats.org/officeDocument/2006/relationships/printerSettings" Target="../printerSettings/printerSettings8.bin"/><Relationship Id="rId3" Type="http://schemas.openxmlformats.org/officeDocument/2006/relationships/hyperlink" Target="http://www.treasurer.ca.gov/ctcac/2019/lra/contact.pdf" TargetMode="External"/><Relationship Id="rId7" Type="http://schemas.openxmlformats.org/officeDocument/2006/relationships/hyperlink" Target="mailto:dbobrowsky@usapropfund.com" TargetMode="External"/><Relationship Id="rId12" Type="http://schemas.openxmlformats.org/officeDocument/2006/relationships/hyperlink" Target="https://www.govtrack.us/congress/members/map" TargetMode="External"/><Relationship Id="rId2" Type="http://schemas.openxmlformats.org/officeDocument/2006/relationships/hyperlink" Target="http://findyourrep.legislature.ca.gov/" TargetMode="External"/><Relationship Id="rId16" Type="http://schemas.openxmlformats.org/officeDocument/2006/relationships/comments" Target="../comments2.xml"/><Relationship Id="rId1" Type="http://schemas.openxmlformats.org/officeDocument/2006/relationships/printerSettings" Target="../printerSettings/printerSettings7.bin"/><Relationship Id="rId6" Type="http://schemas.openxmlformats.org/officeDocument/2006/relationships/hyperlink" Target="mailto:cminfo@cityoforange.org" TargetMode="External"/><Relationship Id="rId11" Type="http://schemas.openxmlformats.org/officeDocument/2006/relationships/hyperlink" Target="mailto:jstoecker@cmfa-ca.com" TargetMode="External"/><Relationship Id="rId5" Type="http://schemas.openxmlformats.org/officeDocument/2006/relationships/hyperlink" Target="mailto:recinda@riversidecharitable.org" TargetMode="External"/><Relationship Id="rId15" Type="http://schemas.openxmlformats.org/officeDocument/2006/relationships/vmlDrawing" Target="../drawings/vmlDrawing3.vml"/><Relationship Id="rId10" Type="http://schemas.openxmlformats.org/officeDocument/2006/relationships/hyperlink" Target="mailto:dbobrowsky@usapropfund.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dbobrowsky@usapropfund.com" TargetMode="External"/><Relationship Id="rId1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2433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15" customHeight="1">
      <c r="A14" s="218"/>
      <c r="B14" s="218"/>
      <c r="C14" s="219"/>
      <c r="E14" s="1263" t="s">
        <v>2623</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3" t="s">
        <v>2435</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customHeight="1">
      <c r="A28" s="218"/>
      <c r="B28" s="218"/>
      <c r="C28" s="219"/>
      <c r="E28" s="1263" t="s">
        <v>2622</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3" t="s">
        <v>2436</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2618</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2614</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2443</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2444</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663</v>
      </c>
      <c r="F42" s="1263" t="s">
        <v>1308</v>
      </c>
    </row>
    <row r="43" spans="1:38" s="1263"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2438</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2" t="s">
        <v>1316</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1319</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2440</v>
      </c>
      <c r="F140" s="2"/>
      <c r="G140" s="2"/>
      <c r="H140" s="2"/>
    </row>
    <row r="141" spans="4:37">
      <c r="E141" t="s">
        <v>113</v>
      </c>
      <c r="F141" t="s">
        <v>52</v>
      </c>
    </row>
    <row r="142" spans="4:37">
      <c r="E142" t="s">
        <v>114</v>
      </c>
      <c r="F142" t="s">
        <v>476</v>
      </c>
    </row>
    <row r="143" spans="4:37"/>
    <row r="144" spans="4:37">
      <c r="D144" s="2" t="s">
        <v>431</v>
      </c>
      <c r="E144" s="2" t="s">
        <v>2441</v>
      </c>
    </row>
    <row r="145" spans="3:7">
      <c r="E145" s="218" t="s">
        <v>2442</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6" t="s">
        <v>1374</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1417</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77" t="s">
        <v>2517</v>
      </c>
      <c r="B1" s="2478"/>
      <c r="C1" s="2478"/>
      <c r="D1" s="2478"/>
      <c r="E1" s="2478"/>
      <c r="F1" s="2478"/>
      <c r="G1" s="2478"/>
      <c r="H1" s="2478"/>
      <c r="I1" s="2478"/>
      <c r="J1" s="2478"/>
      <c r="K1" s="2478"/>
      <c r="L1" s="2478"/>
      <c r="M1" s="2478"/>
      <c r="N1" s="2478"/>
      <c r="O1" s="2478"/>
      <c r="P1" s="2478"/>
      <c r="Q1" s="2478"/>
      <c r="R1" s="2478"/>
      <c r="S1" s="2478"/>
      <c r="T1" s="2478"/>
      <c r="U1" s="2478"/>
      <c r="V1" s="2478"/>
      <c r="W1" s="2478"/>
      <c r="X1" s="2478"/>
      <c r="Y1" s="2478"/>
      <c r="Z1" s="2478"/>
      <c r="AA1" s="2478"/>
      <c r="AB1" s="2478"/>
      <c r="AC1" s="2478"/>
      <c r="AD1" s="2478"/>
      <c r="AE1" s="2478"/>
      <c r="AF1" s="2478"/>
      <c r="AG1" s="2478"/>
      <c r="AH1" s="2478"/>
      <c r="AI1" s="2478"/>
      <c r="AJ1" s="2478"/>
      <c r="AK1" s="2478"/>
      <c r="AL1" s="2478"/>
      <c r="AM1" s="2478"/>
      <c r="AN1" s="2478"/>
      <c r="AO1" s="2478"/>
      <c r="AP1" s="2478"/>
      <c r="AQ1" s="2478"/>
      <c r="AR1" s="2478"/>
      <c r="AS1" s="2478"/>
      <c r="AT1" s="2478"/>
      <c r="AU1" s="2478"/>
      <c r="AV1" s="2478"/>
      <c r="AW1" s="2478"/>
      <c r="AX1" s="2478"/>
      <c r="AY1" s="2478"/>
      <c r="AZ1" s="2478"/>
      <c r="BA1" s="2478"/>
      <c r="BB1" s="2478"/>
      <c r="BC1" s="2478"/>
      <c r="BD1" s="2478"/>
      <c r="BE1" s="2479"/>
    </row>
    <row r="2" spans="1:65" ht="15.75" customHeight="1">
      <c r="A2" s="2480" t="s">
        <v>2565</v>
      </c>
      <c r="B2" s="2481"/>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2481"/>
      <c r="BD2" s="2481"/>
      <c r="BE2" s="248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69" t="str">
        <f>IF(Application!H18="","",Application!H18)</f>
        <v>The Orion</v>
      </c>
      <c r="M4" s="2470"/>
      <c r="N4" s="2470"/>
      <c r="O4" s="2470"/>
      <c r="P4" s="2470"/>
      <c r="Q4" s="2470"/>
      <c r="R4" s="2470"/>
      <c r="S4" s="2470"/>
      <c r="T4" s="2470"/>
      <c r="U4" s="2470"/>
      <c r="V4" s="2470"/>
      <c r="W4" s="2470"/>
      <c r="X4" s="2470"/>
      <c r="Y4" s="2470"/>
      <c r="Z4" s="2470"/>
      <c r="AA4" s="2470"/>
      <c r="AB4" s="2470"/>
      <c r="AC4" s="2471"/>
      <c r="AD4" s="1207"/>
      <c r="AE4" s="1207"/>
      <c r="AF4" s="2483" t="s">
        <v>2566</v>
      </c>
      <c r="AG4" s="2483"/>
      <c r="AH4" s="2483"/>
      <c r="AI4" s="2483"/>
      <c r="AJ4" s="2483"/>
      <c r="AK4" s="2483"/>
      <c r="AL4" s="2483"/>
      <c r="AM4" s="2483"/>
      <c r="AN4" s="2483"/>
      <c r="AO4" s="2483"/>
      <c r="AP4" s="2484"/>
      <c r="AQ4" s="2485"/>
      <c r="AR4" s="2485"/>
      <c r="AS4" s="2485"/>
      <c r="AT4" s="2485"/>
      <c r="AU4" s="248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83" t="s">
        <v>2567</v>
      </c>
      <c r="AG5" s="2483"/>
      <c r="AH5" s="2483"/>
      <c r="AI5" s="2483"/>
      <c r="AJ5" s="2483"/>
      <c r="AK5" s="2483"/>
      <c r="AL5" s="2483"/>
      <c r="AM5" s="2483"/>
      <c r="AN5" s="2483"/>
      <c r="AO5" s="2483"/>
      <c r="AP5" s="2484"/>
      <c r="AQ5" s="2485"/>
      <c r="AR5" s="2485"/>
      <c r="AS5" s="2485"/>
      <c r="AT5" s="2485"/>
      <c r="AU5" s="2485"/>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69" t="str">
        <f>IF(Application!H16="","",Application!H16)</f>
        <v>Orange 702, L.P.</v>
      </c>
      <c r="M6" s="2470"/>
      <c r="N6" s="2470"/>
      <c r="O6" s="2470"/>
      <c r="P6" s="2470"/>
      <c r="Q6" s="2470"/>
      <c r="R6" s="2470"/>
      <c r="S6" s="2470"/>
      <c r="T6" s="2470"/>
      <c r="U6" s="2470"/>
      <c r="V6" s="2470"/>
      <c r="W6" s="2470"/>
      <c r="X6" s="2470"/>
      <c r="Y6" s="2470"/>
      <c r="Z6" s="2470"/>
      <c r="AA6" s="2470"/>
      <c r="AB6" s="2470"/>
      <c r="AC6" s="2471"/>
      <c r="AD6" s="1207"/>
      <c r="AE6" s="1207"/>
      <c r="AF6" s="2472" t="s">
        <v>2568</v>
      </c>
      <c r="AG6" s="2472"/>
      <c r="AH6" s="2472"/>
      <c r="AI6" s="2472"/>
      <c r="AJ6" s="2472"/>
      <c r="AK6" s="2472"/>
      <c r="AL6" s="2472"/>
      <c r="AM6" s="2472"/>
      <c r="AN6" s="2472"/>
      <c r="AO6" s="2472"/>
      <c r="AP6" s="2473">
        <v>0</v>
      </c>
      <c r="AQ6" s="2473"/>
      <c r="AR6" s="2473"/>
      <c r="AS6" s="2473"/>
      <c r="AT6" s="2473"/>
      <c r="AU6" s="247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72" t="s">
        <v>2569</v>
      </c>
      <c r="AG7" s="2472"/>
      <c r="AH7" s="2472"/>
      <c r="AI7" s="2472"/>
      <c r="AJ7" s="2472"/>
      <c r="AK7" s="2472"/>
      <c r="AL7" s="2472"/>
      <c r="AM7" s="2472"/>
      <c r="AN7" s="2472"/>
      <c r="AO7" s="2472"/>
      <c r="AP7" s="2473">
        <v>0</v>
      </c>
      <c r="AQ7" s="2473"/>
      <c r="AR7" s="2473"/>
      <c r="AS7" s="2473"/>
      <c r="AT7" s="2473"/>
      <c r="AU7" s="2473"/>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74" t="str">
        <f>Application!T196</f>
        <v>No</v>
      </c>
      <c r="AC8" s="2475"/>
      <c r="AD8" s="2476"/>
      <c r="AE8" s="1207"/>
      <c r="AF8" s="2472" t="s">
        <v>2570</v>
      </c>
      <c r="AG8" s="2472"/>
      <c r="AH8" s="2472"/>
      <c r="AI8" s="2472"/>
      <c r="AJ8" s="2472"/>
      <c r="AK8" s="2472"/>
      <c r="AL8" s="2472"/>
      <c r="AM8" s="2472"/>
      <c r="AN8" s="2472"/>
      <c r="AO8" s="2472"/>
      <c r="AP8" s="2473" t="s">
        <v>2522</v>
      </c>
      <c r="AQ8" s="2473"/>
      <c r="AR8" s="2473"/>
      <c r="AS8" s="2473"/>
      <c r="AT8" s="2473"/>
      <c r="AU8" s="2473"/>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2571</v>
      </c>
    </row>
    <row r="10" spans="1:65" ht="15">
      <c r="A10" s="1206"/>
      <c r="B10" s="1209" t="s">
        <v>1860</v>
      </c>
      <c r="C10" s="1209"/>
      <c r="D10" s="1209"/>
      <c r="E10" s="1209"/>
      <c r="F10" s="1209"/>
      <c r="G10" s="1209"/>
      <c r="H10" s="1209"/>
      <c r="I10" s="1209"/>
      <c r="J10" s="1209"/>
      <c r="K10" s="1209"/>
      <c r="L10" s="1209"/>
      <c r="M10" s="1207"/>
      <c r="N10" s="2465">
        <f>Application!AO623</f>
        <v>21610000</v>
      </c>
      <c r="O10" s="2465"/>
      <c r="P10" s="2465"/>
      <c r="Q10" s="2465"/>
      <c r="R10" s="2465"/>
      <c r="S10" s="2465"/>
      <c r="T10" s="2465"/>
      <c r="U10" s="1207"/>
      <c r="V10" s="1207"/>
      <c r="W10" s="1207"/>
      <c r="X10" s="2451" t="s">
        <v>2572</v>
      </c>
      <c r="Y10" s="2451"/>
      <c r="Z10" s="2451"/>
      <c r="AA10" s="2451"/>
      <c r="AB10" s="2451"/>
      <c r="AC10" s="2451"/>
      <c r="AD10" s="2451"/>
      <c r="AE10" s="2451"/>
      <c r="AF10" s="2451"/>
      <c r="AG10" s="2451"/>
      <c r="AH10" s="2451"/>
      <c r="AI10" s="2451"/>
      <c r="AJ10" s="2451"/>
      <c r="AK10" s="2451"/>
      <c r="AL10" s="2466">
        <f>Application!W471</f>
        <v>42</v>
      </c>
      <c r="AM10" s="2467"/>
      <c r="AN10" s="2467"/>
      <c r="AO10" s="2467"/>
      <c r="AP10" s="2467"/>
      <c r="AQ10" s="1210"/>
      <c r="AR10" s="1210"/>
      <c r="AS10" s="1210"/>
      <c r="AT10" s="1210"/>
      <c r="AU10" s="1210"/>
      <c r="AV10" s="1210"/>
      <c r="AW10" s="1210"/>
      <c r="AX10" s="1207"/>
      <c r="AY10" s="1207"/>
      <c r="AZ10" s="1207"/>
      <c r="BA10" s="1207"/>
      <c r="BB10" s="1207"/>
      <c r="BC10" s="1207"/>
      <c r="BD10" s="1207"/>
      <c r="BE10" s="1208"/>
      <c r="BM10" s="1204" t="s">
        <v>2573</v>
      </c>
    </row>
    <row r="11" spans="1:65" ht="15">
      <c r="A11" s="1206"/>
      <c r="B11" s="1209" t="s">
        <v>1861</v>
      </c>
      <c r="C11" s="1209"/>
      <c r="D11" s="1209"/>
      <c r="E11" s="1209"/>
      <c r="F11" s="1209"/>
      <c r="G11" s="1209"/>
      <c r="H11" s="1209"/>
      <c r="I11" s="1209"/>
      <c r="J11" s="1209"/>
      <c r="K11" s="1209"/>
      <c r="L11" s="1209"/>
      <c r="M11" s="1207"/>
      <c r="N11" s="2465">
        <f>Application!AA911</f>
        <v>0</v>
      </c>
      <c r="O11" s="2465"/>
      <c r="P11" s="2465"/>
      <c r="Q11" s="2465"/>
      <c r="R11" s="2465"/>
      <c r="S11" s="2465"/>
      <c r="T11" s="2465"/>
      <c r="U11" s="1207"/>
      <c r="V11" s="1207"/>
      <c r="W11" s="1207"/>
      <c r="X11" s="2468" t="s">
        <v>2574</v>
      </c>
      <c r="Y11" s="2468"/>
      <c r="Z11" s="2468"/>
      <c r="AA11" s="2468"/>
      <c r="AB11" s="2468"/>
      <c r="AC11" s="2468"/>
      <c r="AD11" s="2468"/>
      <c r="AE11" s="2468"/>
      <c r="AF11" s="2468"/>
      <c r="AG11" s="2468"/>
      <c r="AH11" s="2468"/>
      <c r="AI11" s="2468"/>
      <c r="AJ11" s="2468"/>
      <c r="AK11" s="2468"/>
      <c r="AL11" s="2452"/>
      <c r="AM11" s="2453"/>
      <c r="AN11" s="2453"/>
      <c r="AO11" s="2453"/>
      <c r="AP11" s="2453"/>
      <c r="AQ11" s="1211"/>
      <c r="AR11" s="1212"/>
      <c r="AS11" s="1210"/>
      <c r="AT11" s="1210"/>
      <c r="AU11" s="1210"/>
      <c r="AV11" s="1210"/>
      <c r="AW11" s="1210"/>
      <c r="AX11" s="1207"/>
      <c r="AY11" s="1207"/>
      <c r="AZ11" s="1207"/>
      <c r="BA11" s="1207"/>
      <c r="BB11" s="1207"/>
      <c r="BC11" s="1207"/>
      <c r="BD11" s="1207"/>
      <c r="BE11" s="1208"/>
      <c r="BM11" s="1204" t="s">
        <v>2522</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51" t="s">
        <v>2575</v>
      </c>
      <c r="Y12" s="2451"/>
      <c r="Z12" s="2451"/>
      <c r="AA12" s="2451"/>
      <c r="AB12" s="2451"/>
      <c r="AC12" s="2451"/>
      <c r="AD12" s="2451"/>
      <c r="AE12" s="2451"/>
      <c r="AF12" s="2451"/>
      <c r="AG12" s="2451"/>
      <c r="AH12" s="2451"/>
      <c r="AI12" s="2451"/>
      <c r="AJ12" s="2451"/>
      <c r="AK12" s="2451"/>
      <c r="AL12" s="2452"/>
      <c r="AM12" s="2453"/>
      <c r="AN12" s="2453"/>
      <c r="AO12" s="2453"/>
      <c r="AP12" s="2453"/>
      <c r="AQ12" s="1210"/>
      <c r="AR12" s="1210"/>
      <c r="AS12" s="1210"/>
      <c r="AT12" s="1210"/>
      <c r="AU12" s="1210"/>
      <c r="AV12" s="1207"/>
      <c r="AW12" s="1207"/>
      <c r="AX12" s="1207"/>
      <c r="AY12" s="1207"/>
      <c r="AZ12" s="1207"/>
      <c r="BA12" s="1207"/>
      <c r="BB12" s="1207"/>
      <c r="BC12" s="1207"/>
      <c r="BD12" s="1207"/>
      <c r="BE12" s="1213"/>
      <c r="BM12" s="1204" t="s">
        <v>2576</v>
      </c>
    </row>
    <row r="13" spans="1:65" thickBot="1">
      <c r="A13" s="1207"/>
      <c r="B13" s="2454" t="s">
        <v>1862</v>
      </c>
      <c r="C13" s="2455"/>
      <c r="D13" s="2455"/>
      <c r="E13" s="2455"/>
      <c r="F13" s="2455"/>
      <c r="G13" s="2455"/>
      <c r="H13" s="2455"/>
      <c r="I13" s="2455"/>
      <c r="J13" s="2455"/>
      <c r="K13" s="2455"/>
      <c r="L13" s="2455"/>
      <c r="M13" s="2455"/>
      <c r="N13" s="2455"/>
      <c r="O13" s="2455"/>
      <c r="P13" s="2456"/>
      <c r="Q13" s="2457" t="s">
        <v>679</v>
      </c>
      <c r="R13" s="2458"/>
      <c r="S13" s="2458"/>
      <c r="T13" s="245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2577</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60" t="s">
        <v>1863</v>
      </c>
      <c r="C15" s="2461"/>
      <c r="D15" s="2461"/>
      <c r="E15" s="2461"/>
      <c r="F15" s="2461"/>
      <c r="G15" s="2461"/>
      <c r="H15" s="2461"/>
      <c r="I15" s="2461"/>
      <c r="J15" s="2461"/>
      <c r="K15" s="2461"/>
      <c r="L15" s="2461"/>
      <c r="M15" s="2461"/>
      <c r="N15" s="2461"/>
      <c r="O15" s="2461"/>
      <c r="P15" s="2461"/>
      <c r="Q15" s="2461"/>
      <c r="R15" s="2462"/>
      <c r="S15" s="2463" t="str">
        <f>IF(Application!AB214="","",Application!AB214)</f>
        <v/>
      </c>
      <c r="T15" s="2463"/>
      <c r="U15" s="2463"/>
      <c r="V15" s="2463"/>
      <c r="W15" s="246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15" t="s">
        <v>1864</v>
      </c>
      <c r="C17" s="2316"/>
      <c r="D17" s="2316"/>
      <c r="E17" s="2316"/>
      <c r="F17" s="2316"/>
      <c r="G17" s="2316"/>
      <c r="H17" s="2316"/>
      <c r="I17" s="2316"/>
      <c r="J17" s="2316"/>
      <c r="K17" s="2316"/>
      <c r="L17" s="2316"/>
      <c r="M17" s="2316"/>
      <c r="N17" s="2316"/>
      <c r="O17" s="2316"/>
      <c r="P17" s="2316"/>
      <c r="Q17" s="2316"/>
      <c r="R17" s="2316"/>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7"/>
      <c r="AZ17" s="1207"/>
      <c r="BA17" s="1207"/>
      <c r="BB17" s="1207"/>
      <c r="BC17" s="1207"/>
      <c r="BD17" s="1207"/>
      <c r="BE17" s="1213"/>
      <c r="BF17" s="1205"/>
    </row>
    <row r="18" spans="1:58" ht="15.75" customHeight="1">
      <c r="A18" s="1207"/>
      <c r="B18" s="2444" t="s">
        <v>1865</v>
      </c>
      <c r="C18" s="2445"/>
      <c r="D18" s="2445"/>
      <c r="E18" s="2445"/>
      <c r="F18" s="2445"/>
      <c r="G18" s="2445"/>
      <c r="H18" s="2445"/>
      <c r="I18" s="2446"/>
      <c r="J18" s="2447" t="s">
        <v>1764</v>
      </c>
      <c r="K18" s="2448"/>
      <c r="L18" s="2448"/>
      <c r="M18" s="2448"/>
      <c r="N18" s="2448"/>
      <c r="O18" s="2449"/>
      <c r="P18" s="2447" t="s">
        <v>326</v>
      </c>
      <c r="Q18" s="2448"/>
      <c r="R18" s="2448"/>
      <c r="S18" s="2448"/>
      <c r="T18" s="2448"/>
      <c r="U18" s="2449"/>
      <c r="V18" s="2447" t="s">
        <v>327</v>
      </c>
      <c r="W18" s="2448"/>
      <c r="X18" s="2448"/>
      <c r="Y18" s="2448"/>
      <c r="Z18" s="2448"/>
      <c r="AA18" s="2449"/>
      <c r="AB18" s="2447" t="s">
        <v>164</v>
      </c>
      <c r="AC18" s="2448"/>
      <c r="AD18" s="2448"/>
      <c r="AE18" s="2448"/>
      <c r="AF18" s="2448"/>
      <c r="AG18" s="2449"/>
      <c r="AH18" s="2447" t="s">
        <v>165</v>
      </c>
      <c r="AI18" s="2448"/>
      <c r="AJ18" s="2448"/>
      <c r="AK18" s="2448"/>
      <c r="AL18" s="2448"/>
      <c r="AM18" s="2449"/>
      <c r="AN18" s="2447" t="s">
        <v>166</v>
      </c>
      <c r="AO18" s="2448"/>
      <c r="AP18" s="2448"/>
      <c r="AQ18" s="2448"/>
      <c r="AR18" s="2448"/>
      <c r="AS18" s="2449"/>
      <c r="AT18" s="2447" t="s">
        <v>1866</v>
      </c>
      <c r="AU18" s="2448"/>
      <c r="AV18" s="2448"/>
      <c r="AW18" s="2448"/>
      <c r="AX18" s="2448"/>
      <c r="AY18" s="2450"/>
      <c r="AZ18" s="1207"/>
      <c r="BA18" s="1207"/>
      <c r="BB18" s="1207"/>
      <c r="BC18" s="1207"/>
      <c r="BD18" s="1207"/>
      <c r="BE18" s="1213"/>
    </row>
    <row r="19" spans="1:58" ht="15">
      <c r="A19" s="1207"/>
      <c r="B19" s="2441">
        <v>0.3</v>
      </c>
      <c r="C19" s="2442"/>
      <c r="D19" s="2442"/>
      <c r="E19" s="2442"/>
      <c r="F19" s="2442"/>
      <c r="G19" s="2442"/>
      <c r="H19" s="2442"/>
      <c r="I19" s="2443"/>
      <c r="J19" s="2426">
        <f>SUM(P19:AS19)</f>
        <v>17</v>
      </c>
      <c r="K19" s="2427"/>
      <c r="L19" s="2427"/>
      <c r="M19" s="2427"/>
      <c r="N19" s="2427"/>
      <c r="O19" s="2428"/>
      <c r="P19" s="2426" cm="1">
        <f t="array" ref="P19">SUMPRODUCT((Application!$B$714:$B$738 = 'CalHFA Addendum'!P$18)*(Application!$AC$714:$AC$738 = 'CalHFA Addendum'!$B19),Application!$G$714:$G$738)</f>
        <v>0</v>
      </c>
      <c r="Q19" s="2427"/>
      <c r="R19" s="2427"/>
      <c r="S19" s="2427"/>
      <c r="T19" s="2427"/>
      <c r="U19" s="2428"/>
      <c r="V19" s="2426" cm="1">
        <f t="array" ref="V19">SUMPRODUCT((Application!$B$714:$B$738 = 'CalHFA Addendum'!V$18)*(Application!$AC$714:$AC$738 = 'CalHFA Addendum'!$B19),Application!$G$714:$G$738)</f>
        <v>11</v>
      </c>
      <c r="W19" s="2427"/>
      <c r="X19" s="2427"/>
      <c r="Y19" s="2427"/>
      <c r="Z19" s="2427"/>
      <c r="AA19" s="2428"/>
      <c r="AB19" s="2426" cm="1">
        <f t="array" ref="AB19">SUMPRODUCT((Application!$B$714:$B$738 = 'CalHFA Addendum'!AB$18)*(Application!$AC$714:$AC$738 = 'CalHFA Addendum'!$B19),Application!$G$714:$G$738)</f>
        <v>6</v>
      </c>
      <c r="AC19" s="2427"/>
      <c r="AD19" s="2427"/>
      <c r="AE19" s="2427"/>
      <c r="AF19" s="2427"/>
      <c r="AG19" s="2428"/>
      <c r="AH19" s="2426" cm="1">
        <f t="array" ref="AH19">SUMPRODUCT((Application!$B$714:$B$738 = 'CalHFA Addendum'!AH$18)*(Application!$AC$714:$AC$738 = 'CalHFA Addendum'!$B19),Application!$G$714:$G$738)</f>
        <v>0</v>
      </c>
      <c r="AI19" s="2427"/>
      <c r="AJ19" s="2427"/>
      <c r="AK19" s="2427"/>
      <c r="AL19" s="2427"/>
      <c r="AM19" s="2428"/>
      <c r="AN19" s="2426" cm="1">
        <f t="array" ref="AN19">SUMPRODUCT((Application!$B$714:$B$738 = 'CalHFA Addendum'!AN$18)*(Application!$AC$714:$AC$738 = 'CalHFA Addendum'!$B19),Application!$G$714:$G$738)</f>
        <v>0</v>
      </c>
      <c r="AO19" s="2427"/>
      <c r="AP19" s="2427"/>
      <c r="AQ19" s="2427"/>
      <c r="AR19" s="2427"/>
      <c r="AS19" s="2428"/>
      <c r="AT19" s="2429">
        <f t="shared" ref="AT19:AT28" si="0">J19/$J$29</f>
        <v>0.10240963855421686</v>
      </c>
      <c r="AU19" s="2430"/>
      <c r="AV19" s="2430"/>
      <c r="AW19" s="2430"/>
      <c r="AX19" s="2430"/>
      <c r="AY19" s="2431"/>
      <c r="AZ19" s="1214"/>
      <c r="BA19" s="1207"/>
      <c r="BB19" s="1207"/>
      <c r="BC19" s="1207"/>
      <c r="BD19" s="1207"/>
      <c r="BE19" s="1213"/>
    </row>
    <row r="20" spans="1:58" ht="15" customHeight="1">
      <c r="A20" s="1207"/>
      <c r="B20" s="2441">
        <v>0.4</v>
      </c>
      <c r="C20" s="2442"/>
      <c r="D20" s="2442"/>
      <c r="E20" s="2442"/>
      <c r="F20" s="2442"/>
      <c r="G20" s="2442"/>
      <c r="H20" s="2442"/>
      <c r="I20" s="2443"/>
      <c r="J20" s="2426">
        <f t="shared" ref="J20:J28" si="1">SUM(P20:AS20)</f>
        <v>0</v>
      </c>
      <c r="K20" s="2427"/>
      <c r="L20" s="2427"/>
      <c r="M20" s="2427"/>
      <c r="N20" s="2427"/>
      <c r="O20" s="2428"/>
      <c r="P20" s="2426" cm="1">
        <f t="array" ref="P20">SUMPRODUCT((Application!$B$714:$B$738 = 'CalHFA Addendum'!P$18)*(Application!$AC$714:$AC$738 = 'CalHFA Addendum'!$B20),Application!$G$714:$G$738)</f>
        <v>0</v>
      </c>
      <c r="Q20" s="2427"/>
      <c r="R20" s="2427"/>
      <c r="S20" s="2427"/>
      <c r="T20" s="2427"/>
      <c r="U20" s="2428"/>
      <c r="V20" s="2426" cm="1">
        <f t="array" ref="V20">SUMPRODUCT((Application!$B$714:$B$738 = 'CalHFA Addendum'!V$18)*(Application!$AC$714:$AC$738 = 'CalHFA Addendum'!$B20),Application!$G$714:$G$738)</f>
        <v>0</v>
      </c>
      <c r="W20" s="2427"/>
      <c r="X20" s="2427"/>
      <c r="Y20" s="2427"/>
      <c r="Z20" s="2427"/>
      <c r="AA20" s="2428"/>
      <c r="AB20" s="2426" cm="1">
        <f t="array" ref="AB20">SUMPRODUCT((Application!$B$714:$B$738 = 'CalHFA Addendum'!AB$18)*(Application!$AC$714:$AC$738 = 'CalHFA Addendum'!$B20),Application!$G$714:$G$738)</f>
        <v>0</v>
      </c>
      <c r="AC20" s="2427"/>
      <c r="AD20" s="2427"/>
      <c r="AE20" s="2427"/>
      <c r="AF20" s="2427"/>
      <c r="AG20" s="2428"/>
      <c r="AH20" s="2426" cm="1">
        <f t="array" ref="AH20">SUMPRODUCT((Application!$B$714:$B$738 = 'CalHFA Addendum'!AH$18)*(Application!$AC$714:$AC$738 = 'CalHFA Addendum'!$B20),Application!$G$714:$G$738)</f>
        <v>0</v>
      </c>
      <c r="AI20" s="2427"/>
      <c r="AJ20" s="2427"/>
      <c r="AK20" s="2427"/>
      <c r="AL20" s="2427"/>
      <c r="AM20" s="2428"/>
      <c r="AN20" s="2426" cm="1">
        <f t="array" ref="AN20">SUMPRODUCT((Application!$B$714:$B$738 = 'CalHFA Addendum'!AN$18)*(Application!$AC$714:$AC$738 = 'CalHFA Addendum'!$B20),Application!$G$714:$G$738)</f>
        <v>0</v>
      </c>
      <c r="AO20" s="2427"/>
      <c r="AP20" s="2427"/>
      <c r="AQ20" s="2427"/>
      <c r="AR20" s="2427"/>
      <c r="AS20" s="2428"/>
      <c r="AT20" s="2429">
        <f t="shared" si="0"/>
        <v>0</v>
      </c>
      <c r="AU20" s="2430"/>
      <c r="AV20" s="2430"/>
      <c r="AW20" s="2430"/>
      <c r="AX20" s="2430"/>
      <c r="AY20" s="2431"/>
      <c r="AZ20" s="1207"/>
      <c r="BA20" s="1207"/>
      <c r="BB20" s="1207"/>
      <c r="BC20" s="1207"/>
      <c r="BD20" s="1207"/>
      <c r="BE20" s="1213"/>
    </row>
    <row r="21" spans="1:58" ht="15">
      <c r="A21" s="1207"/>
      <c r="B21" s="2441">
        <v>0.5</v>
      </c>
      <c r="C21" s="2442"/>
      <c r="D21" s="2442"/>
      <c r="E21" s="2442"/>
      <c r="F21" s="2442"/>
      <c r="G21" s="2442"/>
      <c r="H21" s="2442"/>
      <c r="I21" s="2443"/>
      <c r="J21" s="2426">
        <f t="shared" si="1"/>
        <v>32</v>
      </c>
      <c r="K21" s="2427"/>
      <c r="L21" s="2427"/>
      <c r="M21" s="2427"/>
      <c r="N21" s="2427"/>
      <c r="O21" s="2428"/>
      <c r="P21" s="2426" cm="1">
        <f t="array" ref="P21">SUMPRODUCT((Application!$B$714:$B$738 = 'CalHFA Addendum'!P$18)*(Application!$AC$714:$AC$738 = 'CalHFA Addendum'!$B21),Application!$G$714:$G$738)</f>
        <v>0</v>
      </c>
      <c r="Q21" s="2427"/>
      <c r="R21" s="2427"/>
      <c r="S21" s="2427"/>
      <c r="T21" s="2427"/>
      <c r="U21" s="2428"/>
      <c r="V21" s="2426" cm="1">
        <f t="array" ref="V21">SUMPRODUCT((Application!$B$714:$B$738 = 'CalHFA Addendum'!V$18)*(Application!$AC$714:$AC$738 = 'CalHFA Addendum'!$B21),Application!$G$714:$G$738)</f>
        <v>22</v>
      </c>
      <c r="W21" s="2427"/>
      <c r="X21" s="2427"/>
      <c r="Y21" s="2427"/>
      <c r="Z21" s="2427"/>
      <c r="AA21" s="2428"/>
      <c r="AB21" s="2426" cm="1">
        <f t="array" ref="AB21">SUMPRODUCT((Application!$B$714:$B$738 = 'CalHFA Addendum'!AB$18)*(Application!$AC$714:$AC$738 = 'CalHFA Addendum'!$B21),Application!$G$714:$G$738)</f>
        <v>10</v>
      </c>
      <c r="AC21" s="2427"/>
      <c r="AD21" s="2427"/>
      <c r="AE21" s="2427"/>
      <c r="AF21" s="2427"/>
      <c r="AG21" s="2428"/>
      <c r="AH21" s="2426" cm="1">
        <f t="array" ref="AH21">SUMPRODUCT((Application!$B$714:$B$738 = 'CalHFA Addendum'!AH$18)*(Application!$AC$714:$AC$738 = 'CalHFA Addendum'!$B21),Application!$G$714:$G$738)</f>
        <v>0</v>
      </c>
      <c r="AI21" s="2427"/>
      <c r="AJ21" s="2427"/>
      <c r="AK21" s="2427"/>
      <c r="AL21" s="2427"/>
      <c r="AM21" s="2428"/>
      <c r="AN21" s="2426" cm="1">
        <f t="array" ref="AN21">SUMPRODUCT((Application!$B$714:$B$738 = 'CalHFA Addendum'!AN$18)*(Application!$AC$714:$AC$738 = 'CalHFA Addendum'!$B21),Application!$G$714:$G$738)</f>
        <v>0</v>
      </c>
      <c r="AO21" s="2427"/>
      <c r="AP21" s="2427"/>
      <c r="AQ21" s="2427"/>
      <c r="AR21" s="2427"/>
      <c r="AS21" s="2428"/>
      <c r="AT21" s="2429">
        <f t="shared" si="0"/>
        <v>0.19277108433734941</v>
      </c>
      <c r="AU21" s="2430"/>
      <c r="AV21" s="2430"/>
      <c r="AW21" s="2430"/>
      <c r="AX21" s="2430"/>
      <c r="AY21" s="2431"/>
      <c r="AZ21" s="1207"/>
      <c r="BA21" s="1207"/>
      <c r="BB21" s="1207"/>
      <c r="BC21" s="1207"/>
      <c r="BD21" s="1207"/>
      <c r="BE21" s="1213"/>
    </row>
    <row r="22" spans="1:58" ht="15">
      <c r="A22" s="1207"/>
      <c r="B22" s="2441">
        <v>0.6</v>
      </c>
      <c r="C22" s="2442"/>
      <c r="D22" s="2442"/>
      <c r="E22" s="2442"/>
      <c r="F22" s="2442"/>
      <c r="G22" s="2442"/>
      <c r="H22" s="2442"/>
      <c r="I22" s="2443"/>
      <c r="J22" s="2426">
        <f t="shared" si="1"/>
        <v>32</v>
      </c>
      <c r="K22" s="2427"/>
      <c r="L22" s="2427"/>
      <c r="M22" s="2427"/>
      <c r="N22" s="2427"/>
      <c r="O22" s="2428"/>
      <c r="P22" s="2426" cm="1">
        <f t="array" ref="P22">SUMPRODUCT((Application!$B$714:$B$738 = 'CalHFA Addendum'!P$18)*(Application!$AC$714:$AC$738 = 'CalHFA Addendum'!$B22),Application!$G$714:$G$738)</f>
        <v>0</v>
      </c>
      <c r="Q22" s="2427"/>
      <c r="R22" s="2427"/>
      <c r="S22" s="2427"/>
      <c r="T22" s="2427"/>
      <c r="U22" s="2428"/>
      <c r="V22" s="2426" cm="1">
        <f t="array" ref="V22">SUMPRODUCT((Application!$B$714:$B$738 = 'CalHFA Addendum'!V$18)*(Application!$AC$714:$AC$738 = 'CalHFA Addendum'!$B22),Application!$G$714:$G$738)</f>
        <v>22</v>
      </c>
      <c r="W22" s="2427"/>
      <c r="X22" s="2427"/>
      <c r="Y22" s="2427"/>
      <c r="Z22" s="2427"/>
      <c r="AA22" s="2428"/>
      <c r="AB22" s="2426" cm="1">
        <f t="array" ref="AB22">SUMPRODUCT((Application!$B$714:$B$738 = 'CalHFA Addendum'!AB$18)*(Application!$AC$714:$AC$738 = 'CalHFA Addendum'!$B22),Application!$G$714:$G$738)</f>
        <v>10</v>
      </c>
      <c r="AC22" s="2427"/>
      <c r="AD22" s="2427"/>
      <c r="AE22" s="2427"/>
      <c r="AF22" s="2427"/>
      <c r="AG22" s="2428"/>
      <c r="AH22" s="2426" cm="1">
        <f t="array" ref="AH22">SUMPRODUCT((Application!$B$714:$B$738 = 'CalHFA Addendum'!AH$18)*(Application!$AC$714:$AC$738 = 'CalHFA Addendum'!$B22),Application!$G$714:$G$738)</f>
        <v>0</v>
      </c>
      <c r="AI22" s="2427"/>
      <c r="AJ22" s="2427"/>
      <c r="AK22" s="2427"/>
      <c r="AL22" s="2427"/>
      <c r="AM22" s="2428"/>
      <c r="AN22" s="2426" cm="1">
        <f t="array" ref="AN22">SUMPRODUCT((Application!$B$714:$B$738 = 'CalHFA Addendum'!AN$18)*(Application!$AC$714:$AC$738 = 'CalHFA Addendum'!$B22),Application!$G$714:$G$738)</f>
        <v>0</v>
      </c>
      <c r="AO22" s="2427"/>
      <c r="AP22" s="2427"/>
      <c r="AQ22" s="2427"/>
      <c r="AR22" s="2427"/>
      <c r="AS22" s="2428"/>
      <c r="AT22" s="2429">
        <f t="shared" si="0"/>
        <v>0.19277108433734941</v>
      </c>
      <c r="AU22" s="2430"/>
      <c r="AV22" s="2430"/>
      <c r="AW22" s="2430"/>
      <c r="AX22" s="2430"/>
      <c r="AY22" s="2431"/>
      <c r="AZ22" s="1207"/>
      <c r="BA22" s="1207"/>
      <c r="BB22" s="1207"/>
      <c r="BC22" s="1207"/>
      <c r="BD22" s="1207"/>
      <c r="BE22" s="1213"/>
    </row>
    <row r="23" spans="1:58" ht="15">
      <c r="A23" s="1207"/>
      <c r="B23" s="2441">
        <v>0.7</v>
      </c>
      <c r="C23" s="2442"/>
      <c r="D23" s="2442"/>
      <c r="E23" s="2442"/>
      <c r="F23" s="2442"/>
      <c r="G23" s="2442"/>
      <c r="H23" s="2442"/>
      <c r="I23" s="2443"/>
      <c r="J23" s="2426">
        <f t="shared" si="1"/>
        <v>83</v>
      </c>
      <c r="K23" s="2427"/>
      <c r="L23" s="2427"/>
      <c r="M23" s="2427"/>
      <c r="N23" s="2427"/>
      <c r="O23" s="2428"/>
      <c r="P23" s="2426" cm="1">
        <f t="array" ref="P23">SUMPRODUCT((Application!$B$714:$B$738 = 'CalHFA Addendum'!P$18)*(Application!$AC$714:$AC$738 = 'CalHFA Addendum'!$B23),Application!$G$714:$G$738)</f>
        <v>0</v>
      </c>
      <c r="Q23" s="2427"/>
      <c r="R23" s="2427"/>
      <c r="S23" s="2427"/>
      <c r="T23" s="2427"/>
      <c r="U23" s="2428"/>
      <c r="V23" s="2426" cm="1">
        <f t="array" ref="V23">SUMPRODUCT((Application!$B$714:$B$738 = 'CalHFA Addendum'!V$18)*(Application!$AC$714:$AC$738 = 'CalHFA Addendum'!$B23),Application!$G$714:$G$738)</f>
        <v>56</v>
      </c>
      <c r="W23" s="2427"/>
      <c r="X23" s="2427"/>
      <c r="Y23" s="2427"/>
      <c r="Z23" s="2427"/>
      <c r="AA23" s="2428"/>
      <c r="AB23" s="2426" cm="1">
        <f t="array" ref="AB23">SUMPRODUCT((Application!$B$714:$B$738 = 'CalHFA Addendum'!AB$18)*(Application!$AC$714:$AC$738 = 'CalHFA Addendum'!$B23),Application!$G$714:$G$738)</f>
        <v>27</v>
      </c>
      <c r="AC23" s="2427"/>
      <c r="AD23" s="2427"/>
      <c r="AE23" s="2427"/>
      <c r="AF23" s="2427"/>
      <c r="AG23" s="2428"/>
      <c r="AH23" s="2426" cm="1">
        <f t="array" ref="AH23">SUMPRODUCT((Application!$B$714:$B$738 = 'CalHFA Addendum'!AH$18)*(Application!$AC$714:$AC$738 = 'CalHFA Addendum'!$B23),Application!$G$714:$G$738)</f>
        <v>0</v>
      </c>
      <c r="AI23" s="2427"/>
      <c r="AJ23" s="2427"/>
      <c r="AK23" s="2427"/>
      <c r="AL23" s="2427"/>
      <c r="AM23" s="2428"/>
      <c r="AN23" s="2426" cm="1">
        <f t="array" ref="AN23">SUMPRODUCT((Application!$B$714:$B$738 = 'CalHFA Addendum'!AN$18)*(Application!$AC$714:$AC$738 = 'CalHFA Addendum'!$B23),Application!$G$714:$G$738)</f>
        <v>0</v>
      </c>
      <c r="AO23" s="2427"/>
      <c r="AP23" s="2427"/>
      <c r="AQ23" s="2427"/>
      <c r="AR23" s="2427"/>
      <c r="AS23" s="2428"/>
      <c r="AT23" s="2429">
        <f t="shared" si="0"/>
        <v>0.5</v>
      </c>
      <c r="AU23" s="2430"/>
      <c r="AV23" s="2430"/>
      <c r="AW23" s="2430"/>
      <c r="AX23" s="2430"/>
      <c r="AY23" s="2431"/>
      <c r="AZ23" s="1207"/>
      <c r="BA23" s="1207"/>
      <c r="BB23" s="1207"/>
      <c r="BC23" s="1207"/>
      <c r="BD23" s="1207"/>
      <c r="BE23" s="1213"/>
    </row>
    <row r="24" spans="1:58" ht="15">
      <c r="A24" s="1207"/>
      <c r="B24" s="2441">
        <v>0.8</v>
      </c>
      <c r="C24" s="2442"/>
      <c r="D24" s="2442"/>
      <c r="E24" s="2442"/>
      <c r="F24" s="2442"/>
      <c r="G24" s="2442"/>
      <c r="H24" s="2442"/>
      <c r="I24" s="2443"/>
      <c r="J24" s="2426">
        <f t="shared" si="1"/>
        <v>0</v>
      </c>
      <c r="K24" s="2427"/>
      <c r="L24" s="2427"/>
      <c r="M24" s="2427"/>
      <c r="N24" s="2427"/>
      <c r="O24" s="2428"/>
      <c r="P24" s="2426" cm="1">
        <f t="array" ref="P24">SUMPRODUCT((Application!$B$714:$B$738 = 'CalHFA Addendum'!P$18)*(Application!$AC$714:$AC$738 = 'CalHFA Addendum'!$B24),Application!$G$714:$G$738)</f>
        <v>0</v>
      </c>
      <c r="Q24" s="2427"/>
      <c r="R24" s="2427"/>
      <c r="S24" s="2427"/>
      <c r="T24" s="2427"/>
      <c r="U24" s="2428"/>
      <c r="V24" s="2426" cm="1">
        <f t="array" ref="V24">SUMPRODUCT((Application!$B$714:$B$738 = 'CalHFA Addendum'!V$18)*(Application!$AC$714:$AC$738 = 'CalHFA Addendum'!$B24),Application!$G$714:$G$738)</f>
        <v>0</v>
      </c>
      <c r="W24" s="2427"/>
      <c r="X24" s="2427"/>
      <c r="Y24" s="2427"/>
      <c r="Z24" s="2427"/>
      <c r="AA24" s="2428"/>
      <c r="AB24" s="2426" cm="1">
        <f t="array" ref="AB24">SUMPRODUCT((Application!$B$714:$B$738 = 'CalHFA Addendum'!AB$18)*(Application!$AC$714:$AC$738 = 'CalHFA Addendum'!$B24),Application!$G$714:$G$738)</f>
        <v>0</v>
      </c>
      <c r="AC24" s="2427"/>
      <c r="AD24" s="2427"/>
      <c r="AE24" s="2427"/>
      <c r="AF24" s="2427"/>
      <c r="AG24" s="2428"/>
      <c r="AH24" s="2426" cm="1">
        <f t="array" ref="AH24">SUMPRODUCT((Application!$B$714:$B$738 = 'CalHFA Addendum'!AH$18)*(Application!$AC$714:$AC$738 = 'CalHFA Addendum'!$B24),Application!$G$714:$G$738)</f>
        <v>0</v>
      </c>
      <c r="AI24" s="2427"/>
      <c r="AJ24" s="2427"/>
      <c r="AK24" s="2427"/>
      <c r="AL24" s="2427"/>
      <c r="AM24" s="2428"/>
      <c r="AN24" s="2426" cm="1">
        <f t="array" ref="AN24">SUMPRODUCT((Application!$B$714:$B$738 = 'CalHFA Addendum'!AN$18)*(Application!$AC$714:$AC$738 = 'CalHFA Addendum'!$B24),Application!$G$714:$G$738)</f>
        <v>0</v>
      </c>
      <c r="AO24" s="2427"/>
      <c r="AP24" s="2427"/>
      <c r="AQ24" s="2427"/>
      <c r="AR24" s="2427"/>
      <c r="AS24" s="2428"/>
      <c r="AT24" s="2429">
        <f t="shared" si="0"/>
        <v>0</v>
      </c>
      <c r="AU24" s="2430"/>
      <c r="AV24" s="2430"/>
      <c r="AW24" s="2430"/>
      <c r="AX24" s="2430"/>
      <c r="AY24" s="2431"/>
      <c r="AZ24" s="1207"/>
      <c r="BA24" s="1207"/>
      <c r="BB24" s="1207"/>
      <c r="BC24" s="1207"/>
      <c r="BD24" s="1207"/>
      <c r="BE24" s="1213"/>
    </row>
    <row r="25" spans="1:58" ht="15">
      <c r="A25" s="1207"/>
      <c r="B25" s="2441">
        <v>0.9</v>
      </c>
      <c r="C25" s="2442"/>
      <c r="D25" s="2442"/>
      <c r="E25" s="2442"/>
      <c r="F25" s="2442"/>
      <c r="G25" s="2442"/>
      <c r="H25" s="2442"/>
      <c r="I25" s="2443"/>
      <c r="J25" s="2426">
        <f t="shared" si="1"/>
        <v>0</v>
      </c>
      <c r="K25" s="2427"/>
      <c r="L25" s="2427"/>
      <c r="M25" s="2427"/>
      <c r="N25" s="2427"/>
      <c r="O25" s="2428"/>
      <c r="P25" s="2426" cm="1">
        <f t="array" ref="P25">SUMPRODUCT((Application!$B$714:$B$738 = 'CalHFA Addendum'!P$18)*(Application!$AC$714:$AC$738 = 'CalHFA Addendum'!$B25),Application!$G$714:$G$738)</f>
        <v>0</v>
      </c>
      <c r="Q25" s="2427"/>
      <c r="R25" s="2427"/>
      <c r="S25" s="2427"/>
      <c r="T25" s="2427"/>
      <c r="U25" s="2428"/>
      <c r="V25" s="2426" cm="1">
        <f t="array" ref="V25">SUMPRODUCT((Application!$B$714:$B$738 = 'CalHFA Addendum'!V$18)*(Application!$AC$714:$AC$738 = 'CalHFA Addendum'!$B25),Application!$G$714:$G$738)</f>
        <v>0</v>
      </c>
      <c r="W25" s="2427"/>
      <c r="X25" s="2427"/>
      <c r="Y25" s="2427"/>
      <c r="Z25" s="2427"/>
      <c r="AA25" s="2428"/>
      <c r="AB25" s="2426" cm="1">
        <f t="array" ref="AB25">SUMPRODUCT((Application!$B$714:$B$738 = 'CalHFA Addendum'!AB$18)*(Application!$AC$714:$AC$738 = 'CalHFA Addendum'!$B25),Application!$G$714:$G$738)</f>
        <v>0</v>
      </c>
      <c r="AC25" s="2427"/>
      <c r="AD25" s="2427"/>
      <c r="AE25" s="2427"/>
      <c r="AF25" s="2427"/>
      <c r="AG25" s="2428"/>
      <c r="AH25" s="2426" cm="1">
        <f t="array" ref="AH25">SUMPRODUCT((Application!$B$714:$B$738 = 'CalHFA Addendum'!AH$18)*(Application!$AC$714:$AC$738 = 'CalHFA Addendum'!$B25),Application!$G$714:$G$738)</f>
        <v>0</v>
      </c>
      <c r="AI25" s="2427"/>
      <c r="AJ25" s="2427"/>
      <c r="AK25" s="2427"/>
      <c r="AL25" s="2427"/>
      <c r="AM25" s="2428"/>
      <c r="AN25" s="2426" cm="1">
        <f t="array" ref="AN25">SUMPRODUCT((Application!$B$714:$B$738 = 'CalHFA Addendum'!AN$18)*(Application!$AC$714:$AC$738 = 'CalHFA Addendum'!$B25),Application!$G$714:$G$738)</f>
        <v>0</v>
      </c>
      <c r="AO25" s="2427"/>
      <c r="AP25" s="2427"/>
      <c r="AQ25" s="2427"/>
      <c r="AR25" s="2427"/>
      <c r="AS25" s="2428"/>
      <c r="AT25" s="2429">
        <f t="shared" si="0"/>
        <v>0</v>
      </c>
      <c r="AU25" s="2430"/>
      <c r="AV25" s="2430"/>
      <c r="AW25" s="2430"/>
      <c r="AX25" s="2430"/>
      <c r="AY25" s="2431"/>
      <c r="AZ25" s="1207"/>
      <c r="BA25" s="1207"/>
      <c r="BB25" s="1207"/>
      <c r="BC25" s="1207"/>
      <c r="BD25" s="1207"/>
      <c r="BE25" s="1213"/>
    </row>
    <row r="26" spans="1:58" ht="15">
      <c r="A26" s="1207"/>
      <c r="B26" s="2441">
        <v>1</v>
      </c>
      <c r="C26" s="2442"/>
      <c r="D26" s="2442"/>
      <c r="E26" s="2442"/>
      <c r="F26" s="2442"/>
      <c r="G26" s="2442"/>
      <c r="H26" s="2442"/>
      <c r="I26" s="2443"/>
      <c r="J26" s="2426">
        <f t="shared" si="1"/>
        <v>0</v>
      </c>
      <c r="K26" s="2427"/>
      <c r="L26" s="2427"/>
      <c r="M26" s="2427"/>
      <c r="N26" s="2427"/>
      <c r="O26" s="2428"/>
      <c r="P26" s="2426" cm="1">
        <f t="array" ref="P26">SUMPRODUCT((Application!$B$714:$B$738 = 'CalHFA Addendum'!P$18)*(Application!$AC$714:$AC$738 = 'CalHFA Addendum'!$B26),Application!$G$714:$G$738)</f>
        <v>0</v>
      </c>
      <c r="Q26" s="2427"/>
      <c r="R26" s="2427"/>
      <c r="S26" s="2427"/>
      <c r="T26" s="2427"/>
      <c r="U26" s="2428"/>
      <c r="V26" s="2426" cm="1">
        <f t="array" ref="V26">SUMPRODUCT((Application!$B$714:$B$738 = 'CalHFA Addendum'!V$18)*(Application!$AC$714:$AC$738 = 'CalHFA Addendum'!$B26),Application!$G$714:$G$738)</f>
        <v>0</v>
      </c>
      <c r="W26" s="2427"/>
      <c r="X26" s="2427"/>
      <c r="Y26" s="2427"/>
      <c r="Z26" s="2427"/>
      <c r="AA26" s="2428"/>
      <c r="AB26" s="2426" cm="1">
        <f t="array" ref="AB26">SUMPRODUCT((Application!$B$714:$B$738 = 'CalHFA Addendum'!AB$18)*(Application!$AC$714:$AC$738 = 'CalHFA Addendum'!$B26),Application!$G$714:$G$738)</f>
        <v>0</v>
      </c>
      <c r="AC26" s="2427"/>
      <c r="AD26" s="2427"/>
      <c r="AE26" s="2427"/>
      <c r="AF26" s="2427"/>
      <c r="AG26" s="2428"/>
      <c r="AH26" s="2426" cm="1">
        <f t="array" ref="AH26">SUMPRODUCT((Application!$B$714:$B$738 = 'CalHFA Addendum'!AH$18)*(Application!$AC$714:$AC$738 = 'CalHFA Addendum'!$B26),Application!$G$714:$G$738)</f>
        <v>0</v>
      </c>
      <c r="AI26" s="2427"/>
      <c r="AJ26" s="2427"/>
      <c r="AK26" s="2427"/>
      <c r="AL26" s="2427"/>
      <c r="AM26" s="2428"/>
      <c r="AN26" s="2426" cm="1">
        <f t="array" ref="AN26">SUMPRODUCT((Application!$B$714:$B$738 = 'CalHFA Addendum'!AN$18)*(Application!$AC$714:$AC$738 = 'CalHFA Addendum'!$B26),Application!$G$714:$G$738)</f>
        <v>0</v>
      </c>
      <c r="AO26" s="2427"/>
      <c r="AP26" s="2427"/>
      <c r="AQ26" s="2427"/>
      <c r="AR26" s="2427"/>
      <c r="AS26" s="2428"/>
      <c r="AT26" s="2429">
        <f t="shared" si="0"/>
        <v>0</v>
      </c>
      <c r="AU26" s="2430"/>
      <c r="AV26" s="2430"/>
      <c r="AW26" s="2430"/>
      <c r="AX26" s="2430"/>
      <c r="AY26" s="2431"/>
      <c r="AZ26" s="1207"/>
      <c r="BA26" s="1207"/>
      <c r="BB26" s="1207"/>
      <c r="BC26" s="1207"/>
      <c r="BD26" s="1207"/>
      <c r="BE26" s="1213"/>
    </row>
    <row r="27" spans="1:58" ht="15">
      <c r="A27" s="1207"/>
      <c r="B27" s="2441">
        <v>1.1000000000000001</v>
      </c>
      <c r="C27" s="2442"/>
      <c r="D27" s="2442"/>
      <c r="E27" s="2442"/>
      <c r="F27" s="2442"/>
      <c r="G27" s="2442"/>
      <c r="H27" s="2442"/>
      <c r="I27" s="2443"/>
      <c r="J27" s="2426">
        <f t="shared" si="1"/>
        <v>0</v>
      </c>
      <c r="K27" s="2427"/>
      <c r="L27" s="2427"/>
      <c r="M27" s="2427"/>
      <c r="N27" s="2427"/>
      <c r="O27" s="2428"/>
      <c r="P27" s="2426" cm="1">
        <f t="array" ref="P27">SUMPRODUCT((Application!$B$714:$B$738 = 'CalHFA Addendum'!P$18)*(Application!$AC$714:$AC$738 = 'CalHFA Addendum'!$B27),Application!$G$714:$G$738)</f>
        <v>0</v>
      </c>
      <c r="Q27" s="2427"/>
      <c r="R27" s="2427"/>
      <c r="S27" s="2427"/>
      <c r="T27" s="2427"/>
      <c r="U27" s="2428"/>
      <c r="V27" s="2426" cm="1">
        <f t="array" ref="V27">SUMPRODUCT((Application!$B$714:$B$738 = 'CalHFA Addendum'!V$18)*(Application!$AC$714:$AC$738 = 'CalHFA Addendum'!$B27),Application!$G$714:$G$738)</f>
        <v>0</v>
      </c>
      <c r="W27" s="2427"/>
      <c r="X27" s="2427"/>
      <c r="Y27" s="2427"/>
      <c r="Z27" s="2427"/>
      <c r="AA27" s="2428"/>
      <c r="AB27" s="2426" cm="1">
        <f t="array" ref="AB27">SUMPRODUCT((Application!$B$714:$B$738 = 'CalHFA Addendum'!AB$18)*(Application!$AC$714:$AC$738 = 'CalHFA Addendum'!$B27),Application!$G$714:$G$738)</f>
        <v>0</v>
      </c>
      <c r="AC27" s="2427"/>
      <c r="AD27" s="2427"/>
      <c r="AE27" s="2427"/>
      <c r="AF27" s="2427"/>
      <c r="AG27" s="2428"/>
      <c r="AH27" s="2426" cm="1">
        <f t="array" ref="AH27">SUMPRODUCT((Application!$B$714:$B$738 = 'CalHFA Addendum'!AH$18)*(Application!$AC$714:$AC$738 = 'CalHFA Addendum'!$B27),Application!$G$714:$G$738)</f>
        <v>0</v>
      </c>
      <c r="AI27" s="2427"/>
      <c r="AJ27" s="2427"/>
      <c r="AK27" s="2427"/>
      <c r="AL27" s="2427"/>
      <c r="AM27" s="2428"/>
      <c r="AN27" s="2426" cm="1">
        <f t="array" ref="AN27">SUMPRODUCT((Application!$B$714:$B$738 = 'CalHFA Addendum'!AN$18)*(Application!$AC$714:$AC$738 = 'CalHFA Addendum'!$B27),Application!$G$714:$G$738)</f>
        <v>0</v>
      </c>
      <c r="AO27" s="2427"/>
      <c r="AP27" s="2427"/>
      <c r="AQ27" s="2427"/>
      <c r="AR27" s="2427"/>
      <c r="AS27" s="2428"/>
      <c r="AT27" s="2429">
        <f t="shared" si="0"/>
        <v>0</v>
      </c>
      <c r="AU27" s="2430"/>
      <c r="AV27" s="2430"/>
      <c r="AW27" s="2430"/>
      <c r="AX27" s="2430"/>
      <c r="AY27" s="2431"/>
      <c r="AZ27" s="1207"/>
      <c r="BA27" s="1207"/>
      <c r="BB27" s="1207"/>
      <c r="BC27" s="1207"/>
      <c r="BD27" s="1207"/>
      <c r="BE27" s="1213"/>
    </row>
    <row r="28" spans="1:58" thickBot="1">
      <c r="A28" s="1207"/>
      <c r="B28" s="2432" t="s">
        <v>1867</v>
      </c>
      <c r="C28" s="2433"/>
      <c r="D28" s="2433"/>
      <c r="E28" s="2433"/>
      <c r="F28" s="2433"/>
      <c r="G28" s="2433"/>
      <c r="H28" s="2433"/>
      <c r="I28" s="2434"/>
      <c r="J28" s="2435">
        <f t="shared" si="1"/>
        <v>2</v>
      </c>
      <c r="K28" s="2436"/>
      <c r="L28" s="2436"/>
      <c r="M28" s="2436"/>
      <c r="N28" s="2436"/>
      <c r="O28" s="2437"/>
      <c r="P28" s="2435">
        <f>_xlfn.IFNA(VLOOKUP(P$18,Application!$J$758:$S$761,6,FALSE), 0)</f>
        <v>0</v>
      </c>
      <c r="Q28" s="2436"/>
      <c r="R28" s="2436"/>
      <c r="S28" s="2436"/>
      <c r="T28" s="2436"/>
      <c r="U28" s="2437"/>
      <c r="V28" s="2435">
        <f>_xlfn.IFNA(VLOOKUP(V$18,Application!$J$758:$S$761,6,FALSE), 0)</f>
        <v>0</v>
      </c>
      <c r="W28" s="2436"/>
      <c r="X28" s="2436"/>
      <c r="Y28" s="2436"/>
      <c r="Z28" s="2436"/>
      <c r="AA28" s="2437"/>
      <c r="AB28" s="2435">
        <f>_xlfn.IFNA(VLOOKUP(AB$18,Application!$J$758:$S$761,6,FALSE), 0)</f>
        <v>2</v>
      </c>
      <c r="AC28" s="2436"/>
      <c r="AD28" s="2436"/>
      <c r="AE28" s="2436"/>
      <c r="AF28" s="2436"/>
      <c r="AG28" s="2437"/>
      <c r="AH28" s="2435">
        <f>_xlfn.IFNA(VLOOKUP(AH$18,Application!$J$758:$S$761,6,FALSE), 0)</f>
        <v>0</v>
      </c>
      <c r="AI28" s="2436"/>
      <c r="AJ28" s="2436"/>
      <c r="AK28" s="2436"/>
      <c r="AL28" s="2436"/>
      <c r="AM28" s="2437"/>
      <c r="AN28" s="2435">
        <f>_xlfn.IFNA(VLOOKUP(AN$18,Application!$J$758:$S$761,6,FALSE), 0)</f>
        <v>0</v>
      </c>
      <c r="AO28" s="2436"/>
      <c r="AP28" s="2436"/>
      <c r="AQ28" s="2436"/>
      <c r="AR28" s="2436"/>
      <c r="AS28" s="2437"/>
      <c r="AT28" s="2438">
        <f t="shared" si="0"/>
        <v>1.2048192771084338E-2</v>
      </c>
      <c r="AU28" s="2439"/>
      <c r="AV28" s="2439"/>
      <c r="AW28" s="2439"/>
      <c r="AX28" s="2439"/>
      <c r="AY28" s="2440"/>
      <c r="AZ28" s="1207"/>
      <c r="BA28" s="1207"/>
      <c r="BB28" s="1207"/>
      <c r="BC28" s="1207"/>
      <c r="BD28" s="1207"/>
      <c r="BE28" s="1213"/>
    </row>
    <row r="29" spans="1:58" thickBot="1">
      <c r="A29" s="1207"/>
      <c r="B29" s="2425" t="s">
        <v>1764</v>
      </c>
      <c r="C29" s="2414"/>
      <c r="D29" s="2414"/>
      <c r="E29" s="2414"/>
      <c r="F29" s="2414"/>
      <c r="G29" s="2414"/>
      <c r="H29" s="2414"/>
      <c r="I29" s="2415"/>
      <c r="J29" s="2413">
        <f>SUM(J19:O28)</f>
        <v>166</v>
      </c>
      <c r="K29" s="2414"/>
      <c r="L29" s="2414"/>
      <c r="M29" s="2414"/>
      <c r="N29" s="2414"/>
      <c r="O29" s="2415"/>
      <c r="P29" s="2413">
        <f>SUM(P19:U28)</f>
        <v>0</v>
      </c>
      <c r="Q29" s="2414"/>
      <c r="R29" s="2414"/>
      <c r="S29" s="2414"/>
      <c r="T29" s="2414"/>
      <c r="U29" s="2415"/>
      <c r="V29" s="2413">
        <f>SUM(V19:AA28)</f>
        <v>111</v>
      </c>
      <c r="W29" s="2414"/>
      <c r="X29" s="2414"/>
      <c r="Y29" s="2414"/>
      <c r="Z29" s="2414"/>
      <c r="AA29" s="2415"/>
      <c r="AB29" s="2413">
        <f>SUM(AB19:AG28)</f>
        <v>55</v>
      </c>
      <c r="AC29" s="2414"/>
      <c r="AD29" s="2414"/>
      <c r="AE29" s="2414"/>
      <c r="AF29" s="2414"/>
      <c r="AG29" s="2415"/>
      <c r="AH29" s="2413">
        <f>SUM(AH19:AM28)</f>
        <v>0</v>
      </c>
      <c r="AI29" s="2414"/>
      <c r="AJ29" s="2414"/>
      <c r="AK29" s="2414"/>
      <c r="AL29" s="2414"/>
      <c r="AM29" s="2415"/>
      <c r="AN29" s="2413">
        <f>SUM(AN19:AS28)</f>
        <v>0</v>
      </c>
      <c r="AO29" s="2414"/>
      <c r="AP29" s="2414"/>
      <c r="AQ29" s="2414"/>
      <c r="AR29" s="2414"/>
      <c r="AS29" s="2415"/>
      <c r="AT29" s="2416">
        <f>J29/$J$29</f>
        <v>1</v>
      </c>
      <c r="AU29" s="2417"/>
      <c r="AV29" s="2417"/>
      <c r="AW29" s="2417"/>
      <c r="AX29" s="2417"/>
      <c r="AY29" s="241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93" t="s">
        <v>1868</v>
      </c>
      <c r="C31" s="2259"/>
      <c r="D31" s="2259"/>
      <c r="E31" s="2259"/>
      <c r="F31" s="2259"/>
      <c r="G31" s="2259"/>
      <c r="H31" s="2259"/>
      <c r="I31" s="2259"/>
      <c r="J31" s="2259"/>
      <c r="K31" s="2259"/>
      <c r="L31" s="2259"/>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60"/>
      <c r="BA31" s="1207"/>
      <c r="BB31" s="1207"/>
      <c r="BC31" s="1207"/>
      <c r="BD31" s="1207"/>
      <c r="BE31" s="1213"/>
    </row>
    <row r="32" spans="1:58" ht="15">
      <c r="A32" s="1207"/>
      <c r="B32" s="2419" t="s">
        <v>2578</v>
      </c>
      <c r="C32" s="2420"/>
      <c r="D32" s="2420"/>
      <c r="E32" s="2420"/>
      <c r="F32" s="2420"/>
      <c r="G32" s="2420"/>
      <c r="H32" s="2420"/>
      <c r="I32" s="2420"/>
      <c r="J32" s="2422" t="s">
        <v>2579</v>
      </c>
      <c r="K32" s="2423"/>
      <c r="L32" s="2423"/>
      <c r="M32" s="2423"/>
      <c r="N32" s="2422" t="s">
        <v>1869</v>
      </c>
      <c r="O32" s="2423"/>
      <c r="P32" s="2423"/>
      <c r="Q32" s="2423"/>
      <c r="R32" s="2294" t="s">
        <v>1870</v>
      </c>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344"/>
      <c r="BA32" s="1207"/>
      <c r="BB32" s="1207"/>
      <c r="BC32" s="1207"/>
      <c r="BD32" s="1207"/>
      <c r="BE32" s="1213"/>
    </row>
    <row r="33" spans="1:58" ht="15" customHeight="1">
      <c r="A33" s="1207"/>
      <c r="B33" s="2421"/>
      <c r="C33" s="2420"/>
      <c r="D33" s="2420"/>
      <c r="E33" s="2420"/>
      <c r="F33" s="2420"/>
      <c r="G33" s="2420"/>
      <c r="H33" s="2420"/>
      <c r="I33" s="2420"/>
      <c r="J33" s="2423"/>
      <c r="K33" s="2423"/>
      <c r="L33" s="2423"/>
      <c r="M33" s="2423"/>
      <c r="N33" s="2423"/>
      <c r="O33" s="2423"/>
      <c r="P33" s="2423"/>
      <c r="Q33" s="2423"/>
      <c r="R33" s="2395" t="s">
        <v>1871</v>
      </c>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22"/>
      <c r="AT33" s="2422"/>
      <c r="AU33" s="2422"/>
      <c r="AV33" s="2422"/>
      <c r="AW33" s="2422"/>
      <c r="AX33" s="2422"/>
      <c r="AY33" s="2422"/>
      <c r="AZ33" s="2424"/>
      <c r="BA33" s="1214"/>
      <c r="BB33" s="1207"/>
      <c r="BC33" s="1207"/>
      <c r="BD33" s="1207"/>
      <c r="BE33" s="1213"/>
    </row>
    <row r="34" spans="1:58" ht="15.75" customHeight="1">
      <c r="A34" s="1207"/>
      <c r="B34" s="2421"/>
      <c r="C34" s="2420"/>
      <c r="D34" s="2420"/>
      <c r="E34" s="2420"/>
      <c r="F34" s="2420"/>
      <c r="G34" s="2420"/>
      <c r="H34" s="2420"/>
      <c r="I34" s="2420"/>
      <c r="J34" s="2423"/>
      <c r="K34" s="2423"/>
      <c r="L34" s="2423"/>
      <c r="M34" s="2423"/>
      <c r="N34" s="2423"/>
      <c r="O34" s="2423"/>
      <c r="P34" s="2423"/>
      <c r="Q34" s="2423"/>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22"/>
      <c r="AT34" s="2422"/>
      <c r="AU34" s="2422"/>
      <c r="AV34" s="2422"/>
      <c r="AW34" s="2422"/>
      <c r="AX34" s="2422"/>
      <c r="AY34" s="2422"/>
      <c r="AZ34" s="2424"/>
      <c r="BA34" s="1214"/>
      <c r="BB34" s="1207"/>
      <c r="BC34" s="1207"/>
      <c r="BD34" s="1207"/>
      <c r="BE34" s="1213"/>
    </row>
    <row r="35" spans="1:58" ht="15.75" customHeight="1">
      <c r="A35" s="1207"/>
      <c r="B35" s="2421"/>
      <c r="C35" s="2420"/>
      <c r="D35" s="2420"/>
      <c r="E35" s="2420"/>
      <c r="F35" s="2420"/>
      <c r="G35" s="2420"/>
      <c r="H35" s="2420"/>
      <c r="I35" s="2420"/>
      <c r="J35" s="2423"/>
      <c r="K35" s="2423"/>
      <c r="L35" s="2423"/>
      <c r="M35" s="2423"/>
      <c r="N35" s="2423"/>
      <c r="O35" s="2423"/>
      <c r="P35" s="2423"/>
      <c r="Q35" s="2423"/>
      <c r="R35" s="2409">
        <v>0.3</v>
      </c>
      <c r="S35" s="2409"/>
      <c r="T35" s="2409"/>
      <c r="U35" s="2409"/>
      <c r="V35" s="2409">
        <v>0.4</v>
      </c>
      <c r="W35" s="2409"/>
      <c r="X35" s="2409"/>
      <c r="Y35" s="2409"/>
      <c r="Z35" s="2409">
        <v>0.5</v>
      </c>
      <c r="AA35" s="2409"/>
      <c r="AB35" s="2409"/>
      <c r="AC35" s="2409"/>
      <c r="AD35" s="2409">
        <v>0.6</v>
      </c>
      <c r="AE35" s="2409"/>
      <c r="AF35" s="2409"/>
      <c r="AG35" s="2409"/>
      <c r="AH35" s="2409">
        <v>0.8</v>
      </c>
      <c r="AI35" s="2409"/>
      <c r="AJ35" s="2409"/>
      <c r="AK35" s="2409"/>
      <c r="AL35" s="2410">
        <v>1</v>
      </c>
      <c r="AM35" s="2410"/>
      <c r="AN35" s="2410"/>
      <c r="AO35" s="2411" t="s">
        <v>1872</v>
      </c>
      <c r="AP35" s="2411"/>
      <c r="AQ35" s="2411"/>
      <c r="AR35" s="2411"/>
      <c r="AS35" s="2411"/>
      <c r="AT35" s="2411"/>
      <c r="AU35" s="2411" t="s">
        <v>1873</v>
      </c>
      <c r="AV35" s="2411"/>
      <c r="AW35" s="2411"/>
      <c r="AX35" s="2411"/>
      <c r="AY35" s="2411"/>
      <c r="AZ35" s="2412"/>
      <c r="BA35" s="1214"/>
      <c r="BB35" s="1207"/>
      <c r="BC35" s="1207"/>
      <c r="BD35" s="1207"/>
      <c r="BE35" s="1213"/>
      <c r="BF35" s="1205"/>
    </row>
    <row r="36" spans="1:58" ht="15.75" customHeight="1">
      <c r="A36" s="1207"/>
      <c r="B36" s="2348" t="s">
        <v>1874</v>
      </c>
      <c r="C36" s="2349"/>
      <c r="D36" s="2349"/>
      <c r="E36" s="2349"/>
      <c r="F36" s="2349"/>
      <c r="G36" s="2349"/>
      <c r="H36" s="2349"/>
      <c r="I36" s="2349"/>
      <c r="J36" s="2408" t="s">
        <v>1875</v>
      </c>
      <c r="K36" s="2408"/>
      <c r="L36" s="2408"/>
      <c r="M36" s="2408"/>
      <c r="N36" s="2408">
        <v>55</v>
      </c>
      <c r="O36" s="2408"/>
      <c r="P36" s="2408"/>
      <c r="Q36" s="2408"/>
      <c r="R36" s="2401">
        <v>0</v>
      </c>
      <c r="S36" s="2401"/>
      <c r="T36" s="2401"/>
      <c r="U36" s="2401"/>
      <c r="V36" s="2401">
        <v>0</v>
      </c>
      <c r="W36" s="2401"/>
      <c r="X36" s="2401"/>
      <c r="Y36" s="2401"/>
      <c r="Z36" s="2401">
        <v>10</v>
      </c>
      <c r="AA36" s="2401"/>
      <c r="AB36" s="2401"/>
      <c r="AC36" s="2401"/>
      <c r="AD36" s="2401">
        <v>30</v>
      </c>
      <c r="AE36" s="2401"/>
      <c r="AF36" s="2401"/>
      <c r="AG36" s="2401"/>
      <c r="AH36" s="2401">
        <v>0</v>
      </c>
      <c r="AI36" s="2401"/>
      <c r="AJ36" s="2401"/>
      <c r="AK36" s="2401"/>
      <c r="AL36" s="2401">
        <v>0</v>
      </c>
      <c r="AM36" s="2401"/>
      <c r="AN36" s="2401"/>
      <c r="AO36" s="2402">
        <f>SUM(R36:AN36)</f>
        <v>40</v>
      </c>
      <c r="AP36" s="2402"/>
      <c r="AQ36" s="2402"/>
      <c r="AR36" s="2402"/>
      <c r="AS36" s="2402"/>
      <c r="AT36" s="2402"/>
      <c r="AU36" s="2403">
        <f>AO36/$J$29</f>
        <v>0.24096385542168675</v>
      </c>
      <c r="AV36" s="2403"/>
      <c r="AW36" s="2403"/>
      <c r="AX36" s="2403"/>
      <c r="AY36" s="2403"/>
      <c r="AZ36" s="2404"/>
      <c r="BA36" s="1207"/>
      <c r="BB36" s="1207"/>
      <c r="BC36" s="1207"/>
      <c r="BD36" s="1207"/>
      <c r="BE36" s="1213"/>
      <c r="BF36" s="1205"/>
    </row>
    <row r="37" spans="1:58" ht="15.75" customHeight="1">
      <c r="A37" s="1207"/>
      <c r="B37" s="2348" t="s">
        <v>2580</v>
      </c>
      <c r="C37" s="2349"/>
      <c r="D37" s="2349"/>
      <c r="E37" s="2349"/>
      <c r="F37" s="2349"/>
      <c r="G37" s="2349"/>
      <c r="H37" s="2349"/>
      <c r="I37" s="2349"/>
      <c r="J37" s="2408" t="s">
        <v>1876</v>
      </c>
      <c r="K37" s="2408"/>
      <c r="L37" s="2408"/>
      <c r="M37" s="2408"/>
      <c r="N37" s="2408">
        <v>55</v>
      </c>
      <c r="O37" s="2408"/>
      <c r="P37" s="2408"/>
      <c r="Q37" s="2408"/>
      <c r="R37" s="2401">
        <v>10</v>
      </c>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2">
        <f t="shared" ref="AO37:AO47" si="2">SUM(R37:AN37)</f>
        <v>10</v>
      </c>
      <c r="AP37" s="2402"/>
      <c r="AQ37" s="2402"/>
      <c r="AR37" s="2402"/>
      <c r="AS37" s="2402"/>
      <c r="AT37" s="2402"/>
      <c r="AU37" s="2403">
        <f t="shared" ref="AU37:AU47" si="3">AO37/$J$29</f>
        <v>6.0240963855421686E-2</v>
      </c>
      <c r="AV37" s="2403"/>
      <c r="AW37" s="2403"/>
      <c r="AX37" s="2403"/>
      <c r="AY37" s="2403"/>
      <c r="AZ37" s="2404"/>
      <c r="BA37" s="1207"/>
      <c r="BB37" s="1207"/>
      <c r="BC37" s="1207"/>
      <c r="BD37" s="1207"/>
      <c r="BE37" s="1213"/>
      <c r="BF37" s="1205"/>
    </row>
    <row r="38" spans="1:58" ht="15.75" customHeight="1">
      <c r="A38" s="1207"/>
      <c r="B38" s="2348" t="s">
        <v>2518</v>
      </c>
      <c r="C38" s="2349"/>
      <c r="D38" s="2349"/>
      <c r="E38" s="2349"/>
      <c r="F38" s="2349"/>
      <c r="G38" s="2349"/>
      <c r="H38" s="2349"/>
      <c r="I38" s="2349"/>
      <c r="J38" s="2408" t="s">
        <v>1877</v>
      </c>
      <c r="K38" s="2408"/>
      <c r="L38" s="2408"/>
      <c r="M38" s="2408"/>
      <c r="N38" s="2408">
        <v>55</v>
      </c>
      <c r="O38" s="2408"/>
      <c r="P38" s="2408"/>
      <c r="Q38" s="2408"/>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2">
        <f t="shared" si="2"/>
        <v>0</v>
      </c>
      <c r="AP38" s="2402"/>
      <c r="AQ38" s="2402"/>
      <c r="AR38" s="2402"/>
      <c r="AS38" s="2402"/>
      <c r="AT38" s="2402"/>
      <c r="AU38" s="2403">
        <f t="shared" si="3"/>
        <v>0</v>
      </c>
      <c r="AV38" s="2403"/>
      <c r="AW38" s="2403"/>
      <c r="AX38" s="2403"/>
      <c r="AY38" s="2403"/>
      <c r="AZ38" s="2404"/>
      <c r="BA38" s="1207"/>
      <c r="BB38" s="1207"/>
      <c r="BC38" s="1207"/>
      <c r="BD38" s="1207"/>
      <c r="BE38" s="1213"/>
      <c r="BF38" s="1205"/>
    </row>
    <row r="39" spans="1:58" ht="15.75" customHeight="1">
      <c r="A39" s="1207"/>
      <c r="B39" s="2348" t="s">
        <v>1878</v>
      </c>
      <c r="C39" s="2349"/>
      <c r="D39" s="2349"/>
      <c r="E39" s="2349"/>
      <c r="F39" s="2349"/>
      <c r="G39" s="2349"/>
      <c r="H39" s="2349"/>
      <c r="I39" s="2349"/>
      <c r="J39" s="2408"/>
      <c r="K39" s="2408"/>
      <c r="L39" s="2408"/>
      <c r="M39" s="2408"/>
      <c r="N39" s="2408"/>
      <c r="O39" s="2408"/>
      <c r="P39" s="2408"/>
      <c r="Q39" s="2408"/>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2">
        <f t="shared" si="2"/>
        <v>0</v>
      </c>
      <c r="AP39" s="2402"/>
      <c r="AQ39" s="2402"/>
      <c r="AR39" s="2402"/>
      <c r="AS39" s="2402"/>
      <c r="AT39" s="2402"/>
      <c r="AU39" s="2403">
        <f t="shared" si="3"/>
        <v>0</v>
      </c>
      <c r="AV39" s="2403"/>
      <c r="AW39" s="2403"/>
      <c r="AX39" s="2403"/>
      <c r="AY39" s="2403"/>
      <c r="AZ39" s="2404"/>
      <c r="BA39" s="1207"/>
      <c r="BB39" s="1207"/>
      <c r="BC39" s="1207"/>
      <c r="BD39" s="1207"/>
      <c r="BE39" s="1213"/>
    </row>
    <row r="40" spans="1:58" ht="15.75" customHeight="1">
      <c r="A40" s="1207"/>
      <c r="B40" s="2348" t="s">
        <v>1878</v>
      </c>
      <c r="C40" s="2349"/>
      <c r="D40" s="2349"/>
      <c r="E40" s="2349"/>
      <c r="F40" s="2349"/>
      <c r="G40" s="2349"/>
      <c r="H40" s="2349"/>
      <c r="I40" s="2349"/>
      <c r="J40" s="2408"/>
      <c r="K40" s="2408"/>
      <c r="L40" s="2408"/>
      <c r="M40" s="2408"/>
      <c r="N40" s="2408"/>
      <c r="O40" s="2408"/>
      <c r="P40" s="2408"/>
      <c r="Q40" s="2408"/>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2">
        <f t="shared" si="2"/>
        <v>0</v>
      </c>
      <c r="AP40" s="2402"/>
      <c r="AQ40" s="2402"/>
      <c r="AR40" s="2402"/>
      <c r="AS40" s="2402"/>
      <c r="AT40" s="2402"/>
      <c r="AU40" s="2403">
        <f t="shared" si="3"/>
        <v>0</v>
      </c>
      <c r="AV40" s="2403"/>
      <c r="AW40" s="2403"/>
      <c r="AX40" s="2403"/>
      <c r="AY40" s="2403"/>
      <c r="AZ40" s="2404"/>
      <c r="BA40" s="1207"/>
      <c r="BB40" s="1207"/>
      <c r="BC40" s="1207"/>
      <c r="BD40" s="1207"/>
      <c r="BE40" s="1213"/>
    </row>
    <row r="41" spans="1:58" ht="15.75" customHeight="1">
      <c r="A41" s="1207"/>
      <c r="B41" s="2348" t="s">
        <v>1879</v>
      </c>
      <c r="C41" s="2349"/>
      <c r="D41" s="2349"/>
      <c r="E41" s="2349"/>
      <c r="F41" s="2349"/>
      <c r="G41" s="2349"/>
      <c r="H41" s="2349"/>
      <c r="I41" s="2349"/>
      <c r="J41" s="2408"/>
      <c r="K41" s="2408"/>
      <c r="L41" s="2408"/>
      <c r="M41" s="2408"/>
      <c r="N41" s="2408"/>
      <c r="O41" s="2408"/>
      <c r="P41" s="2408"/>
      <c r="Q41" s="2408"/>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2">
        <f t="shared" si="2"/>
        <v>0</v>
      </c>
      <c r="AP41" s="2402"/>
      <c r="AQ41" s="2402"/>
      <c r="AR41" s="2402"/>
      <c r="AS41" s="2402"/>
      <c r="AT41" s="2402"/>
      <c r="AU41" s="2403">
        <f t="shared" si="3"/>
        <v>0</v>
      </c>
      <c r="AV41" s="2403"/>
      <c r="AW41" s="2403"/>
      <c r="AX41" s="2403"/>
      <c r="AY41" s="2403"/>
      <c r="AZ41" s="2404"/>
      <c r="BA41" s="1207"/>
      <c r="BB41" s="1207"/>
      <c r="BC41" s="1207"/>
      <c r="BD41" s="1207"/>
      <c r="BE41" s="1213"/>
    </row>
    <row r="42" spans="1:58" ht="15.75" customHeight="1">
      <c r="A42" s="1207"/>
      <c r="B42" s="2348" t="s">
        <v>1879</v>
      </c>
      <c r="C42" s="2349"/>
      <c r="D42" s="2349"/>
      <c r="E42" s="2349"/>
      <c r="F42" s="2349"/>
      <c r="G42" s="2349"/>
      <c r="H42" s="2349"/>
      <c r="I42" s="2349"/>
      <c r="J42" s="2408"/>
      <c r="K42" s="2408"/>
      <c r="L42" s="2408"/>
      <c r="M42" s="2408"/>
      <c r="N42" s="2408"/>
      <c r="O42" s="2408"/>
      <c r="P42" s="2408"/>
      <c r="Q42" s="2408"/>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2">
        <f t="shared" si="2"/>
        <v>0</v>
      </c>
      <c r="AP42" s="2402"/>
      <c r="AQ42" s="2402"/>
      <c r="AR42" s="2402"/>
      <c r="AS42" s="2402"/>
      <c r="AT42" s="2402"/>
      <c r="AU42" s="2403">
        <f t="shared" si="3"/>
        <v>0</v>
      </c>
      <c r="AV42" s="2403"/>
      <c r="AW42" s="2403"/>
      <c r="AX42" s="2403"/>
      <c r="AY42" s="2403"/>
      <c r="AZ42" s="2404"/>
      <c r="BA42" s="1207"/>
      <c r="BB42" s="1207"/>
      <c r="BC42" s="1207"/>
      <c r="BD42" s="1207"/>
      <c r="BE42" s="1213"/>
    </row>
    <row r="43" spans="1:58" ht="15.75" customHeight="1">
      <c r="A43" s="1207"/>
      <c r="B43" s="2353" t="s">
        <v>1880</v>
      </c>
      <c r="C43" s="2354"/>
      <c r="D43" s="2354"/>
      <c r="E43" s="2354"/>
      <c r="F43" s="2354"/>
      <c r="G43" s="2354"/>
      <c r="H43" s="2354"/>
      <c r="I43" s="2354"/>
      <c r="J43" s="2408"/>
      <c r="K43" s="2408"/>
      <c r="L43" s="2408"/>
      <c r="M43" s="2408"/>
      <c r="N43" s="2408"/>
      <c r="O43" s="2408"/>
      <c r="P43" s="2408"/>
      <c r="Q43" s="2408"/>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2">
        <f t="shared" si="2"/>
        <v>0</v>
      </c>
      <c r="AP43" s="2402"/>
      <c r="AQ43" s="2402"/>
      <c r="AR43" s="2402"/>
      <c r="AS43" s="2402"/>
      <c r="AT43" s="2402"/>
      <c r="AU43" s="2403">
        <f t="shared" si="3"/>
        <v>0</v>
      </c>
      <c r="AV43" s="2403"/>
      <c r="AW43" s="2403"/>
      <c r="AX43" s="2403"/>
      <c r="AY43" s="2403"/>
      <c r="AZ43" s="2404"/>
      <c r="BA43" s="1207"/>
      <c r="BB43" s="1207"/>
      <c r="BC43" s="1207"/>
      <c r="BD43" s="1207"/>
      <c r="BE43" s="1213"/>
    </row>
    <row r="44" spans="1:58" ht="15.75" customHeight="1">
      <c r="A44" s="1207"/>
      <c r="B44" s="2353" t="s">
        <v>1881</v>
      </c>
      <c r="C44" s="2354"/>
      <c r="D44" s="2354"/>
      <c r="E44" s="2354"/>
      <c r="F44" s="2354"/>
      <c r="G44" s="2354"/>
      <c r="H44" s="2354"/>
      <c r="I44" s="2354"/>
      <c r="J44" s="2408"/>
      <c r="K44" s="2408"/>
      <c r="L44" s="2408"/>
      <c r="M44" s="2408"/>
      <c r="N44" s="2408"/>
      <c r="O44" s="2408"/>
      <c r="P44" s="2408"/>
      <c r="Q44" s="2408"/>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2">
        <f t="shared" si="2"/>
        <v>0</v>
      </c>
      <c r="AP44" s="2402"/>
      <c r="AQ44" s="2402"/>
      <c r="AR44" s="2402"/>
      <c r="AS44" s="2402"/>
      <c r="AT44" s="2402"/>
      <c r="AU44" s="2403">
        <f t="shared" si="3"/>
        <v>0</v>
      </c>
      <c r="AV44" s="2403"/>
      <c r="AW44" s="2403"/>
      <c r="AX44" s="2403"/>
      <c r="AY44" s="2403"/>
      <c r="AZ44" s="2404"/>
      <c r="BA44" s="1207"/>
      <c r="BB44" s="1207"/>
      <c r="BC44" s="1207"/>
      <c r="BD44" s="1207"/>
      <c r="BE44" s="1213"/>
    </row>
    <row r="45" spans="1:58" ht="15.75" customHeight="1">
      <c r="A45" s="1207"/>
      <c r="B45" s="2353" t="s">
        <v>1882</v>
      </c>
      <c r="C45" s="2354"/>
      <c r="D45" s="2354"/>
      <c r="E45" s="2354"/>
      <c r="F45" s="2354"/>
      <c r="G45" s="2354"/>
      <c r="H45" s="2354"/>
      <c r="I45" s="2354"/>
      <c r="J45" s="2408"/>
      <c r="K45" s="2408"/>
      <c r="L45" s="2408"/>
      <c r="M45" s="2408"/>
      <c r="N45" s="2408"/>
      <c r="O45" s="2408"/>
      <c r="P45" s="2408"/>
      <c r="Q45" s="2408"/>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2">
        <f t="shared" si="2"/>
        <v>0</v>
      </c>
      <c r="AP45" s="2402"/>
      <c r="AQ45" s="2402"/>
      <c r="AR45" s="2402"/>
      <c r="AS45" s="2402"/>
      <c r="AT45" s="2402"/>
      <c r="AU45" s="2403">
        <f t="shared" si="3"/>
        <v>0</v>
      </c>
      <c r="AV45" s="2403"/>
      <c r="AW45" s="2403"/>
      <c r="AX45" s="2403"/>
      <c r="AY45" s="2403"/>
      <c r="AZ45" s="2404"/>
      <c r="BA45" s="1207"/>
      <c r="BB45" s="1207"/>
      <c r="BC45" s="1207"/>
      <c r="BD45" s="1207"/>
      <c r="BE45" s="1213"/>
    </row>
    <row r="46" spans="1:58" ht="15.75" customHeight="1">
      <c r="A46" s="1207"/>
      <c r="B46" s="2353" t="s">
        <v>1883</v>
      </c>
      <c r="C46" s="2354"/>
      <c r="D46" s="2354"/>
      <c r="E46" s="2354"/>
      <c r="F46" s="2354"/>
      <c r="G46" s="2354"/>
      <c r="H46" s="2354"/>
      <c r="I46" s="2354"/>
      <c r="J46" s="2408"/>
      <c r="K46" s="2408"/>
      <c r="L46" s="2408"/>
      <c r="M46" s="2408"/>
      <c r="N46" s="2408">
        <v>99</v>
      </c>
      <c r="O46" s="2408"/>
      <c r="P46" s="2408"/>
      <c r="Q46" s="2408"/>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2">
        <f t="shared" si="2"/>
        <v>0</v>
      </c>
      <c r="AP46" s="2402"/>
      <c r="AQ46" s="2402"/>
      <c r="AR46" s="2402"/>
      <c r="AS46" s="2402"/>
      <c r="AT46" s="2402"/>
      <c r="AU46" s="2403">
        <f t="shared" si="3"/>
        <v>0</v>
      </c>
      <c r="AV46" s="2403"/>
      <c r="AW46" s="2403"/>
      <c r="AX46" s="2403"/>
      <c r="AY46" s="2403"/>
      <c r="AZ46" s="2404"/>
      <c r="BA46" s="1207"/>
      <c r="BB46" s="1207"/>
      <c r="BC46" s="1207"/>
      <c r="BD46" s="1207"/>
      <c r="BE46" s="1213"/>
    </row>
    <row r="47" spans="1:58" ht="15.75" customHeight="1" thickBot="1">
      <c r="A47" s="1207"/>
      <c r="B47" s="2405" t="s">
        <v>302</v>
      </c>
      <c r="C47" s="2406"/>
      <c r="D47" s="2406"/>
      <c r="E47" s="2406"/>
      <c r="F47" s="2406"/>
      <c r="G47" s="2406"/>
      <c r="H47" s="2406"/>
      <c r="I47" s="2406"/>
      <c r="J47" s="2407"/>
      <c r="K47" s="2407"/>
      <c r="L47" s="2407"/>
      <c r="M47" s="2407"/>
      <c r="N47" s="2407"/>
      <c r="O47" s="2407"/>
      <c r="P47" s="2407"/>
      <c r="Q47" s="240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8">
        <f t="shared" si="2"/>
        <v>0</v>
      </c>
      <c r="AP47" s="2398"/>
      <c r="AQ47" s="2398"/>
      <c r="AR47" s="2398"/>
      <c r="AS47" s="2398"/>
      <c r="AT47" s="2398"/>
      <c r="AU47" s="2399">
        <f t="shared" si="3"/>
        <v>0</v>
      </c>
      <c r="AV47" s="2399"/>
      <c r="AW47" s="2399"/>
      <c r="AX47" s="2399"/>
      <c r="AY47" s="2399"/>
      <c r="AZ47" s="2400"/>
      <c r="BA47" s="1207"/>
      <c r="BB47" s="1207"/>
      <c r="BC47" s="1207"/>
      <c r="BD47" s="1207"/>
      <c r="BE47" s="1213"/>
    </row>
    <row r="48" spans="1:58" ht="15.75" customHeight="1">
      <c r="A48" s="1207"/>
      <c r="B48" s="1215" t="s">
        <v>2581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93" t="s">
        <v>1884</v>
      </c>
      <c r="C50" s="2259"/>
      <c r="D50" s="2259"/>
      <c r="E50" s="2259"/>
      <c r="F50" s="2259"/>
      <c r="G50" s="2259"/>
      <c r="H50" s="2259"/>
      <c r="I50" s="2259"/>
      <c r="J50" s="2259"/>
      <c r="K50" s="2259"/>
      <c r="L50" s="2259"/>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6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38" t="s">
        <v>1885</v>
      </c>
      <c r="C51" s="2327"/>
      <c r="D51" s="2327"/>
      <c r="E51" s="2327"/>
      <c r="F51" s="2327"/>
      <c r="G51" s="2327"/>
      <c r="H51" s="2327"/>
      <c r="I51" s="2327"/>
      <c r="J51" s="2327" t="s">
        <v>2582</v>
      </c>
      <c r="K51" s="2327"/>
      <c r="L51" s="2327"/>
      <c r="M51" s="2327"/>
      <c r="N51" s="2327"/>
      <c r="O51" s="2327"/>
      <c r="P51" s="2327"/>
      <c r="Q51" s="2327"/>
      <c r="R51" s="2395" t="s">
        <v>2583</v>
      </c>
      <c r="S51" s="2395"/>
      <c r="T51" s="2395"/>
      <c r="U51" s="2395"/>
      <c r="V51" s="2395"/>
      <c r="W51" s="2395"/>
      <c r="X51" s="2395"/>
      <c r="Y51" s="2395"/>
      <c r="Z51" s="2395" t="s">
        <v>1886</v>
      </c>
      <c r="AA51" s="2395"/>
      <c r="AB51" s="2395"/>
      <c r="AC51" s="2395"/>
      <c r="AD51" s="2395"/>
      <c r="AE51" s="2395"/>
      <c r="AF51" s="2395"/>
      <c r="AG51" s="2395"/>
      <c r="AH51" s="2395" t="s">
        <v>1887</v>
      </c>
      <c r="AI51" s="2395"/>
      <c r="AJ51" s="2395"/>
      <c r="AK51" s="2395"/>
      <c r="AL51" s="2395"/>
      <c r="AM51" s="2395"/>
      <c r="AN51" s="2395"/>
      <c r="AO51" s="239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53" t="s">
        <v>2260</v>
      </c>
      <c r="C52" s="2354"/>
      <c r="D52" s="2354"/>
      <c r="E52" s="2354"/>
      <c r="F52" s="2354"/>
      <c r="G52" s="2354"/>
      <c r="H52" s="2354"/>
      <c r="I52" s="2354"/>
      <c r="J52" s="2218">
        <v>0</v>
      </c>
      <c r="K52" s="2218"/>
      <c r="L52" s="2218"/>
      <c r="M52" s="2218"/>
      <c r="N52" s="2218"/>
      <c r="O52" s="2218"/>
      <c r="P52" s="2218"/>
      <c r="Q52" s="2218"/>
      <c r="R52" s="2387">
        <v>0</v>
      </c>
      <c r="S52" s="2387"/>
      <c r="T52" s="2387"/>
      <c r="U52" s="2387"/>
      <c r="V52" s="2387"/>
      <c r="W52" s="2387"/>
      <c r="X52" s="2387"/>
      <c r="Y52" s="2387"/>
      <c r="Z52" s="2388">
        <v>0</v>
      </c>
      <c r="AA52" s="2388"/>
      <c r="AB52" s="2388"/>
      <c r="AC52" s="2388"/>
      <c r="AD52" s="2388"/>
      <c r="AE52" s="2388"/>
      <c r="AF52" s="2388"/>
      <c r="AG52" s="2388"/>
      <c r="AH52" s="2389"/>
      <c r="AI52" s="2389"/>
      <c r="AJ52" s="2389"/>
      <c r="AK52" s="2389"/>
      <c r="AL52" s="2389"/>
      <c r="AM52" s="2389"/>
      <c r="AN52" s="2389"/>
      <c r="AO52" s="239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53" t="s">
        <v>2261</v>
      </c>
      <c r="C53" s="2354"/>
      <c r="D53" s="2354"/>
      <c r="E53" s="2354"/>
      <c r="F53" s="2354"/>
      <c r="G53" s="2354"/>
      <c r="H53" s="2354"/>
      <c r="I53" s="2354"/>
      <c r="J53" s="2218">
        <v>0</v>
      </c>
      <c r="K53" s="2218"/>
      <c r="L53" s="2218"/>
      <c r="M53" s="2218"/>
      <c r="N53" s="2218"/>
      <c r="O53" s="2218"/>
      <c r="P53" s="2218"/>
      <c r="Q53" s="2218"/>
      <c r="R53" s="2387">
        <v>0</v>
      </c>
      <c r="S53" s="2387"/>
      <c r="T53" s="2387"/>
      <c r="U53" s="2387"/>
      <c r="V53" s="2387"/>
      <c r="W53" s="2387"/>
      <c r="X53" s="2387"/>
      <c r="Y53" s="2387"/>
      <c r="Z53" s="2388">
        <v>0</v>
      </c>
      <c r="AA53" s="2388"/>
      <c r="AB53" s="2388"/>
      <c r="AC53" s="2388"/>
      <c r="AD53" s="2388"/>
      <c r="AE53" s="2388"/>
      <c r="AF53" s="2388"/>
      <c r="AG53" s="2388"/>
      <c r="AH53" s="2389"/>
      <c r="AI53" s="2389"/>
      <c r="AJ53" s="2389"/>
      <c r="AK53" s="2389"/>
      <c r="AL53" s="2389"/>
      <c r="AM53" s="2389"/>
      <c r="AN53" s="2389"/>
      <c r="AO53" s="239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53"/>
      <c r="C54" s="2354"/>
      <c r="D54" s="2354"/>
      <c r="E54" s="2354"/>
      <c r="F54" s="2354"/>
      <c r="G54" s="2354"/>
      <c r="H54" s="2354"/>
      <c r="I54" s="2354"/>
      <c r="J54" s="2218"/>
      <c r="K54" s="2218"/>
      <c r="L54" s="2218"/>
      <c r="M54" s="2218"/>
      <c r="N54" s="2218"/>
      <c r="O54" s="2218"/>
      <c r="P54" s="2218"/>
      <c r="Q54" s="2218"/>
      <c r="R54" s="2387"/>
      <c r="S54" s="2387"/>
      <c r="T54" s="2387"/>
      <c r="U54" s="2387"/>
      <c r="V54" s="2387"/>
      <c r="W54" s="2387"/>
      <c r="X54" s="2387"/>
      <c r="Y54" s="2387"/>
      <c r="Z54" s="2388"/>
      <c r="AA54" s="2388"/>
      <c r="AB54" s="2388"/>
      <c r="AC54" s="2388"/>
      <c r="AD54" s="2388"/>
      <c r="AE54" s="2388"/>
      <c r="AF54" s="2388"/>
      <c r="AG54" s="2388"/>
      <c r="AH54" s="2389"/>
      <c r="AI54" s="2389"/>
      <c r="AJ54" s="2389"/>
      <c r="AK54" s="2389"/>
      <c r="AL54" s="2389"/>
      <c r="AM54" s="2389"/>
      <c r="AN54" s="2389"/>
      <c r="AO54" s="239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53"/>
      <c r="C55" s="2354"/>
      <c r="D55" s="2354"/>
      <c r="E55" s="2354"/>
      <c r="F55" s="2354"/>
      <c r="G55" s="2354"/>
      <c r="H55" s="2354"/>
      <c r="I55" s="2354"/>
      <c r="J55" s="2218"/>
      <c r="K55" s="2218"/>
      <c r="L55" s="2218"/>
      <c r="M55" s="2218"/>
      <c r="N55" s="2218"/>
      <c r="O55" s="2218"/>
      <c r="P55" s="2218"/>
      <c r="Q55" s="2218"/>
      <c r="R55" s="2387"/>
      <c r="S55" s="2387"/>
      <c r="T55" s="2387"/>
      <c r="U55" s="2387"/>
      <c r="V55" s="2387"/>
      <c r="W55" s="2387"/>
      <c r="X55" s="2387"/>
      <c r="Y55" s="2387"/>
      <c r="Z55" s="2388"/>
      <c r="AA55" s="2388"/>
      <c r="AB55" s="2388"/>
      <c r="AC55" s="2388"/>
      <c r="AD55" s="2388"/>
      <c r="AE55" s="2388"/>
      <c r="AF55" s="2388"/>
      <c r="AG55" s="2388"/>
      <c r="AH55" s="2389"/>
      <c r="AI55" s="2389"/>
      <c r="AJ55" s="2389"/>
      <c r="AK55" s="2389"/>
      <c r="AL55" s="2389"/>
      <c r="AM55" s="2389"/>
      <c r="AN55" s="2389"/>
      <c r="AO55" s="2390"/>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53"/>
      <c r="C56" s="2354"/>
      <c r="D56" s="2354"/>
      <c r="E56" s="2354"/>
      <c r="F56" s="2354"/>
      <c r="G56" s="2354"/>
      <c r="H56" s="2354"/>
      <c r="I56" s="2354"/>
      <c r="J56" s="2218"/>
      <c r="K56" s="2218"/>
      <c r="L56" s="2218"/>
      <c r="M56" s="2218"/>
      <c r="N56" s="2218"/>
      <c r="O56" s="2218"/>
      <c r="P56" s="2218"/>
      <c r="Q56" s="2218"/>
      <c r="R56" s="2387"/>
      <c r="S56" s="2387"/>
      <c r="T56" s="2387"/>
      <c r="U56" s="2387"/>
      <c r="V56" s="2387"/>
      <c r="W56" s="2387"/>
      <c r="X56" s="2387"/>
      <c r="Y56" s="2387"/>
      <c r="Z56" s="2388"/>
      <c r="AA56" s="2388"/>
      <c r="AB56" s="2388"/>
      <c r="AC56" s="2388"/>
      <c r="AD56" s="2388"/>
      <c r="AE56" s="2388"/>
      <c r="AF56" s="2388"/>
      <c r="AG56" s="2388"/>
      <c r="AH56" s="2389"/>
      <c r="AI56" s="2389"/>
      <c r="AJ56" s="2389"/>
      <c r="AK56" s="2389"/>
      <c r="AL56" s="2389"/>
      <c r="AM56" s="2389"/>
      <c r="AN56" s="2389"/>
      <c r="AO56" s="239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36" t="s">
        <v>1764</v>
      </c>
      <c r="C57" s="2337"/>
      <c r="D57" s="2337"/>
      <c r="E57" s="2337"/>
      <c r="F57" s="2337"/>
      <c r="G57" s="2337"/>
      <c r="H57" s="2337"/>
      <c r="I57" s="2337"/>
      <c r="J57" s="2337"/>
      <c r="K57" s="2337"/>
      <c r="L57" s="2337"/>
      <c r="M57" s="2337"/>
      <c r="N57" s="2337"/>
      <c r="O57" s="2337"/>
      <c r="P57" s="2337"/>
      <c r="Q57" s="2337"/>
      <c r="R57" s="2391">
        <f>SUM(R52:Y56)</f>
        <v>0</v>
      </c>
      <c r="S57" s="2391"/>
      <c r="T57" s="2391"/>
      <c r="U57" s="2391"/>
      <c r="V57" s="2391"/>
      <c r="W57" s="2391"/>
      <c r="X57" s="2391"/>
      <c r="Y57" s="2391"/>
      <c r="Z57" s="2392">
        <f>SUM(Z52:AG56)</f>
        <v>0</v>
      </c>
      <c r="AA57" s="2392"/>
      <c r="AB57" s="2392"/>
      <c r="AC57" s="2392"/>
      <c r="AD57" s="2392"/>
      <c r="AE57" s="2392"/>
      <c r="AF57" s="2392"/>
      <c r="AG57" s="2392"/>
      <c r="AH57" s="2393"/>
      <c r="AI57" s="2393"/>
      <c r="AJ57" s="2393"/>
      <c r="AK57" s="2393"/>
      <c r="AL57" s="2393"/>
      <c r="AM57" s="2393"/>
      <c r="AN57" s="2393"/>
      <c r="AO57" s="239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84" t="s">
        <v>1885</v>
      </c>
      <c r="C59" s="2385"/>
      <c r="D59" s="2385"/>
      <c r="E59" s="2385"/>
      <c r="F59" s="2385"/>
      <c r="G59" s="2385"/>
      <c r="H59" s="2385"/>
      <c r="I59" s="2386"/>
      <c r="J59" s="2316" t="s">
        <v>2584</v>
      </c>
      <c r="K59" s="2316"/>
      <c r="L59" s="2316"/>
      <c r="M59" s="2316"/>
      <c r="N59" s="2316"/>
      <c r="O59" s="2316"/>
      <c r="P59" s="2316"/>
      <c r="Q59" s="2316"/>
      <c r="R59" s="2316"/>
      <c r="S59" s="2316"/>
      <c r="T59" s="2316"/>
      <c r="U59" s="2316"/>
      <c r="V59" s="2316"/>
      <c r="W59" s="2316"/>
      <c r="X59" s="2316"/>
      <c r="Y59" s="2316"/>
      <c r="Z59" s="2316"/>
      <c r="AA59" s="2316"/>
      <c r="AB59" s="2316"/>
      <c r="AC59" s="2316"/>
      <c r="AD59" s="2316"/>
      <c r="AE59" s="2316"/>
      <c r="AF59" s="2316"/>
      <c r="AG59" s="2316"/>
      <c r="AH59" s="2316"/>
      <c r="AI59" s="2316"/>
      <c r="AJ59" s="2316"/>
      <c r="AK59" s="2316"/>
      <c r="AL59" s="2316"/>
      <c r="AM59" s="2316"/>
      <c r="AN59" s="2316"/>
      <c r="AO59" s="2316"/>
      <c r="AP59" s="2316"/>
      <c r="AQ59" s="2316"/>
      <c r="AR59" s="2316"/>
      <c r="AS59" s="2316"/>
      <c r="AT59" s="2316"/>
      <c r="AU59" s="2316"/>
      <c r="AV59" s="2316"/>
      <c r="AW59" s="2317"/>
      <c r="AX59" s="1207"/>
      <c r="AY59" s="1207"/>
      <c r="AZ59" s="1207"/>
      <c r="BA59" s="1207"/>
      <c r="BB59" s="1207"/>
      <c r="BC59" s="1207"/>
      <c r="BD59" s="1207"/>
      <c r="BE59" s="1213"/>
    </row>
    <row r="60" spans="1:58" ht="15.75" customHeight="1">
      <c r="A60" s="1207"/>
      <c r="B60" s="2376" t="str">
        <f>IF(B52="", "", B52)</f>
        <v>Services Company 1</v>
      </c>
      <c r="C60" s="2377"/>
      <c r="D60" s="2377"/>
      <c r="E60" s="2377"/>
      <c r="F60" s="2377"/>
      <c r="G60" s="2377"/>
      <c r="H60" s="2377"/>
      <c r="I60" s="2378"/>
      <c r="J60" s="2379"/>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c r="AS60" s="2221"/>
      <c r="AT60" s="2221"/>
      <c r="AU60" s="2221"/>
      <c r="AV60" s="2221"/>
      <c r="AW60" s="2222"/>
      <c r="AX60" s="1207"/>
      <c r="AY60" s="1207"/>
      <c r="AZ60" s="1207"/>
      <c r="BA60" s="1207"/>
      <c r="BB60" s="1207"/>
      <c r="BC60" s="1207"/>
      <c r="BD60" s="1207"/>
      <c r="BE60" s="1213"/>
    </row>
    <row r="61" spans="1:58" ht="15.75" customHeight="1">
      <c r="A61" s="1207"/>
      <c r="B61" s="2376" t="str">
        <f>IF(B53="", "", B53)</f>
        <v>Services Company 2</v>
      </c>
      <c r="C61" s="2377"/>
      <c r="D61" s="2377"/>
      <c r="E61" s="2377"/>
      <c r="F61" s="2377"/>
      <c r="G61" s="2377"/>
      <c r="H61" s="2377"/>
      <c r="I61" s="2378"/>
      <c r="J61" s="2379"/>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c r="AS61" s="2221"/>
      <c r="AT61" s="2221"/>
      <c r="AU61" s="2221"/>
      <c r="AV61" s="2221"/>
      <c r="AW61" s="2222"/>
      <c r="AX61" s="1207"/>
      <c r="AY61" s="1207"/>
      <c r="AZ61" s="1207"/>
      <c r="BA61" s="1207"/>
      <c r="BB61" s="1207"/>
      <c r="BC61" s="1207"/>
      <c r="BD61" s="1207"/>
      <c r="BE61" s="1213"/>
    </row>
    <row r="62" spans="1:58" ht="15.75" customHeight="1">
      <c r="A62" s="1207"/>
      <c r="B62" s="2376" t="str">
        <f>IF(B54="", "", B54)</f>
        <v/>
      </c>
      <c r="C62" s="2377"/>
      <c r="D62" s="2377"/>
      <c r="E62" s="2377"/>
      <c r="F62" s="2377"/>
      <c r="G62" s="2377"/>
      <c r="H62" s="2377"/>
      <c r="I62" s="2378"/>
      <c r="J62" s="2379"/>
      <c r="K62" s="2221"/>
      <c r="L62" s="2221"/>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c r="AS62" s="2221"/>
      <c r="AT62" s="2221"/>
      <c r="AU62" s="2221"/>
      <c r="AV62" s="2221"/>
      <c r="AW62" s="2222"/>
      <c r="AX62" s="1207"/>
      <c r="AY62" s="1207"/>
      <c r="AZ62" s="1207"/>
      <c r="BA62" s="1207"/>
      <c r="BB62" s="1207"/>
      <c r="BC62" s="1207"/>
      <c r="BD62" s="1207"/>
      <c r="BE62" s="1213"/>
    </row>
    <row r="63" spans="1:58" ht="15.75" customHeight="1">
      <c r="A63" s="1207"/>
      <c r="B63" s="2376" t="str">
        <f>IF(B55="", "", B55)</f>
        <v/>
      </c>
      <c r="C63" s="2377"/>
      <c r="D63" s="2377"/>
      <c r="E63" s="2377"/>
      <c r="F63" s="2377"/>
      <c r="G63" s="2377"/>
      <c r="H63" s="2377"/>
      <c r="I63" s="2378"/>
      <c r="J63" s="2379"/>
      <c r="K63" s="2221"/>
      <c r="L63" s="2221"/>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c r="AS63" s="2221"/>
      <c r="AT63" s="2221"/>
      <c r="AU63" s="2221"/>
      <c r="AV63" s="2221"/>
      <c r="AW63" s="2222"/>
      <c r="AX63" s="1207"/>
      <c r="AY63" s="1207"/>
      <c r="AZ63" s="1207"/>
      <c r="BA63" s="1207"/>
      <c r="BB63" s="1207"/>
      <c r="BC63" s="1207"/>
      <c r="BD63" s="1207"/>
      <c r="BE63" s="1213"/>
    </row>
    <row r="64" spans="1:58" ht="15.75" customHeight="1" thickBot="1">
      <c r="A64" s="1207"/>
      <c r="B64" s="2380" t="str">
        <f>IF(B56="", "", B56)</f>
        <v/>
      </c>
      <c r="C64" s="2381"/>
      <c r="D64" s="2381"/>
      <c r="E64" s="2381"/>
      <c r="F64" s="2381"/>
      <c r="G64" s="2381"/>
      <c r="H64" s="2381"/>
      <c r="I64" s="2382"/>
      <c r="J64" s="2383"/>
      <c r="K64" s="2363"/>
      <c r="L64" s="2363"/>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2363"/>
      <c r="AM64" s="2363"/>
      <c r="AN64" s="2363"/>
      <c r="AO64" s="2363"/>
      <c r="AP64" s="2363"/>
      <c r="AQ64" s="2363"/>
      <c r="AR64" s="2363"/>
      <c r="AS64" s="2363"/>
      <c r="AT64" s="2363"/>
      <c r="AU64" s="2363"/>
      <c r="AV64" s="2363"/>
      <c r="AW64" s="236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15" t="s">
        <v>1889</v>
      </c>
      <c r="C68" s="2316"/>
      <c r="D68" s="2316"/>
      <c r="E68" s="2316"/>
      <c r="F68" s="2316"/>
      <c r="G68" s="2316"/>
      <c r="H68" s="2316"/>
      <c r="I68" s="2316"/>
      <c r="J68" s="2316"/>
      <c r="K68" s="2316"/>
      <c r="L68" s="2316"/>
      <c r="M68" s="2316"/>
      <c r="N68" s="2316"/>
      <c r="O68" s="2316"/>
      <c r="P68" s="2316"/>
      <c r="Q68" s="2316"/>
      <c r="R68" s="2316"/>
      <c r="S68" s="2316"/>
      <c r="T68" s="2316"/>
      <c r="U68" s="2316"/>
      <c r="V68" s="2316"/>
      <c r="W68" s="2316"/>
      <c r="X68" s="2316"/>
      <c r="Y68" s="2316"/>
      <c r="Z68" s="2316"/>
      <c r="AA68" s="2317"/>
      <c r="AB68" s="1207"/>
      <c r="AC68" s="2257" t="s">
        <v>1890</v>
      </c>
      <c r="AD68" s="2258"/>
      <c r="AE68" s="2258"/>
      <c r="AF68" s="2258"/>
      <c r="AG68" s="2258"/>
      <c r="AH68" s="2258"/>
      <c r="AI68" s="2258"/>
      <c r="AJ68" s="2258"/>
      <c r="AK68" s="2258"/>
      <c r="AL68" s="2258"/>
      <c r="AM68" s="2258"/>
      <c r="AN68" s="2258"/>
      <c r="AO68" s="2258"/>
      <c r="AP68" s="2258"/>
      <c r="AQ68" s="2258"/>
      <c r="AR68" s="2258"/>
      <c r="AS68" s="2258"/>
      <c r="AT68" s="2258"/>
      <c r="AU68" s="2258"/>
      <c r="AV68" s="2365" t="s">
        <v>679</v>
      </c>
      <c r="AW68" s="2301"/>
      <c r="AX68" s="2301"/>
      <c r="AY68" s="2301"/>
      <c r="AZ68" s="2301"/>
      <c r="BA68" s="2301"/>
      <c r="BB68" s="2301"/>
      <c r="BC68" s="2302"/>
      <c r="BD68" s="1207"/>
      <c r="BE68" s="1213"/>
      <c r="BM68" s="1218" t="s">
        <v>2585</v>
      </c>
    </row>
    <row r="69" spans="1:65" ht="15.75" customHeight="1" thickTop="1" thickBot="1">
      <c r="A69" s="1207"/>
      <c r="B69" s="2366" t="s">
        <v>1891</v>
      </c>
      <c r="C69" s="2367"/>
      <c r="D69" s="2367"/>
      <c r="E69" s="2367"/>
      <c r="F69" s="2367"/>
      <c r="G69" s="2367"/>
      <c r="H69" s="2367"/>
      <c r="I69" s="2367"/>
      <c r="J69" s="2367"/>
      <c r="K69" s="2367"/>
      <c r="L69" s="2367"/>
      <c r="M69" s="2367"/>
      <c r="N69" s="2367"/>
      <c r="O69" s="2368" t="s">
        <v>1892</v>
      </c>
      <c r="P69" s="2369"/>
      <c r="Q69" s="2369"/>
      <c r="R69" s="2369"/>
      <c r="S69" s="2369"/>
      <c r="T69" s="2369"/>
      <c r="U69" s="2369"/>
      <c r="V69" s="2369"/>
      <c r="W69" s="2369"/>
      <c r="X69" s="2369"/>
      <c r="Y69" s="2369"/>
      <c r="Z69" s="2369"/>
      <c r="AA69" s="2370"/>
      <c r="AB69" s="1207"/>
      <c r="AC69" s="2371" t="s">
        <v>1893</v>
      </c>
      <c r="AD69" s="2372"/>
      <c r="AE69" s="2372"/>
      <c r="AF69" s="2372"/>
      <c r="AG69" s="2372"/>
      <c r="AH69" s="2372"/>
      <c r="AI69" s="2372"/>
      <c r="AJ69" s="2372"/>
      <c r="AK69" s="2372"/>
      <c r="AL69" s="2372"/>
      <c r="AM69" s="2372"/>
      <c r="AN69" s="2372"/>
      <c r="AO69" s="2372"/>
      <c r="AP69" s="2372"/>
      <c r="AQ69" s="2372"/>
      <c r="AR69" s="2372"/>
      <c r="AS69" s="2372"/>
      <c r="AT69" s="2372"/>
      <c r="AU69" s="2372"/>
      <c r="AV69" s="2373"/>
      <c r="AW69" s="2374"/>
      <c r="AX69" s="2374"/>
      <c r="AY69" s="2374"/>
      <c r="AZ69" s="2374"/>
      <c r="BA69" s="2374"/>
      <c r="BB69" s="2374"/>
      <c r="BC69" s="2375"/>
      <c r="BD69" s="1207"/>
      <c r="BE69" s="1213"/>
      <c r="BM69" s="1219" t="s">
        <v>555</v>
      </c>
    </row>
    <row r="70" spans="1:65" ht="15.75" customHeight="1">
      <c r="A70" s="1207"/>
      <c r="B70" s="2348" t="s">
        <v>2586</v>
      </c>
      <c r="C70" s="2349"/>
      <c r="D70" s="2349"/>
      <c r="E70" s="2349"/>
      <c r="F70" s="2349"/>
      <c r="G70" s="2349"/>
      <c r="H70" s="2349"/>
      <c r="I70" s="2349"/>
      <c r="J70" s="2349"/>
      <c r="K70" s="2349"/>
      <c r="L70" s="2349"/>
      <c r="M70" s="2349"/>
      <c r="N70" s="2349"/>
      <c r="O70" s="2251">
        <v>0</v>
      </c>
      <c r="P70" s="2251"/>
      <c r="Q70" s="2251"/>
      <c r="R70" s="2251"/>
      <c r="S70" s="2251"/>
      <c r="T70" s="2251"/>
      <c r="U70" s="2251"/>
      <c r="V70" s="2251"/>
      <c r="W70" s="2251"/>
      <c r="X70" s="2251"/>
      <c r="Y70" s="2251"/>
      <c r="Z70" s="2251"/>
      <c r="AA70" s="2350"/>
      <c r="AB70" s="1207"/>
      <c r="AC70" s="2293" t="s">
        <v>1894</v>
      </c>
      <c r="AD70" s="2259"/>
      <c r="AE70" s="2259"/>
      <c r="AF70" s="2359"/>
      <c r="AG70" s="2359"/>
      <c r="AH70" s="2359"/>
      <c r="AI70" s="2359"/>
      <c r="AJ70" s="2359"/>
      <c r="AK70" s="2359"/>
      <c r="AL70" s="2359"/>
      <c r="AM70" s="2359"/>
      <c r="AN70" s="2359"/>
      <c r="AO70" s="2359"/>
      <c r="AP70" s="2359"/>
      <c r="AQ70" s="2359"/>
      <c r="AR70" s="2359"/>
      <c r="AS70" s="2359"/>
      <c r="AT70" s="2359"/>
      <c r="AU70" s="2360"/>
      <c r="AV70" s="1207"/>
      <c r="AW70" s="1207"/>
      <c r="AX70" s="1207"/>
      <c r="AY70" s="1207"/>
      <c r="AZ70" s="1207"/>
      <c r="BA70" s="1207"/>
      <c r="BB70" s="1207"/>
      <c r="BC70" s="1207"/>
      <c r="BD70" s="1207"/>
      <c r="BE70" s="1213"/>
      <c r="BM70" s="1220" t="s">
        <v>679</v>
      </c>
    </row>
    <row r="71" spans="1:65" ht="15.75" customHeight="1" thickBot="1">
      <c r="A71" s="1207"/>
      <c r="B71" s="2348" t="s">
        <v>2587</v>
      </c>
      <c r="C71" s="2349"/>
      <c r="D71" s="2349"/>
      <c r="E71" s="2349"/>
      <c r="F71" s="2349"/>
      <c r="G71" s="2349"/>
      <c r="H71" s="2349"/>
      <c r="I71" s="2349"/>
      <c r="J71" s="2349"/>
      <c r="K71" s="2349"/>
      <c r="L71" s="2349"/>
      <c r="M71" s="2349"/>
      <c r="N71" s="2349"/>
      <c r="O71" s="2251">
        <v>0</v>
      </c>
      <c r="P71" s="2251"/>
      <c r="Q71" s="2251"/>
      <c r="R71" s="2251"/>
      <c r="S71" s="2251"/>
      <c r="T71" s="2251"/>
      <c r="U71" s="2251"/>
      <c r="V71" s="2251"/>
      <c r="W71" s="2251"/>
      <c r="X71" s="2251"/>
      <c r="Y71" s="2251"/>
      <c r="Z71" s="2251"/>
      <c r="AA71" s="2350"/>
      <c r="AB71" s="1207"/>
      <c r="AC71" s="2361" t="s">
        <v>1895</v>
      </c>
      <c r="AD71" s="2362"/>
      <c r="AE71" s="2362"/>
      <c r="AF71" s="2363"/>
      <c r="AG71" s="2363"/>
      <c r="AH71" s="2363"/>
      <c r="AI71" s="2363"/>
      <c r="AJ71" s="2363"/>
      <c r="AK71" s="2363"/>
      <c r="AL71" s="2363"/>
      <c r="AM71" s="2363"/>
      <c r="AN71" s="2363"/>
      <c r="AO71" s="2363"/>
      <c r="AP71" s="2363"/>
      <c r="AQ71" s="2363"/>
      <c r="AR71" s="2363"/>
      <c r="AS71" s="2363"/>
      <c r="AT71" s="2363"/>
      <c r="AU71" s="2364"/>
      <c r="AV71" s="1207"/>
      <c r="AW71" s="1207"/>
      <c r="AX71" s="1207"/>
      <c r="AY71" s="1207"/>
      <c r="AZ71" s="1207"/>
      <c r="BA71" s="1207"/>
      <c r="BB71" s="1207"/>
      <c r="BC71" s="1207"/>
      <c r="BD71" s="1207"/>
      <c r="BE71" s="1213"/>
      <c r="BM71" s="1204" t="s">
        <v>2588</v>
      </c>
    </row>
    <row r="72" spans="1:65" ht="15.75" customHeight="1">
      <c r="A72" s="1207"/>
      <c r="B72" s="2348" t="s">
        <v>2589</v>
      </c>
      <c r="C72" s="2349"/>
      <c r="D72" s="2349"/>
      <c r="E72" s="2349"/>
      <c r="F72" s="2349"/>
      <c r="G72" s="2349"/>
      <c r="H72" s="2349"/>
      <c r="I72" s="2349"/>
      <c r="J72" s="2349"/>
      <c r="K72" s="2349"/>
      <c r="L72" s="2349"/>
      <c r="M72" s="2349"/>
      <c r="N72" s="2349"/>
      <c r="O72" s="2251">
        <v>0</v>
      </c>
      <c r="P72" s="2251"/>
      <c r="Q72" s="2251"/>
      <c r="R72" s="2251"/>
      <c r="S72" s="2251"/>
      <c r="T72" s="2251"/>
      <c r="U72" s="2251"/>
      <c r="V72" s="2251"/>
      <c r="W72" s="2251"/>
      <c r="X72" s="2251"/>
      <c r="Y72" s="2251"/>
      <c r="Z72" s="2251"/>
      <c r="AA72" s="2350"/>
      <c r="AB72" s="1207"/>
      <c r="AC72" s="2351" t="s">
        <v>2590</v>
      </c>
      <c r="AD72" s="2352"/>
      <c r="AE72" s="2352"/>
      <c r="AF72" s="2352"/>
      <c r="AG72" s="2352"/>
      <c r="AH72" s="2352"/>
      <c r="AI72" s="2352"/>
      <c r="AJ72" s="2352"/>
      <c r="AK72" s="2352"/>
      <c r="AL72" s="2352"/>
      <c r="AM72" s="2352"/>
      <c r="AN72" s="2352"/>
      <c r="AO72" s="2352"/>
      <c r="AP72" s="2352"/>
      <c r="AQ72" s="2352"/>
      <c r="AR72" s="2352"/>
      <c r="AS72" s="2352"/>
      <c r="AT72" s="2352"/>
      <c r="AU72" s="2352"/>
      <c r="AV72" s="2259"/>
      <c r="AW72" s="2259"/>
      <c r="AX72" s="2259"/>
      <c r="AY72" s="2259"/>
      <c r="AZ72" s="2259"/>
      <c r="BA72" s="2259"/>
      <c r="BB72" s="2259"/>
      <c r="BC72" s="2260"/>
      <c r="BD72" s="1207"/>
      <c r="BE72" s="1213"/>
    </row>
    <row r="73" spans="1:65" ht="15.75" customHeight="1">
      <c r="A73" s="1207"/>
      <c r="B73" s="2353" t="s">
        <v>2591</v>
      </c>
      <c r="C73" s="2354"/>
      <c r="D73" s="2354"/>
      <c r="E73" s="2354"/>
      <c r="F73" s="2354"/>
      <c r="G73" s="2354"/>
      <c r="H73" s="2354"/>
      <c r="I73" s="2354"/>
      <c r="J73" s="2354"/>
      <c r="K73" s="2354"/>
      <c r="L73" s="2354"/>
      <c r="M73" s="2354"/>
      <c r="N73" s="2354"/>
      <c r="O73" s="2251">
        <v>0</v>
      </c>
      <c r="P73" s="2251"/>
      <c r="Q73" s="2251"/>
      <c r="R73" s="2251"/>
      <c r="S73" s="2251"/>
      <c r="T73" s="2251"/>
      <c r="U73" s="2251"/>
      <c r="V73" s="2251"/>
      <c r="W73" s="2251"/>
      <c r="X73" s="2251"/>
      <c r="Y73" s="2251"/>
      <c r="Z73" s="2251"/>
      <c r="AA73" s="2350"/>
      <c r="AB73" s="1207"/>
      <c r="AC73" s="2270" t="s">
        <v>2262</v>
      </c>
      <c r="AD73" s="2271"/>
      <c r="AE73" s="2271"/>
      <c r="AF73" s="2271"/>
      <c r="AG73" s="2271"/>
      <c r="AH73" s="2271"/>
      <c r="AI73" s="2271"/>
      <c r="AJ73" s="2271"/>
      <c r="AK73" s="2271"/>
      <c r="AL73" s="2271"/>
      <c r="AM73" s="2271"/>
      <c r="AN73" s="2271"/>
      <c r="AO73" s="2271"/>
      <c r="AP73" s="2271"/>
      <c r="AQ73" s="2271"/>
      <c r="AR73" s="2271"/>
      <c r="AS73" s="2271"/>
      <c r="AT73" s="2271"/>
      <c r="AU73" s="2271"/>
      <c r="AV73" s="2271"/>
      <c r="AW73" s="2271"/>
      <c r="AX73" s="2271"/>
      <c r="AY73" s="2271"/>
      <c r="AZ73" s="2271"/>
      <c r="BA73" s="2271"/>
      <c r="BB73" s="2271"/>
      <c r="BC73" s="2272"/>
      <c r="BD73" s="1207"/>
      <c r="BE73" s="1213"/>
    </row>
    <row r="74" spans="1:65" ht="15.75" customHeight="1">
      <c r="A74" s="1207"/>
      <c r="B74" s="2217"/>
      <c r="C74" s="2218"/>
      <c r="D74" s="2218"/>
      <c r="E74" s="2218"/>
      <c r="F74" s="2218"/>
      <c r="G74" s="2218"/>
      <c r="H74" s="2218"/>
      <c r="I74" s="2218"/>
      <c r="J74" s="2218"/>
      <c r="K74" s="2218"/>
      <c r="L74" s="2218"/>
      <c r="M74" s="2218"/>
      <c r="N74" s="2218"/>
      <c r="O74" s="2251"/>
      <c r="P74" s="2251"/>
      <c r="Q74" s="2251"/>
      <c r="R74" s="2251"/>
      <c r="S74" s="2251"/>
      <c r="T74" s="2251"/>
      <c r="U74" s="2251"/>
      <c r="V74" s="2251"/>
      <c r="W74" s="2251"/>
      <c r="X74" s="2251"/>
      <c r="Y74" s="2251"/>
      <c r="Z74" s="2251"/>
      <c r="AA74" s="2350"/>
      <c r="AB74" s="1207"/>
      <c r="AC74" s="2270"/>
      <c r="AD74" s="2271"/>
      <c r="AE74" s="2271"/>
      <c r="AF74" s="2271"/>
      <c r="AG74" s="2271"/>
      <c r="AH74" s="2271"/>
      <c r="AI74" s="2271"/>
      <c r="AJ74" s="2271"/>
      <c r="AK74" s="2271"/>
      <c r="AL74" s="2271"/>
      <c r="AM74" s="2271"/>
      <c r="AN74" s="2271"/>
      <c r="AO74" s="2271"/>
      <c r="AP74" s="2271"/>
      <c r="AQ74" s="2271"/>
      <c r="AR74" s="2271"/>
      <c r="AS74" s="2271"/>
      <c r="AT74" s="2271"/>
      <c r="AU74" s="2271"/>
      <c r="AV74" s="2271"/>
      <c r="AW74" s="2271"/>
      <c r="AX74" s="2271"/>
      <c r="AY74" s="2271"/>
      <c r="AZ74" s="2271"/>
      <c r="BA74" s="2271"/>
      <c r="BB74" s="2271"/>
      <c r="BC74" s="2272"/>
      <c r="BD74" s="1207"/>
      <c r="BE74" s="1213"/>
    </row>
    <row r="75" spans="1:65" ht="15.75" customHeight="1" thickBot="1">
      <c r="A75" s="1207"/>
      <c r="B75" s="2355" t="s">
        <v>125</v>
      </c>
      <c r="C75" s="2356"/>
      <c r="D75" s="2356"/>
      <c r="E75" s="2356"/>
      <c r="F75" s="2356"/>
      <c r="G75" s="2356"/>
      <c r="H75" s="2356"/>
      <c r="I75" s="2356"/>
      <c r="J75" s="2356"/>
      <c r="K75" s="2356"/>
      <c r="L75" s="2356"/>
      <c r="M75" s="2356"/>
      <c r="N75" s="2356"/>
      <c r="O75" s="2357">
        <f>SUM(O70:AA74)</f>
        <v>0</v>
      </c>
      <c r="P75" s="2357"/>
      <c r="Q75" s="2357"/>
      <c r="R75" s="2357"/>
      <c r="S75" s="2357"/>
      <c r="T75" s="2357"/>
      <c r="U75" s="2357"/>
      <c r="V75" s="2357"/>
      <c r="W75" s="2357"/>
      <c r="X75" s="2357"/>
      <c r="Y75" s="2357"/>
      <c r="Z75" s="2357"/>
      <c r="AA75" s="2358"/>
      <c r="AB75" s="1207"/>
      <c r="AC75" s="2270"/>
      <c r="AD75" s="2271"/>
      <c r="AE75" s="2271"/>
      <c r="AF75" s="2271"/>
      <c r="AG75" s="2271"/>
      <c r="AH75" s="2271"/>
      <c r="AI75" s="2271"/>
      <c r="AJ75" s="2271"/>
      <c r="AK75" s="2271"/>
      <c r="AL75" s="2271"/>
      <c r="AM75" s="2271"/>
      <c r="AN75" s="2271"/>
      <c r="AO75" s="2271"/>
      <c r="AP75" s="2271"/>
      <c r="AQ75" s="2271"/>
      <c r="AR75" s="2271"/>
      <c r="AS75" s="2271"/>
      <c r="AT75" s="2271"/>
      <c r="AU75" s="2271"/>
      <c r="AV75" s="2271"/>
      <c r="AW75" s="2271"/>
      <c r="AX75" s="2271"/>
      <c r="AY75" s="2271"/>
      <c r="AZ75" s="2271"/>
      <c r="BA75" s="2271"/>
      <c r="BB75" s="2271"/>
      <c r="BC75" s="227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0"/>
      <c r="AD76" s="2271"/>
      <c r="AE76" s="2271"/>
      <c r="AF76" s="2271"/>
      <c r="AG76" s="2271"/>
      <c r="AH76" s="2271"/>
      <c r="AI76" s="2271"/>
      <c r="AJ76" s="2271"/>
      <c r="AK76" s="2271"/>
      <c r="AL76" s="2271"/>
      <c r="AM76" s="2271"/>
      <c r="AN76" s="2271"/>
      <c r="AO76" s="2271"/>
      <c r="AP76" s="2271"/>
      <c r="AQ76" s="2271"/>
      <c r="AR76" s="2271"/>
      <c r="AS76" s="2271"/>
      <c r="AT76" s="2271"/>
      <c r="AU76" s="2271"/>
      <c r="AV76" s="2271"/>
      <c r="AW76" s="2271"/>
      <c r="AX76" s="2271"/>
      <c r="AY76" s="2271"/>
      <c r="AZ76" s="2271"/>
      <c r="BA76" s="2271"/>
      <c r="BB76" s="2271"/>
      <c r="BC76" s="2272"/>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73"/>
      <c r="AD77" s="2274"/>
      <c r="AE77" s="2274"/>
      <c r="AF77" s="2274"/>
      <c r="AG77" s="2274"/>
      <c r="AH77" s="2274"/>
      <c r="AI77" s="2274"/>
      <c r="AJ77" s="2274"/>
      <c r="AK77" s="2274"/>
      <c r="AL77" s="2274"/>
      <c r="AM77" s="2274"/>
      <c r="AN77" s="2274"/>
      <c r="AO77" s="2274"/>
      <c r="AP77" s="2274"/>
      <c r="AQ77" s="2274"/>
      <c r="AR77" s="2274"/>
      <c r="AS77" s="2274"/>
      <c r="AT77" s="2274"/>
      <c r="AU77" s="2274"/>
      <c r="AV77" s="2274"/>
      <c r="AW77" s="2274"/>
      <c r="AX77" s="2274"/>
      <c r="AY77" s="2274"/>
      <c r="AZ77" s="2274"/>
      <c r="BA77" s="2274"/>
      <c r="BB77" s="2274"/>
      <c r="BC77" s="227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5" t="s">
        <v>2245</v>
      </c>
      <c r="C79" s="2346"/>
      <c r="D79" s="2346"/>
      <c r="E79" s="2346"/>
      <c r="F79" s="2346"/>
      <c r="G79" s="2346"/>
      <c r="H79" s="2346"/>
      <c r="I79" s="2346"/>
      <c r="J79" s="2346"/>
      <c r="K79" s="2346"/>
      <c r="L79" s="2346"/>
      <c r="M79" s="2346"/>
      <c r="N79" s="2346"/>
      <c r="O79" s="2346"/>
      <c r="P79" s="2346"/>
      <c r="Q79" s="2346"/>
      <c r="R79" s="2346"/>
      <c r="S79" s="2346"/>
      <c r="T79" s="2346"/>
      <c r="U79" s="2346"/>
      <c r="V79" s="2346"/>
      <c r="W79" s="2346"/>
      <c r="X79" s="2346"/>
      <c r="Y79" s="2346"/>
      <c r="Z79" s="2346"/>
      <c r="AA79" s="2346"/>
      <c r="AB79" s="2346"/>
      <c r="AC79" s="2346"/>
      <c r="AD79" s="2346"/>
      <c r="AE79" s="2346"/>
      <c r="AF79" s="2346"/>
      <c r="AG79" s="2346"/>
      <c r="AH79" s="2347"/>
      <c r="AI79" s="1207"/>
      <c r="AJ79" s="2318" t="s">
        <v>2592</v>
      </c>
      <c r="AK79" s="2319"/>
      <c r="AL79" s="2319"/>
      <c r="AM79" s="2319"/>
      <c r="AN79" s="2319"/>
      <c r="AO79" s="2319"/>
      <c r="AP79" s="2319"/>
      <c r="AQ79" s="2319"/>
      <c r="AR79" s="2319"/>
      <c r="AS79" s="2319"/>
      <c r="AT79" s="2319"/>
      <c r="AU79" s="2319"/>
      <c r="AV79" s="2319"/>
      <c r="AW79" s="2319"/>
      <c r="AX79" s="2319"/>
      <c r="AY79" s="2339" t="s">
        <v>555</v>
      </c>
      <c r="AZ79" s="2339"/>
      <c r="BA79" s="2339"/>
      <c r="BB79" s="2340"/>
      <c r="BC79" s="1207"/>
      <c r="BD79" s="1207"/>
      <c r="BE79" s="1213"/>
    </row>
    <row r="80" spans="1:65" ht="15.75" customHeight="1">
      <c r="A80" s="1207"/>
      <c r="B80" s="2338"/>
      <c r="C80" s="2327"/>
      <c r="D80" s="2327"/>
      <c r="E80" s="2327"/>
      <c r="F80" s="2327"/>
      <c r="G80" s="2327"/>
      <c r="H80" s="2327"/>
      <c r="I80" s="2327" t="s">
        <v>1897</v>
      </c>
      <c r="J80" s="2327"/>
      <c r="K80" s="2327"/>
      <c r="L80" s="2327"/>
      <c r="M80" s="2327"/>
      <c r="N80" s="2327"/>
      <c r="O80" s="2327" t="s">
        <v>1898</v>
      </c>
      <c r="P80" s="2327"/>
      <c r="Q80" s="2327"/>
      <c r="R80" s="2327"/>
      <c r="S80" s="2327"/>
      <c r="T80" s="2327"/>
      <c r="U80" s="2327"/>
      <c r="V80" s="2343" t="s">
        <v>2263</v>
      </c>
      <c r="W80" s="2343"/>
      <c r="X80" s="2343"/>
      <c r="Y80" s="2343"/>
      <c r="Z80" s="2343"/>
      <c r="AA80" s="2343"/>
      <c r="AB80" s="2294" t="s">
        <v>1899</v>
      </c>
      <c r="AC80" s="2294"/>
      <c r="AD80" s="2294"/>
      <c r="AE80" s="2294"/>
      <c r="AF80" s="2294"/>
      <c r="AG80" s="2294"/>
      <c r="AH80" s="2344"/>
      <c r="AI80" s="1207"/>
      <c r="AJ80" s="2321"/>
      <c r="AK80" s="2322"/>
      <c r="AL80" s="2322"/>
      <c r="AM80" s="2322"/>
      <c r="AN80" s="2322"/>
      <c r="AO80" s="2322"/>
      <c r="AP80" s="2322"/>
      <c r="AQ80" s="2322"/>
      <c r="AR80" s="2322"/>
      <c r="AS80" s="2322"/>
      <c r="AT80" s="2322"/>
      <c r="AU80" s="2322"/>
      <c r="AV80" s="2322"/>
      <c r="AW80" s="2322"/>
      <c r="AX80" s="2322"/>
      <c r="AY80" s="2341"/>
      <c r="AZ80" s="2341"/>
      <c r="BA80" s="2341"/>
      <c r="BB80" s="2342"/>
      <c r="BC80" s="1207"/>
      <c r="BD80" s="1207"/>
      <c r="BE80" s="1213"/>
    </row>
    <row r="81" spans="1:57" ht="15.75" customHeight="1">
      <c r="A81" s="1207"/>
      <c r="B81" s="2338"/>
      <c r="C81" s="2327"/>
      <c r="D81" s="2327"/>
      <c r="E81" s="2327"/>
      <c r="F81" s="2327"/>
      <c r="G81" s="2327"/>
      <c r="H81" s="2327"/>
      <c r="I81" s="2327"/>
      <c r="J81" s="2327"/>
      <c r="K81" s="2327"/>
      <c r="L81" s="2327"/>
      <c r="M81" s="2327"/>
      <c r="N81" s="2327"/>
      <c r="O81" s="2327"/>
      <c r="P81" s="2327"/>
      <c r="Q81" s="2327"/>
      <c r="R81" s="2327"/>
      <c r="S81" s="2327"/>
      <c r="T81" s="2327"/>
      <c r="U81" s="2327"/>
      <c r="V81" s="2343"/>
      <c r="W81" s="2343"/>
      <c r="X81" s="2343"/>
      <c r="Y81" s="2343"/>
      <c r="Z81" s="2343"/>
      <c r="AA81" s="2343"/>
      <c r="AB81" s="2294"/>
      <c r="AC81" s="2294"/>
      <c r="AD81" s="2294"/>
      <c r="AE81" s="2294"/>
      <c r="AF81" s="2294"/>
      <c r="AG81" s="2294"/>
      <c r="AH81" s="2344"/>
      <c r="AI81" s="1207"/>
      <c r="AJ81" s="2321"/>
      <c r="AK81" s="2322"/>
      <c r="AL81" s="2322"/>
      <c r="AM81" s="2322"/>
      <c r="AN81" s="2322"/>
      <c r="AO81" s="2322"/>
      <c r="AP81" s="2322"/>
      <c r="AQ81" s="2322"/>
      <c r="AR81" s="2322"/>
      <c r="AS81" s="2322"/>
      <c r="AT81" s="2322"/>
      <c r="AU81" s="2322"/>
      <c r="AV81" s="2322"/>
      <c r="AW81" s="2322"/>
      <c r="AX81" s="2322"/>
      <c r="AY81" s="2341"/>
      <c r="AZ81" s="2341"/>
      <c r="BA81" s="2341"/>
      <c r="BB81" s="2342"/>
      <c r="BC81" s="1207"/>
      <c r="BD81" s="1207"/>
      <c r="BE81" s="1213"/>
    </row>
    <row r="82" spans="1:57" ht="15.75" customHeight="1">
      <c r="A82" s="1207"/>
      <c r="B82" s="2338" t="s">
        <v>2246</v>
      </c>
      <c r="C82" s="2327"/>
      <c r="D82" s="2327"/>
      <c r="E82" s="2327"/>
      <c r="F82" s="2327"/>
      <c r="G82" s="2327"/>
      <c r="H82" s="2327"/>
      <c r="I82" s="2297">
        <v>0</v>
      </c>
      <c r="J82" s="2297"/>
      <c r="K82" s="2297"/>
      <c r="L82" s="2297"/>
      <c r="M82" s="2297"/>
      <c r="N82" s="2297"/>
      <c r="O82" s="2297">
        <v>0</v>
      </c>
      <c r="P82" s="2297"/>
      <c r="Q82" s="2297"/>
      <c r="R82" s="2297"/>
      <c r="S82" s="2297"/>
      <c r="T82" s="2297"/>
      <c r="U82" s="2297"/>
      <c r="V82" s="2297">
        <v>0</v>
      </c>
      <c r="W82" s="2297"/>
      <c r="X82" s="2297"/>
      <c r="Y82" s="2297"/>
      <c r="Z82" s="2297"/>
      <c r="AA82" s="2297"/>
      <c r="AB82" s="2297">
        <v>0</v>
      </c>
      <c r="AC82" s="2297"/>
      <c r="AD82" s="2297"/>
      <c r="AE82" s="2297"/>
      <c r="AF82" s="2297"/>
      <c r="AG82" s="2297"/>
      <c r="AH82" s="2298"/>
      <c r="AI82" s="1207"/>
      <c r="AJ82" s="2321"/>
      <c r="AK82" s="2322"/>
      <c r="AL82" s="2322"/>
      <c r="AM82" s="2322"/>
      <c r="AN82" s="2322"/>
      <c r="AO82" s="2322"/>
      <c r="AP82" s="2322"/>
      <c r="AQ82" s="2322"/>
      <c r="AR82" s="2322"/>
      <c r="AS82" s="2322"/>
      <c r="AT82" s="2322"/>
      <c r="AU82" s="2322"/>
      <c r="AV82" s="2322"/>
      <c r="AW82" s="2322"/>
      <c r="AX82" s="2322"/>
      <c r="AY82" s="2341"/>
      <c r="AZ82" s="2341"/>
      <c r="BA82" s="2341"/>
      <c r="BB82" s="2342"/>
      <c r="BC82" s="1207"/>
      <c r="BD82" s="1207"/>
      <c r="BE82" s="1213"/>
    </row>
    <row r="83" spans="1:57" ht="15.75" customHeight="1">
      <c r="A83" s="1207"/>
      <c r="B83" s="2338" t="s">
        <v>2247</v>
      </c>
      <c r="C83" s="2327"/>
      <c r="D83" s="2327"/>
      <c r="E83" s="2327"/>
      <c r="F83" s="2327"/>
      <c r="G83" s="2327"/>
      <c r="H83" s="2327"/>
      <c r="I83" s="2297">
        <v>0</v>
      </c>
      <c r="J83" s="2297"/>
      <c r="K83" s="2297"/>
      <c r="L83" s="2297"/>
      <c r="M83" s="2297"/>
      <c r="N83" s="2297"/>
      <c r="O83" s="2297">
        <v>0</v>
      </c>
      <c r="P83" s="2297"/>
      <c r="Q83" s="2297"/>
      <c r="R83" s="2297"/>
      <c r="S83" s="2297"/>
      <c r="T83" s="2297"/>
      <c r="U83" s="2297"/>
      <c r="V83" s="2297">
        <v>0</v>
      </c>
      <c r="W83" s="2297"/>
      <c r="X83" s="2297"/>
      <c r="Y83" s="2297"/>
      <c r="Z83" s="2297"/>
      <c r="AA83" s="2297"/>
      <c r="AB83" s="2297">
        <v>0</v>
      </c>
      <c r="AC83" s="2297"/>
      <c r="AD83" s="2297"/>
      <c r="AE83" s="2297"/>
      <c r="AF83" s="2297"/>
      <c r="AG83" s="2297"/>
      <c r="AH83" s="2298"/>
      <c r="AI83" s="1207"/>
      <c r="AJ83" s="2330" t="s">
        <v>2593</v>
      </c>
      <c r="AK83" s="2331"/>
      <c r="AL83" s="2331"/>
      <c r="AM83" s="2331"/>
      <c r="AN83" s="2331"/>
      <c r="AO83" s="2331"/>
      <c r="AP83" s="2331"/>
      <c r="AQ83" s="2331"/>
      <c r="AR83" s="2331"/>
      <c r="AS83" s="2331"/>
      <c r="AT83" s="2331"/>
      <c r="AU83" s="2331"/>
      <c r="AV83" s="2331"/>
      <c r="AW83" s="2331"/>
      <c r="AX83" s="2331"/>
      <c r="AY83" s="2331"/>
      <c r="AZ83" s="2331"/>
      <c r="BA83" s="2331"/>
      <c r="BB83" s="2332"/>
      <c r="BC83" s="1207"/>
      <c r="BD83" s="1207"/>
      <c r="BE83" s="1213"/>
    </row>
    <row r="84" spans="1:57" ht="15.75" customHeight="1" thickBot="1">
      <c r="A84" s="1207"/>
      <c r="B84" s="2336" t="s">
        <v>1900</v>
      </c>
      <c r="C84" s="2337"/>
      <c r="D84" s="2337"/>
      <c r="E84" s="2337"/>
      <c r="F84" s="2337"/>
      <c r="G84" s="2337"/>
      <c r="H84" s="2337"/>
      <c r="I84" s="2291">
        <v>0</v>
      </c>
      <c r="J84" s="2291"/>
      <c r="K84" s="2291"/>
      <c r="L84" s="2291"/>
      <c r="M84" s="2291"/>
      <c r="N84" s="2291"/>
      <c r="O84" s="2291">
        <v>0</v>
      </c>
      <c r="P84" s="2291"/>
      <c r="Q84" s="2291"/>
      <c r="R84" s="2291"/>
      <c r="S84" s="2291"/>
      <c r="T84" s="2291"/>
      <c r="U84" s="2291"/>
      <c r="V84" s="2291">
        <v>0</v>
      </c>
      <c r="W84" s="2291"/>
      <c r="X84" s="2291"/>
      <c r="Y84" s="2291"/>
      <c r="Z84" s="2291"/>
      <c r="AA84" s="2291"/>
      <c r="AB84" s="2291">
        <v>0</v>
      </c>
      <c r="AC84" s="2291"/>
      <c r="AD84" s="2291"/>
      <c r="AE84" s="2291"/>
      <c r="AF84" s="2291"/>
      <c r="AG84" s="2291"/>
      <c r="AH84" s="2292"/>
      <c r="AI84" s="1207"/>
      <c r="AJ84" s="2333"/>
      <c r="AK84" s="2334"/>
      <c r="AL84" s="2334"/>
      <c r="AM84" s="2334"/>
      <c r="AN84" s="2334"/>
      <c r="AO84" s="2334"/>
      <c r="AP84" s="2334"/>
      <c r="AQ84" s="2334"/>
      <c r="AR84" s="2334"/>
      <c r="AS84" s="2334"/>
      <c r="AT84" s="2334"/>
      <c r="AU84" s="2334"/>
      <c r="AV84" s="2334"/>
      <c r="AW84" s="2334"/>
      <c r="AX84" s="2334"/>
      <c r="AY84" s="2334"/>
      <c r="AZ84" s="2334"/>
      <c r="BA84" s="2334"/>
      <c r="BB84" s="233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57" t="s">
        <v>1902</v>
      </c>
      <c r="C88" s="2258"/>
      <c r="D88" s="2258"/>
      <c r="E88" s="2258"/>
      <c r="F88" s="2258"/>
      <c r="G88" s="2258"/>
      <c r="H88" s="2258"/>
      <c r="I88" s="2258"/>
      <c r="J88" s="2258"/>
      <c r="K88" s="2258"/>
      <c r="L88" s="2258"/>
      <c r="M88" s="2258"/>
      <c r="N88" s="2258"/>
      <c r="O88" s="2258"/>
      <c r="P88" s="2258"/>
      <c r="Q88" s="2258"/>
      <c r="R88" s="2258"/>
      <c r="S88" s="2258"/>
      <c r="T88" s="2258"/>
      <c r="U88" s="2258"/>
      <c r="V88" s="2258"/>
      <c r="W88" s="2258"/>
      <c r="X88" s="2258"/>
      <c r="Y88" s="2258"/>
      <c r="Z88" s="2258"/>
      <c r="AA88" s="2258"/>
      <c r="AB88" s="2258"/>
      <c r="AC88" s="2258"/>
      <c r="AD88" s="2258"/>
      <c r="AE88" s="2258"/>
      <c r="AF88" s="2258"/>
      <c r="AG88" s="2258"/>
      <c r="AH88" s="2263"/>
      <c r="AI88" s="1207"/>
      <c r="AJ88" s="2318" t="s">
        <v>2594</v>
      </c>
      <c r="AK88" s="2319"/>
      <c r="AL88" s="2319"/>
      <c r="AM88" s="2319"/>
      <c r="AN88" s="2319"/>
      <c r="AO88" s="2319"/>
      <c r="AP88" s="2319"/>
      <c r="AQ88" s="2319"/>
      <c r="AR88" s="2319"/>
      <c r="AS88" s="2319"/>
      <c r="AT88" s="2319"/>
      <c r="AU88" s="2319"/>
      <c r="AV88" s="2319"/>
      <c r="AW88" s="2319"/>
      <c r="AX88" s="2319"/>
      <c r="AY88" s="2339" t="s">
        <v>555</v>
      </c>
      <c r="AZ88" s="2339"/>
      <c r="BA88" s="2339"/>
      <c r="BB88" s="2340"/>
      <c r="BC88" s="1207"/>
      <c r="BD88" s="1207"/>
      <c r="BE88" s="1213"/>
    </row>
    <row r="89" spans="1:57" ht="16.5" customHeight="1">
      <c r="A89" s="1207"/>
      <c r="B89" s="2338"/>
      <c r="C89" s="2327"/>
      <c r="D89" s="2327"/>
      <c r="E89" s="2327"/>
      <c r="F89" s="2327"/>
      <c r="G89" s="2327"/>
      <c r="H89" s="2327"/>
      <c r="I89" s="2327" t="s">
        <v>1897</v>
      </c>
      <c r="J89" s="2327"/>
      <c r="K89" s="2327"/>
      <c r="L89" s="2327"/>
      <c r="M89" s="2327"/>
      <c r="N89" s="2327"/>
      <c r="O89" s="2327" t="s">
        <v>1898</v>
      </c>
      <c r="P89" s="2327"/>
      <c r="Q89" s="2327"/>
      <c r="R89" s="2327"/>
      <c r="S89" s="2327"/>
      <c r="T89" s="2327"/>
      <c r="U89" s="2327"/>
      <c r="V89" s="2343" t="s">
        <v>2263</v>
      </c>
      <c r="W89" s="2343"/>
      <c r="X89" s="2343"/>
      <c r="Y89" s="2343"/>
      <c r="Z89" s="2343"/>
      <c r="AA89" s="2343"/>
      <c r="AB89" s="2294" t="s">
        <v>1899</v>
      </c>
      <c r="AC89" s="2294"/>
      <c r="AD89" s="2294"/>
      <c r="AE89" s="2294"/>
      <c r="AF89" s="2294"/>
      <c r="AG89" s="2294"/>
      <c r="AH89" s="2344"/>
      <c r="AI89" s="1207"/>
      <c r="AJ89" s="2321"/>
      <c r="AK89" s="2322"/>
      <c r="AL89" s="2322"/>
      <c r="AM89" s="2322"/>
      <c r="AN89" s="2322"/>
      <c r="AO89" s="2322"/>
      <c r="AP89" s="2322"/>
      <c r="AQ89" s="2322"/>
      <c r="AR89" s="2322"/>
      <c r="AS89" s="2322"/>
      <c r="AT89" s="2322"/>
      <c r="AU89" s="2322"/>
      <c r="AV89" s="2322"/>
      <c r="AW89" s="2322"/>
      <c r="AX89" s="2322"/>
      <c r="AY89" s="2341"/>
      <c r="AZ89" s="2341"/>
      <c r="BA89" s="2341"/>
      <c r="BB89" s="2342"/>
      <c r="BC89" s="1207"/>
      <c r="BD89" s="1207"/>
      <c r="BE89" s="1213"/>
    </row>
    <row r="90" spans="1:57" ht="16.5" customHeight="1">
      <c r="A90" s="1207"/>
      <c r="B90" s="2338"/>
      <c r="C90" s="2327"/>
      <c r="D90" s="2327"/>
      <c r="E90" s="2327"/>
      <c r="F90" s="2327"/>
      <c r="G90" s="2327"/>
      <c r="H90" s="2327"/>
      <c r="I90" s="2327"/>
      <c r="J90" s="2327"/>
      <c r="K90" s="2327"/>
      <c r="L90" s="2327"/>
      <c r="M90" s="2327"/>
      <c r="N90" s="2327"/>
      <c r="O90" s="2327"/>
      <c r="P90" s="2327"/>
      <c r="Q90" s="2327"/>
      <c r="R90" s="2327"/>
      <c r="S90" s="2327"/>
      <c r="T90" s="2327"/>
      <c r="U90" s="2327"/>
      <c r="V90" s="2343"/>
      <c r="W90" s="2343"/>
      <c r="X90" s="2343"/>
      <c r="Y90" s="2343"/>
      <c r="Z90" s="2343"/>
      <c r="AA90" s="2343"/>
      <c r="AB90" s="2294"/>
      <c r="AC90" s="2294"/>
      <c r="AD90" s="2294"/>
      <c r="AE90" s="2294"/>
      <c r="AF90" s="2294"/>
      <c r="AG90" s="2294"/>
      <c r="AH90" s="2344"/>
      <c r="AI90" s="1207"/>
      <c r="AJ90" s="2321"/>
      <c r="AK90" s="2322"/>
      <c r="AL90" s="2322"/>
      <c r="AM90" s="2322"/>
      <c r="AN90" s="2322"/>
      <c r="AO90" s="2322"/>
      <c r="AP90" s="2322"/>
      <c r="AQ90" s="2322"/>
      <c r="AR90" s="2322"/>
      <c r="AS90" s="2322"/>
      <c r="AT90" s="2322"/>
      <c r="AU90" s="2322"/>
      <c r="AV90" s="2322"/>
      <c r="AW90" s="2322"/>
      <c r="AX90" s="2322"/>
      <c r="AY90" s="2341"/>
      <c r="AZ90" s="2341"/>
      <c r="BA90" s="2341"/>
      <c r="BB90" s="2342"/>
      <c r="BC90" s="1207"/>
      <c r="BD90" s="1207"/>
      <c r="BE90" s="1213"/>
    </row>
    <row r="91" spans="1:57" ht="15.75" customHeight="1">
      <c r="A91" s="1207"/>
      <c r="B91" s="2338" t="s">
        <v>2246</v>
      </c>
      <c r="C91" s="2327"/>
      <c r="D91" s="2327"/>
      <c r="E91" s="2327"/>
      <c r="F91" s="2327"/>
      <c r="G91" s="2327"/>
      <c r="H91" s="2327"/>
      <c r="I91" s="2297">
        <v>0</v>
      </c>
      <c r="J91" s="2297"/>
      <c r="K91" s="2297"/>
      <c r="L91" s="2297"/>
      <c r="M91" s="2297"/>
      <c r="N91" s="2297"/>
      <c r="O91" s="2297">
        <v>0</v>
      </c>
      <c r="P91" s="2297"/>
      <c r="Q91" s="2297"/>
      <c r="R91" s="2297"/>
      <c r="S91" s="2297"/>
      <c r="T91" s="2297"/>
      <c r="U91" s="2297"/>
      <c r="V91" s="2297">
        <v>0</v>
      </c>
      <c r="W91" s="2297"/>
      <c r="X91" s="2297"/>
      <c r="Y91" s="2297"/>
      <c r="Z91" s="2297"/>
      <c r="AA91" s="2297"/>
      <c r="AB91" s="2297">
        <v>0</v>
      </c>
      <c r="AC91" s="2297"/>
      <c r="AD91" s="2297"/>
      <c r="AE91" s="2297"/>
      <c r="AF91" s="2297"/>
      <c r="AG91" s="2297"/>
      <c r="AH91" s="2298"/>
      <c r="AI91" s="1207"/>
      <c r="AJ91" s="2321"/>
      <c r="AK91" s="2322"/>
      <c r="AL91" s="2322"/>
      <c r="AM91" s="2322"/>
      <c r="AN91" s="2322"/>
      <c r="AO91" s="2322"/>
      <c r="AP91" s="2322"/>
      <c r="AQ91" s="2322"/>
      <c r="AR91" s="2322"/>
      <c r="AS91" s="2322"/>
      <c r="AT91" s="2322"/>
      <c r="AU91" s="2322"/>
      <c r="AV91" s="2322"/>
      <c r="AW91" s="2322"/>
      <c r="AX91" s="2322"/>
      <c r="AY91" s="2341"/>
      <c r="AZ91" s="2341"/>
      <c r="BA91" s="2341"/>
      <c r="BB91" s="2342"/>
      <c r="BC91" s="1207"/>
      <c r="BD91" s="1207"/>
      <c r="BE91" s="1213"/>
    </row>
    <row r="92" spans="1:57" ht="15.75" customHeight="1">
      <c r="A92" s="1207"/>
      <c r="B92" s="2338" t="s">
        <v>2247</v>
      </c>
      <c r="C92" s="2327"/>
      <c r="D92" s="2327"/>
      <c r="E92" s="2327"/>
      <c r="F92" s="2327"/>
      <c r="G92" s="2327"/>
      <c r="H92" s="2327"/>
      <c r="I92" s="2297">
        <v>0</v>
      </c>
      <c r="J92" s="2297"/>
      <c r="K92" s="2297"/>
      <c r="L92" s="2297"/>
      <c r="M92" s="2297"/>
      <c r="N92" s="2297"/>
      <c r="O92" s="2297">
        <v>0</v>
      </c>
      <c r="P92" s="2297"/>
      <c r="Q92" s="2297"/>
      <c r="R92" s="2297"/>
      <c r="S92" s="2297"/>
      <c r="T92" s="2297"/>
      <c r="U92" s="2297"/>
      <c r="V92" s="2297">
        <v>0</v>
      </c>
      <c r="W92" s="2297"/>
      <c r="X92" s="2297"/>
      <c r="Y92" s="2297"/>
      <c r="Z92" s="2297"/>
      <c r="AA92" s="2297"/>
      <c r="AB92" s="2297">
        <v>0</v>
      </c>
      <c r="AC92" s="2297"/>
      <c r="AD92" s="2297"/>
      <c r="AE92" s="2297"/>
      <c r="AF92" s="2297"/>
      <c r="AG92" s="2297"/>
      <c r="AH92" s="2298"/>
      <c r="AI92" s="1207"/>
      <c r="AJ92" s="2330" t="s">
        <v>2264</v>
      </c>
      <c r="AK92" s="2331"/>
      <c r="AL92" s="2331"/>
      <c r="AM92" s="2331"/>
      <c r="AN92" s="2331"/>
      <c r="AO92" s="2331"/>
      <c r="AP92" s="2331"/>
      <c r="AQ92" s="2331"/>
      <c r="AR92" s="2331"/>
      <c r="AS92" s="2331"/>
      <c r="AT92" s="2331"/>
      <c r="AU92" s="2331"/>
      <c r="AV92" s="2331"/>
      <c r="AW92" s="2331"/>
      <c r="AX92" s="2331"/>
      <c r="AY92" s="2331"/>
      <c r="AZ92" s="2331"/>
      <c r="BA92" s="2331"/>
      <c r="BB92" s="2332"/>
      <c r="BC92" s="1207"/>
      <c r="BD92" s="1207"/>
      <c r="BE92" s="1213"/>
    </row>
    <row r="93" spans="1:57" ht="15.75" customHeight="1" thickBot="1">
      <c r="A93" s="1207"/>
      <c r="B93" s="2336" t="s">
        <v>1900</v>
      </c>
      <c r="C93" s="2337"/>
      <c r="D93" s="2337"/>
      <c r="E93" s="2337"/>
      <c r="F93" s="2337"/>
      <c r="G93" s="2337"/>
      <c r="H93" s="2337"/>
      <c r="I93" s="2291">
        <v>0</v>
      </c>
      <c r="J93" s="2291"/>
      <c r="K93" s="2291"/>
      <c r="L93" s="2291"/>
      <c r="M93" s="2291"/>
      <c r="N93" s="2291"/>
      <c r="O93" s="2291">
        <v>0</v>
      </c>
      <c r="P93" s="2291"/>
      <c r="Q93" s="2291"/>
      <c r="R93" s="2291"/>
      <c r="S93" s="2291"/>
      <c r="T93" s="2291"/>
      <c r="U93" s="2291"/>
      <c r="V93" s="2291">
        <v>0</v>
      </c>
      <c r="W93" s="2291"/>
      <c r="X93" s="2291"/>
      <c r="Y93" s="2291"/>
      <c r="Z93" s="2291"/>
      <c r="AA93" s="2291"/>
      <c r="AB93" s="2291">
        <v>0</v>
      </c>
      <c r="AC93" s="2291"/>
      <c r="AD93" s="2291"/>
      <c r="AE93" s="2291"/>
      <c r="AF93" s="2291"/>
      <c r="AG93" s="2291"/>
      <c r="AH93" s="2292"/>
      <c r="AI93" s="1207"/>
      <c r="AJ93" s="2333"/>
      <c r="AK93" s="2334"/>
      <c r="AL93" s="2334"/>
      <c r="AM93" s="2334"/>
      <c r="AN93" s="2334"/>
      <c r="AO93" s="2334"/>
      <c r="AP93" s="2334"/>
      <c r="AQ93" s="2334"/>
      <c r="AR93" s="2334"/>
      <c r="AS93" s="2334"/>
      <c r="AT93" s="2334"/>
      <c r="AU93" s="2334"/>
      <c r="AV93" s="2334"/>
      <c r="AW93" s="2334"/>
      <c r="AX93" s="2334"/>
      <c r="AY93" s="2334"/>
      <c r="AZ93" s="2334"/>
      <c r="BA93" s="2334"/>
      <c r="BB93" s="233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8" t="s">
        <v>2248</v>
      </c>
      <c r="Y96" s="2319"/>
      <c r="Z96" s="2319"/>
      <c r="AA96" s="2319"/>
      <c r="AB96" s="2319"/>
      <c r="AC96" s="2319"/>
      <c r="AD96" s="2319"/>
      <c r="AE96" s="2319"/>
      <c r="AF96" s="2319"/>
      <c r="AG96" s="2319"/>
      <c r="AH96" s="2319"/>
      <c r="AI96" s="2319"/>
      <c r="AJ96" s="2319"/>
      <c r="AK96" s="2319"/>
      <c r="AL96" s="2319"/>
      <c r="AM96" s="2319"/>
      <c r="AN96" s="2319"/>
      <c r="AO96" s="2319"/>
      <c r="AP96" s="2319"/>
      <c r="AQ96" s="2319"/>
      <c r="AR96" s="2319"/>
      <c r="AS96" s="2319"/>
      <c r="AT96" s="2319"/>
      <c r="AU96" s="2319"/>
      <c r="AV96" s="2319"/>
      <c r="AW96" s="2319"/>
      <c r="AX96" s="2319"/>
      <c r="AY96" s="2319"/>
      <c r="AZ96" s="2319"/>
      <c r="BA96" s="2319"/>
      <c r="BB96" s="2319"/>
      <c r="BC96" s="2319"/>
      <c r="BD96" s="2320"/>
      <c r="BE96" s="1213"/>
    </row>
    <row r="97" spans="1:57" ht="15.75" customHeight="1">
      <c r="A97" s="1207"/>
      <c r="B97" s="2324" t="s">
        <v>1754</v>
      </c>
      <c r="C97" s="2325"/>
      <c r="D97" s="2325"/>
      <c r="E97" s="2325"/>
      <c r="F97" s="2325"/>
      <c r="G97" s="2325"/>
      <c r="H97" s="2325"/>
      <c r="I97" s="2325"/>
      <c r="J97" s="2325"/>
      <c r="K97" s="2325"/>
      <c r="L97" s="2325"/>
      <c r="M97" s="2325"/>
      <c r="N97" s="2325"/>
      <c r="O97" s="2325"/>
      <c r="P97" s="2325"/>
      <c r="Q97" s="2325"/>
      <c r="R97" s="2325"/>
      <c r="S97" s="2325"/>
      <c r="T97" s="2325"/>
      <c r="U97" s="2326"/>
      <c r="V97" s="1207"/>
      <c r="W97" s="1207"/>
      <c r="X97" s="2321"/>
      <c r="Y97" s="2322"/>
      <c r="Z97" s="2322"/>
      <c r="AA97" s="2322"/>
      <c r="AB97" s="2322"/>
      <c r="AC97" s="2322"/>
      <c r="AD97" s="2322"/>
      <c r="AE97" s="2322"/>
      <c r="AF97" s="2322"/>
      <c r="AG97" s="2322"/>
      <c r="AH97" s="2322"/>
      <c r="AI97" s="2322"/>
      <c r="AJ97" s="2322"/>
      <c r="AK97" s="2322"/>
      <c r="AL97" s="2322"/>
      <c r="AM97" s="2322"/>
      <c r="AN97" s="2322"/>
      <c r="AO97" s="2322"/>
      <c r="AP97" s="2322"/>
      <c r="AQ97" s="2322"/>
      <c r="AR97" s="2322"/>
      <c r="AS97" s="2322"/>
      <c r="AT97" s="2322"/>
      <c r="AU97" s="2322"/>
      <c r="AV97" s="2322"/>
      <c r="AW97" s="2322"/>
      <c r="AX97" s="2322"/>
      <c r="AY97" s="2322"/>
      <c r="AZ97" s="2322"/>
      <c r="BA97" s="2322"/>
      <c r="BB97" s="2322"/>
      <c r="BC97" s="2322"/>
      <c r="BD97" s="2323"/>
      <c r="BE97" s="1213"/>
    </row>
    <row r="98" spans="1:57" ht="15.75" customHeight="1">
      <c r="A98" s="1207"/>
      <c r="B98" s="2267"/>
      <c r="C98" s="2268"/>
      <c r="D98" s="2268"/>
      <c r="E98" s="2268"/>
      <c r="F98" s="2268"/>
      <c r="G98" s="2268"/>
      <c r="H98" s="2268"/>
      <c r="I98" s="2327" t="s">
        <v>2249</v>
      </c>
      <c r="J98" s="2327"/>
      <c r="K98" s="2327"/>
      <c r="L98" s="2327"/>
      <c r="M98" s="2327"/>
      <c r="N98" s="2327"/>
      <c r="O98" s="2328" t="s">
        <v>2250</v>
      </c>
      <c r="P98" s="2328"/>
      <c r="Q98" s="2328"/>
      <c r="R98" s="2328"/>
      <c r="S98" s="2328"/>
      <c r="T98" s="2328"/>
      <c r="U98" s="2329"/>
      <c r="V98" s="1207"/>
      <c r="W98" s="1207"/>
      <c r="X98" s="2270" t="s">
        <v>2262</v>
      </c>
      <c r="Y98" s="2271"/>
      <c r="Z98" s="2271"/>
      <c r="AA98" s="2271"/>
      <c r="AB98" s="2271"/>
      <c r="AC98" s="2271"/>
      <c r="AD98" s="2271"/>
      <c r="AE98" s="2271"/>
      <c r="AF98" s="2271"/>
      <c r="AG98" s="2271"/>
      <c r="AH98" s="2271"/>
      <c r="AI98" s="2271"/>
      <c r="AJ98" s="2271"/>
      <c r="AK98" s="2271"/>
      <c r="AL98" s="2271"/>
      <c r="AM98" s="2271"/>
      <c r="AN98" s="2271"/>
      <c r="AO98" s="2271"/>
      <c r="AP98" s="2271"/>
      <c r="AQ98" s="2271"/>
      <c r="AR98" s="2271"/>
      <c r="AS98" s="2271"/>
      <c r="AT98" s="2271"/>
      <c r="AU98" s="2271"/>
      <c r="AV98" s="2271"/>
      <c r="AW98" s="2271"/>
      <c r="AX98" s="2271"/>
      <c r="AY98" s="2271"/>
      <c r="AZ98" s="2271"/>
      <c r="BA98" s="2271"/>
      <c r="BB98" s="2271"/>
      <c r="BC98" s="2271"/>
      <c r="BD98" s="2272"/>
      <c r="BE98" s="1213"/>
    </row>
    <row r="99" spans="1:57" ht="15.75" customHeight="1">
      <c r="A99" s="1207"/>
      <c r="B99" s="2295" t="s">
        <v>2251</v>
      </c>
      <c r="C99" s="2296"/>
      <c r="D99" s="2296"/>
      <c r="E99" s="2296"/>
      <c r="F99" s="2296"/>
      <c r="G99" s="2296"/>
      <c r="H99" s="2296"/>
      <c r="I99" s="2297">
        <v>0</v>
      </c>
      <c r="J99" s="2297"/>
      <c r="K99" s="2297"/>
      <c r="L99" s="2297"/>
      <c r="M99" s="2297"/>
      <c r="N99" s="2297"/>
      <c r="O99" s="2297">
        <v>0</v>
      </c>
      <c r="P99" s="2297"/>
      <c r="Q99" s="2297"/>
      <c r="R99" s="2297"/>
      <c r="S99" s="2297"/>
      <c r="T99" s="2297"/>
      <c r="U99" s="2298"/>
      <c r="V99" s="1207"/>
      <c r="W99" s="1207"/>
      <c r="X99" s="2270"/>
      <c r="Y99" s="2271"/>
      <c r="Z99" s="2271"/>
      <c r="AA99" s="2271"/>
      <c r="AB99" s="2271"/>
      <c r="AC99" s="2271"/>
      <c r="AD99" s="2271"/>
      <c r="AE99" s="2271"/>
      <c r="AF99" s="2271"/>
      <c r="AG99" s="2271"/>
      <c r="AH99" s="2271"/>
      <c r="AI99" s="2271"/>
      <c r="AJ99" s="2271"/>
      <c r="AK99" s="2271"/>
      <c r="AL99" s="2271"/>
      <c r="AM99" s="2271"/>
      <c r="AN99" s="2271"/>
      <c r="AO99" s="2271"/>
      <c r="AP99" s="2271"/>
      <c r="AQ99" s="2271"/>
      <c r="AR99" s="2271"/>
      <c r="AS99" s="2271"/>
      <c r="AT99" s="2271"/>
      <c r="AU99" s="2271"/>
      <c r="AV99" s="2271"/>
      <c r="AW99" s="2271"/>
      <c r="AX99" s="2271"/>
      <c r="AY99" s="2271"/>
      <c r="AZ99" s="2271"/>
      <c r="BA99" s="2271"/>
      <c r="BB99" s="2271"/>
      <c r="BC99" s="2271"/>
      <c r="BD99" s="2272"/>
      <c r="BE99" s="1213"/>
    </row>
    <row r="100" spans="1:57" ht="15.75" customHeight="1" thickBot="1">
      <c r="A100" s="1207"/>
      <c r="B100" s="2289" t="s">
        <v>2252</v>
      </c>
      <c r="C100" s="2290"/>
      <c r="D100" s="2290"/>
      <c r="E100" s="2290"/>
      <c r="F100" s="2290"/>
      <c r="G100" s="2290"/>
      <c r="H100" s="2290"/>
      <c r="I100" s="2291">
        <v>0</v>
      </c>
      <c r="J100" s="2291"/>
      <c r="K100" s="2291"/>
      <c r="L100" s="2291"/>
      <c r="M100" s="2291"/>
      <c r="N100" s="2291"/>
      <c r="O100" s="2313"/>
      <c r="P100" s="2313"/>
      <c r="Q100" s="2313"/>
      <c r="R100" s="2313"/>
      <c r="S100" s="2313"/>
      <c r="T100" s="2313"/>
      <c r="U100" s="2314"/>
      <c r="V100" s="1207"/>
      <c r="W100" s="1207"/>
      <c r="X100" s="2270"/>
      <c r="Y100" s="2271"/>
      <c r="Z100" s="2271"/>
      <c r="AA100" s="2271"/>
      <c r="AB100" s="2271"/>
      <c r="AC100" s="2271"/>
      <c r="AD100" s="2271"/>
      <c r="AE100" s="2271"/>
      <c r="AF100" s="2271"/>
      <c r="AG100" s="2271"/>
      <c r="AH100" s="2271"/>
      <c r="AI100" s="2271"/>
      <c r="AJ100" s="2271"/>
      <c r="AK100" s="2271"/>
      <c r="AL100" s="2271"/>
      <c r="AM100" s="2271"/>
      <c r="AN100" s="2271"/>
      <c r="AO100" s="2271"/>
      <c r="AP100" s="2271"/>
      <c r="AQ100" s="2271"/>
      <c r="AR100" s="2271"/>
      <c r="AS100" s="2271"/>
      <c r="AT100" s="2271"/>
      <c r="AU100" s="2271"/>
      <c r="AV100" s="2271"/>
      <c r="AW100" s="2271"/>
      <c r="AX100" s="2271"/>
      <c r="AY100" s="2271"/>
      <c r="AZ100" s="2271"/>
      <c r="BA100" s="2271"/>
      <c r="BB100" s="2271"/>
      <c r="BC100" s="2271"/>
      <c r="BD100" s="227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0"/>
      <c r="Y101" s="2271"/>
      <c r="Z101" s="2271"/>
      <c r="AA101" s="2271"/>
      <c r="AB101" s="2271"/>
      <c r="AC101" s="2271"/>
      <c r="AD101" s="2271"/>
      <c r="AE101" s="2271"/>
      <c r="AF101" s="2271"/>
      <c r="AG101" s="2271"/>
      <c r="AH101" s="2271"/>
      <c r="AI101" s="2271"/>
      <c r="AJ101" s="2271"/>
      <c r="AK101" s="2271"/>
      <c r="AL101" s="2271"/>
      <c r="AM101" s="2271"/>
      <c r="AN101" s="2271"/>
      <c r="AO101" s="2271"/>
      <c r="AP101" s="2271"/>
      <c r="AQ101" s="2271"/>
      <c r="AR101" s="2271"/>
      <c r="AS101" s="2271"/>
      <c r="AT101" s="2271"/>
      <c r="AU101" s="2271"/>
      <c r="AV101" s="2271"/>
      <c r="AW101" s="2271"/>
      <c r="AX101" s="2271"/>
      <c r="AY101" s="2271"/>
      <c r="AZ101" s="2271"/>
      <c r="BA101" s="2271"/>
      <c r="BB101" s="2271"/>
      <c r="BC101" s="2271"/>
      <c r="BD101" s="2272"/>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70"/>
      <c r="Y102" s="2271"/>
      <c r="Z102" s="2271"/>
      <c r="AA102" s="2271"/>
      <c r="AB102" s="2271"/>
      <c r="AC102" s="2271"/>
      <c r="AD102" s="2271"/>
      <c r="AE102" s="2271"/>
      <c r="AF102" s="2271"/>
      <c r="AG102" s="2271"/>
      <c r="AH102" s="2271"/>
      <c r="AI102" s="2271"/>
      <c r="AJ102" s="2271"/>
      <c r="AK102" s="2271"/>
      <c r="AL102" s="2271"/>
      <c r="AM102" s="2271"/>
      <c r="AN102" s="2271"/>
      <c r="AO102" s="2271"/>
      <c r="AP102" s="2271"/>
      <c r="AQ102" s="2271"/>
      <c r="AR102" s="2271"/>
      <c r="AS102" s="2271"/>
      <c r="AT102" s="2271"/>
      <c r="AU102" s="2271"/>
      <c r="AV102" s="2271"/>
      <c r="AW102" s="2271"/>
      <c r="AX102" s="2271"/>
      <c r="AY102" s="2271"/>
      <c r="AZ102" s="2271"/>
      <c r="BA102" s="2271"/>
      <c r="BB102" s="2271"/>
      <c r="BC102" s="2271"/>
      <c r="BD102" s="227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0"/>
      <c r="Y103" s="2271"/>
      <c r="Z103" s="2271"/>
      <c r="AA103" s="2271"/>
      <c r="AB103" s="2271"/>
      <c r="AC103" s="2271"/>
      <c r="AD103" s="2271"/>
      <c r="AE103" s="2271"/>
      <c r="AF103" s="2271"/>
      <c r="AG103" s="2271"/>
      <c r="AH103" s="2271"/>
      <c r="AI103" s="2271"/>
      <c r="AJ103" s="2271"/>
      <c r="AK103" s="2271"/>
      <c r="AL103" s="2271"/>
      <c r="AM103" s="2271"/>
      <c r="AN103" s="2271"/>
      <c r="AO103" s="2271"/>
      <c r="AP103" s="2271"/>
      <c r="AQ103" s="2271"/>
      <c r="AR103" s="2271"/>
      <c r="AS103" s="2271"/>
      <c r="AT103" s="2271"/>
      <c r="AU103" s="2271"/>
      <c r="AV103" s="2271"/>
      <c r="AW103" s="2271"/>
      <c r="AX103" s="2271"/>
      <c r="AY103" s="2271"/>
      <c r="AZ103" s="2271"/>
      <c r="BA103" s="2271"/>
      <c r="BB103" s="2271"/>
      <c r="BC103" s="2271"/>
      <c r="BD103" s="2272"/>
      <c r="BE103" s="1213"/>
    </row>
    <row r="104" spans="1:57" ht="15.75" customHeight="1">
      <c r="A104" s="1207"/>
      <c r="B104" s="2315" t="s">
        <v>1905</v>
      </c>
      <c r="C104" s="2316"/>
      <c r="D104" s="2316"/>
      <c r="E104" s="2316"/>
      <c r="F104" s="2316"/>
      <c r="G104" s="2316"/>
      <c r="H104" s="2316"/>
      <c r="I104" s="2316"/>
      <c r="J104" s="2316"/>
      <c r="K104" s="2316"/>
      <c r="L104" s="2316"/>
      <c r="M104" s="2316"/>
      <c r="N104" s="2316"/>
      <c r="O104" s="2316"/>
      <c r="P104" s="2316"/>
      <c r="Q104" s="2316"/>
      <c r="R104" s="2316"/>
      <c r="S104" s="2316"/>
      <c r="T104" s="2316"/>
      <c r="U104" s="2317"/>
      <c r="V104" s="1207"/>
      <c r="W104" s="1207"/>
      <c r="X104" s="2270"/>
      <c r="Y104" s="2271"/>
      <c r="Z104" s="2271"/>
      <c r="AA104" s="2271"/>
      <c r="AB104" s="2271"/>
      <c r="AC104" s="2271"/>
      <c r="AD104" s="2271"/>
      <c r="AE104" s="2271"/>
      <c r="AF104" s="2271"/>
      <c r="AG104" s="2271"/>
      <c r="AH104" s="2271"/>
      <c r="AI104" s="2271"/>
      <c r="AJ104" s="2271"/>
      <c r="AK104" s="2271"/>
      <c r="AL104" s="2271"/>
      <c r="AM104" s="2271"/>
      <c r="AN104" s="2271"/>
      <c r="AO104" s="2271"/>
      <c r="AP104" s="2271"/>
      <c r="AQ104" s="2271"/>
      <c r="AR104" s="2271"/>
      <c r="AS104" s="2271"/>
      <c r="AT104" s="2271"/>
      <c r="AU104" s="2271"/>
      <c r="AV104" s="2271"/>
      <c r="AW104" s="2271"/>
      <c r="AX104" s="2271"/>
      <c r="AY104" s="2271"/>
      <c r="AZ104" s="2271"/>
      <c r="BA104" s="2271"/>
      <c r="BB104" s="2271"/>
      <c r="BC104" s="2271"/>
      <c r="BD104" s="2272"/>
      <c r="BE104" s="1213"/>
    </row>
    <row r="105" spans="1:57" ht="15.75" customHeight="1">
      <c r="A105" s="1207"/>
      <c r="B105" s="2267"/>
      <c r="C105" s="2268"/>
      <c r="D105" s="2268"/>
      <c r="E105" s="2268"/>
      <c r="F105" s="2268"/>
      <c r="G105" s="2268"/>
      <c r="H105" s="2268"/>
      <c r="I105" s="2299" t="s">
        <v>1898</v>
      </c>
      <c r="J105" s="2299"/>
      <c r="K105" s="2299"/>
      <c r="L105" s="2299"/>
      <c r="M105" s="2299"/>
      <c r="N105" s="2299"/>
      <c r="O105" s="2299"/>
      <c r="P105" s="2299" t="s">
        <v>2263</v>
      </c>
      <c r="Q105" s="2299"/>
      <c r="R105" s="2299"/>
      <c r="S105" s="2299"/>
      <c r="T105" s="2299"/>
      <c r="U105" s="2300"/>
      <c r="V105" s="1207"/>
      <c r="W105" s="1207"/>
      <c r="X105" s="2270"/>
      <c r="Y105" s="2271"/>
      <c r="Z105" s="2271"/>
      <c r="AA105" s="2271"/>
      <c r="AB105" s="2271"/>
      <c r="AC105" s="2271"/>
      <c r="AD105" s="2271"/>
      <c r="AE105" s="2271"/>
      <c r="AF105" s="2271"/>
      <c r="AG105" s="2271"/>
      <c r="AH105" s="2271"/>
      <c r="AI105" s="2271"/>
      <c r="AJ105" s="2271"/>
      <c r="AK105" s="2271"/>
      <c r="AL105" s="2271"/>
      <c r="AM105" s="2271"/>
      <c r="AN105" s="2271"/>
      <c r="AO105" s="2271"/>
      <c r="AP105" s="2271"/>
      <c r="AQ105" s="2271"/>
      <c r="AR105" s="2271"/>
      <c r="AS105" s="2271"/>
      <c r="AT105" s="2271"/>
      <c r="AU105" s="2271"/>
      <c r="AV105" s="2271"/>
      <c r="AW105" s="2271"/>
      <c r="AX105" s="2271"/>
      <c r="AY105" s="2271"/>
      <c r="AZ105" s="2271"/>
      <c r="BA105" s="2271"/>
      <c r="BB105" s="2271"/>
      <c r="BC105" s="2271"/>
      <c r="BD105" s="2272"/>
      <c r="BE105" s="1213"/>
    </row>
    <row r="106" spans="1:57" ht="15.75" customHeight="1">
      <c r="A106" s="1207"/>
      <c r="B106" s="2267"/>
      <c r="C106" s="2268"/>
      <c r="D106" s="2268"/>
      <c r="E106" s="2268"/>
      <c r="F106" s="2268"/>
      <c r="G106" s="2268"/>
      <c r="H106" s="2268"/>
      <c r="I106" s="2299"/>
      <c r="J106" s="2299"/>
      <c r="K106" s="2299"/>
      <c r="L106" s="2299"/>
      <c r="M106" s="2299"/>
      <c r="N106" s="2299"/>
      <c r="O106" s="2299"/>
      <c r="P106" s="2299"/>
      <c r="Q106" s="2299"/>
      <c r="R106" s="2299"/>
      <c r="S106" s="2299"/>
      <c r="T106" s="2299"/>
      <c r="U106" s="2300"/>
      <c r="V106" s="1207"/>
      <c r="W106" s="1207"/>
      <c r="X106" s="2270"/>
      <c r="Y106" s="2271"/>
      <c r="Z106" s="2271"/>
      <c r="AA106" s="2271"/>
      <c r="AB106" s="2271"/>
      <c r="AC106" s="2271"/>
      <c r="AD106" s="2271"/>
      <c r="AE106" s="2271"/>
      <c r="AF106" s="2271"/>
      <c r="AG106" s="2271"/>
      <c r="AH106" s="2271"/>
      <c r="AI106" s="2271"/>
      <c r="AJ106" s="2271"/>
      <c r="AK106" s="2271"/>
      <c r="AL106" s="2271"/>
      <c r="AM106" s="2271"/>
      <c r="AN106" s="2271"/>
      <c r="AO106" s="2271"/>
      <c r="AP106" s="2271"/>
      <c r="AQ106" s="2271"/>
      <c r="AR106" s="2271"/>
      <c r="AS106" s="2271"/>
      <c r="AT106" s="2271"/>
      <c r="AU106" s="2271"/>
      <c r="AV106" s="2271"/>
      <c r="AW106" s="2271"/>
      <c r="AX106" s="2271"/>
      <c r="AY106" s="2271"/>
      <c r="AZ106" s="2271"/>
      <c r="BA106" s="2271"/>
      <c r="BB106" s="2271"/>
      <c r="BC106" s="2271"/>
      <c r="BD106" s="2272"/>
      <c r="BE106" s="1213"/>
    </row>
    <row r="107" spans="1:57" ht="15.75" customHeight="1">
      <c r="A107" s="1207"/>
      <c r="B107" s="2295" t="s">
        <v>2251</v>
      </c>
      <c r="C107" s="2296"/>
      <c r="D107" s="2296"/>
      <c r="E107" s="2296"/>
      <c r="F107" s="2296"/>
      <c r="G107" s="2296"/>
      <c r="H107" s="2296"/>
      <c r="I107" s="2297">
        <v>0</v>
      </c>
      <c r="J107" s="2297"/>
      <c r="K107" s="2297"/>
      <c r="L107" s="2297"/>
      <c r="M107" s="2297"/>
      <c r="N107" s="2297"/>
      <c r="O107" s="2297"/>
      <c r="P107" s="2297">
        <v>0</v>
      </c>
      <c r="Q107" s="2297"/>
      <c r="R107" s="2297"/>
      <c r="S107" s="2297"/>
      <c r="T107" s="2297"/>
      <c r="U107" s="2298"/>
      <c r="V107" s="1207"/>
      <c r="W107" s="1207"/>
      <c r="X107" s="2270"/>
      <c r="Y107" s="2271"/>
      <c r="Z107" s="2271"/>
      <c r="AA107" s="2271"/>
      <c r="AB107" s="2271"/>
      <c r="AC107" s="2271"/>
      <c r="AD107" s="2271"/>
      <c r="AE107" s="2271"/>
      <c r="AF107" s="2271"/>
      <c r="AG107" s="2271"/>
      <c r="AH107" s="2271"/>
      <c r="AI107" s="2271"/>
      <c r="AJ107" s="2271"/>
      <c r="AK107" s="2271"/>
      <c r="AL107" s="2271"/>
      <c r="AM107" s="2271"/>
      <c r="AN107" s="2271"/>
      <c r="AO107" s="2271"/>
      <c r="AP107" s="2271"/>
      <c r="AQ107" s="2271"/>
      <c r="AR107" s="2271"/>
      <c r="AS107" s="2271"/>
      <c r="AT107" s="2271"/>
      <c r="AU107" s="2271"/>
      <c r="AV107" s="2271"/>
      <c r="AW107" s="2271"/>
      <c r="AX107" s="2271"/>
      <c r="AY107" s="2271"/>
      <c r="AZ107" s="2271"/>
      <c r="BA107" s="2271"/>
      <c r="BB107" s="2271"/>
      <c r="BC107" s="2271"/>
      <c r="BD107" s="2272"/>
      <c r="BE107" s="1213"/>
    </row>
    <row r="108" spans="1:57" ht="15.75" customHeight="1" thickBot="1">
      <c r="A108" s="1207"/>
      <c r="B108" s="2289" t="s">
        <v>2252</v>
      </c>
      <c r="C108" s="2290"/>
      <c r="D108" s="2290"/>
      <c r="E108" s="2290"/>
      <c r="F108" s="2290"/>
      <c r="G108" s="2290"/>
      <c r="H108" s="2290"/>
      <c r="I108" s="2291">
        <v>0</v>
      </c>
      <c r="J108" s="2291"/>
      <c r="K108" s="2291"/>
      <c r="L108" s="2291"/>
      <c r="M108" s="2291"/>
      <c r="N108" s="2291"/>
      <c r="O108" s="2291"/>
      <c r="P108" s="2291">
        <v>0</v>
      </c>
      <c r="Q108" s="2291"/>
      <c r="R108" s="2291"/>
      <c r="S108" s="2291"/>
      <c r="T108" s="2291"/>
      <c r="U108" s="2292"/>
      <c r="V108" s="1207"/>
      <c r="W108" s="1207"/>
      <c r="X108" s="2273"/>
      <c r="Y108" s="2274"/>
      <c r="Z108" s="2274"/>
      <c r="AA108" s="2274"/>
      <c r="AB108" s="2274"/>
      <c r="AC108" s="2274"/>
      <c r="AD108" s="2274"/>
      <c r="AE108" s="2274"/>
      <c r="AF108" s="2274"/>
      <c r="AG108" s="2274"/>
      <c r="AH108" s="2274"/>
      <c r="AI108" s="2274"/>
      <c r="AJ108" s="2274"/>
      <c r="AK108" s="2274"/>
      <c r="AL108" s="2274"/>
      <c r="AM108" s="2274"/>
      <c r="AN108" s="2274"/>
      <c r="AO108" s="2274"/>
      <c r="AP108" s="2274"/>
      <c r="AQ108" s="2274"/>
      <c r="AR108" s="2274"/>
      <c r="AS108" s="2274"/>
      <c r="AT108" s="2274"/>
      <c r="AU108" s="2274"/>
      <c r="AV108" s="2274"/>
      <c r="AW108" s="2274"/>
      <c r="AX108" s="2274"/>
      <c r="AY108" s="2274"/>
      <c r="AZ108" s="2274"/>
      <c r="BA108" s="2274"/>
      <c r="BB108" s="2274"/>
      <c r="BC108" s="2274"/>
      <c r="BD108" s="227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64" t="s">
        <v>1906</v>
      </c>
      <c r="C110" s="2265"/>
      <c r="D110" s="2265"/>
      <c r="E110" s="2265"/>
      <c r="F110" s="2265"/>
      <c r="G110" s="2265"/>
      <c r="H110" s="2265"/>
      <c r="I110" s="2265"/>
      <c r="J110" s="2265"/>
      <c r="K110" s="2265"/>
      <c r="L110" s="2265"/>
      <c r="M110" s="2265"/>
      <c r="N110" s="2265"/>
      <c r="O110" s="2265"/>
      <c r="P110" s="2265"/>
      <c r="Q110" s="2265"/>
      <c r="R110" s="2265"/>
      <c r="S110" s="2265"/>
      <c r="T110" s="2265"/>
      <c r="U110" s="2265"/>
      <c r="V110" s="2265"/>
      <c r="W110" s="2265"/>
      <c r="X110" s="2265"/>
      <c r="Y110" s="2265"/>
      <c r="Z110" s="2265"/>
      <c r="AA110" s="2265"/>
      <c r="AB110" s="2265"/>
      <c r="AC110" s="2265"/>
      <c r="AD110" s="2265"/>
      <c r="AE110" s="2265"/>
      <c r="AF110" s="2265"/>
      <c r="AG110" s="2265"/>
      <c r="AH110" s="2301" t="s">
        <v>555</v>
      </c>
      <c r="AI110" s="2301"/>
      <c r="AJ110" s="2301"/>
      <c r="AK110" s="2301"/>
      <c r="AL110" s="2301"/>
      <c r="AM110" s="2301"/>
      <c r="AN110" s="2301"/>
      <c r="AO110" s="2301"/>
      <c r="AP110" s="2301"/>
      <c r="AQ110" s="2301"/>
      <c r="AR110" s="2301"/>
      <c r="AS110" s="2301"/>
      <c r="AT110" s="2301"/>
      <c r="AU110" s="2301"/>
      <c r="AV110" s="2301"/>
      <c r="AW110" s="2301"/>
      <c r="AX110" s="2302"/>
      <c r="AY110" s="1207"/>
      <c r="AZ110" s="1207"/>
      <c r="BA110" s="1207"/>
      <c r="BB110" s="1207"/>
      <c r="BC110" s="1207"/>
      <c r="BD110" s="1207"/>
      <c r="BE110" s="1213"/>
    </row>
    <row r="111" spans="1:57" ht="15.75" customHeight="1">
      <c r="A111" s="1207"/>
      <c r="B111" s="2303" t="s">
        <v>1907</v>
      </c>
      <c r="C111" s="2304"/>
      <c r="D111" s="2304"/>
      <c r="E111" s="2304"/>
      <c r="F111" s="2304"/>
      <c r="G111" s="2304"/>
      <c r="H111" s="2304"/>
      <c r="I111" s="2304"/>
      <c r="J111" s="2304"/>
      <c r="K111" s="2304"/>
      <c r="L111" s="2304"/>
      <c r="M111" s="2304"/>
      <c r="N111" s="2304"/>
      <c r="O111" s="2304"/>
      <c r="P111" s="2304"/>
      <c r="Q111" s="2304"/>
      <c r="R111" s="2305" t="s">
        <v>2265</v>
      </c>
      <c r="S111" s="2305"/>
      <c r="T111" s="2305"/>
      <c r="U111" s="2305"/>
      <c r="V111" s="2305"/>
      <c r="W111" s="2305"/>
      <c r="X111" s="2305"/>
      <c r="Y111" s="2305"/>
      <c r="Z111" s="2305"/>
      <c r="AA111" s="2305"/>
      <c r="AB111" s="2305"/>
      <c r="AC111" s="2305"/>
      <c r="AD111" s="2305"/>
      <c r="AE111" s="2305"/>
      <c r="AF111" s="2305"/>
      <c r="AG111" s="2305"/>
      <c r="AH111" s="2305"/>
      <c r="AI111" s="2305"/>
      <c r="AJ111" s="2305"/>
      <c r="AK111" s="2305"/>
      <c r="AL111" s="2305"/>
      <c r="AM111" s="2305"/>
      <c r="AN111" s="2305"/>
      <c r="AO111" s="2305"/>
      <c r="AP111" s="2305"/>
      <c r="AQ111" s="2305"/>
      <c r="AR111" s="2305"/>
      <c r="AS111" s="2305"/>
      <c r="AT111" s="2305"/>
      <c r="AU111" s="2305"/>
      <c r="AV111" s="2305"/>
      <c r="AW111" s="2305"/>
      <c r="AX111" s="2306"/>
      <c r="AY111" s="1207"/>
      <c r="AZ111" s="1207"/>
      <c r="BA111" s="1207"/>
      <c r="BB111" s="1207"/>
      <c r="BC111" s="1207" t="s">
        <v>252</v>
      </c>
      <c r="BD111" s="1207"/>
      <c r="BE111" s="1213"/>
    </row>
    <row r="112" spans="1:57" ht="15.75" customHeight="1">
      <c r="A112" s="1207"/>
      <c r="B112" s="2307" t="s">
        <v>2266</v>
      </c>
      <c r="C112" s="2308"/>
      <c r="D112" s="2308"/>
      <c r="E112" s="2308"/>
      <c r="F112" s="2308"/>
      <c r="G112" s="2308"/>
      <c r="H112" s="2308"/>
      <c r="I112" s="2308"/>
      <c r="J112" s="2308"/>
      <c r="K112" s="2308"/>
      <c r="L112" s="2308"/>
      <c r="M112" s="2308"/>
      <c r="N112" s="2308"/>
      <c r="O112" s="2308"/>
      <c r="P112" s="2308"/>
      <c r="Q112" s="2308"/>
      <c r="R112" s="2308"/>
      <c r="S112" s="2308"/>
      <c r="T112" s="2308"/>
      <c r="U112" s="2308"/>
      <c r="V112" s="2308"/>
      <c r="W112" s="2308"/>
      <c r="X112" s="2308"/>
      <c r="Y112" s="2308"/>
      <c r="Z112" s="2308"/>
      <c r="AA112" s="2308"/>
      <c r="AB112" s="2308"/>
      <c r="AC112" s="2308"/>
      <c r="AD112" s="2308"/>
      <c r="AE112" s="2308"/>
      <c r="AF112" s="2308"/>
      <c r="AG112" s="2308"/>
      <c r="AH112" s="2308"/>
      <c r="AI112" s="2308"/>
      <c r="AJ112" s="2308"/>
      <c r="AK112" s="2308"/>
      <c r="AL112" s="2308"/>
      <c r="AM112" s="2308"/>
      <c r="AN112" s="2308"/>
      <c r="AO112" s="2308"/>
      <c r="AP112" s="2308"/>
      <c r="AQ112" s="2308"/>
      <c r="AR112" s="2308"/>
      <c r="AS112" s="2308"/>
      <c r="AT112" s="2308"/>
      <c r="AU112" s="2308"/>
      <c r="AV112" s="2308"/>
      <c r="AW112" s="2308"/>
      <c r="AX112" s="2309"/>
      <c r="AY112" s="1207"/>
      <c r="AZ112" s="1207"/>
      <c r="BA112" s="1207"/>
      <c r="BB112" s="1207"/>
      <c r="BC112" s="1207"/>
      <c r="BD112" s="1207"/>
      <c r="BE112" s="1213"/>
    </row>
    <row r="113" spans="1:57" ht="15.75" customHeight="1">
      <c r="A113" s="1207"/>
      <c r="B113" s="2307"/>
      <c r="C113" s="2308"/>
      <c r="D113" s="2308"/>
      <c r="E113" s="2308"/>
      <c r="F113" s="2308"/>
      <c r="G113" s="2308"/>
      <c r="H113" s="2308"/>
      <c r="I113" s="2308"/>
      <c r="J113" s="2308"/>
      <c r="K113" s="2308"/>
      <c r="L113" s="2308"/>
      <c r="M113" s="2308"/>
      <c r="N113" s="2308"/>
      <c r="O113" s="2308"/>
      <c r="P113" s="2308"/>
      <c r="Q113" s="2308"/>
      <c r="R113" s="2308"/>
      <c r="S113" s="2308"/>
      <c r="T113" s="2308"/>
      <c r="U113" s="2308"/>
      <c r="V113" s="2308"/>
      <c r="W113" s="2308"/>
      <c r="X113" s="2308"/>
      <c r="Y113" s="2308"/>
      <c r="Z113" s="2308"/>
      <c r="AA113" s="2308"/>
      <c r="AB113" s="2308"/>
      <c r="AC113" s="2308"/>
      <c r="AD113" s="2308"/>
      <c r="AE113" s="2308"/>
      <c r="AF113" s="2308"/>
      <c r="AG113" s="2308"/>
      <c r="AH113" s="2308"/>
      <c r="AI113" s="2308"/>
      <c r="AJ113" s="2308"/>
      <c r="AK113" s="2308"/>
      <c r="AL113" s="2308"/>
      <c r="AM113" s="2308"/>
      <c r="AN113" s="2308"/>
      <c r="AO113" s="2308"/>
      <c r="AP113" s="2308"/>
      <c r="AQ113" s="2308"/>
      <c r="AR113" s="2308"/>
      <c r="AS113" s="2308"/>
      <c r="AT113" s="2308"/>
      <c r="AU113" s="2308"/>
      <c r="AV113" s="2308"/>
      <c r="AW113" s="2308"/>
      <c r="AX113" s="2309"/>
      <c r="AY113" s="1207"/>
      <c r="AZ113" s="1207"/>
      <c r="BA113" s="1207"/>
      <c r="BB113" s="1207"/>
      <c r="BC113" s="1207"/>
      <c r="BD113" s="1207"/>
      <c r="BE113" s="1213"/>
    </row>
    <row r="114" spans="1:57" ht="15.75" customHeight="1">
      <c r="A114" s="1207"/>
      <c r="B114" s="2307"/>
      <c r="C114" s="2308"/>
      <c r="D114" s="2308"/>
      <c r="E114" s="2308"/>
      <c r="F114" s="2308"/>
      <c r="G114" s="2308"/>
      <c r="H114" s="2308"/>
      <c r="I114" s="2308"/>
      <c r="J114" s="2308"/>
      <c r="K114" s="2308"/>
      <c r="L114" s="2308"/>
      <c r="M114" s="2308"/>
      <c r="N114" s="2308"/>
      <c r="O114" s="2308"/>
      <c r="P114" s="2308"/>
      <c r="Q114" s="2308"/>
      <c r="R114" s="2308"/>
      <c r="S114" s="2308"/>
      <c r="T114" s="2308"/>
      <c r="U114" s="2308"/>
      <c r="V114" s="2308"/>
      <c r="W114" s="2308"/>
      <c r="X114" s="2308"/>
      <c r="Y114" s="2308"/>
      <c r="Z114" s="2308"/>
      <c r="AA114" s="2308"/>
      <c r="AB114" s="2308"/>
      <c r="AC114" s="2308"/>
      <c r="AD114" s="2308"/>
      <c r="AE114" s="2308"/>
      <c r="AF114" s="2308"/>
      <c r="AG114" s="2308"/>
      <c r="AH114" s="2308"/>
      <c r="AI114" s="2308"/>
      <c r="AJ114" s="2308"/>
      <c r="AK114" s="2308"/>
      <c r="AL114" s="2308"/>
      <c r="AM114" s="2308"/>
      <c r="AN114" s="2308"/>
      <c r="AO114" s="2308"/>
      <c r="AP114" s="2308"/>
      <c r="AQ114" s="2308"/>
      <c r="AR114" s="2308"/>
      <c r="AS114" s="2308"/>
      <c r="AT114" s="2308"/>
      <c r="AU114" s="2308"/>
      <c r="AV114" s="2308"/>
      <c r="AW114" s="2308"/>
      <c r="AX114" s="2309"/>
      <c r="AY114" s="1207"/>
      <c r="AZ114" s="1207"/>
      <c r="BA114" s="1207"/>
      <c r="BB114" s="1207"/>
      <c r="BC114" s="1207"/>
      <c r="BD114" s="1207"/>
      <c r="BE114" s="1213"/>
    </row>
    <row r="115" spans="1:57" ht="15.75" customHeight="1">
      <c r="A115" s="1207"/>
      <c r="B115" s="2307"/>
      <c r="C115" s="2308"/>
      <c r="D115" s="2308"/>
      <c r="E115" s="2308"/>
      <c r="F115" s="2308"/>
      <c r="G115" s="2308"/>
      <c r="H115" s="2308"/>
      <c r="I115" s="2308"/>
      <c r="J115" s="2308"/>
      <c r="K115" s="2308"/>
      <c r="L115" s="2308"/>
      <c r="M115" s="2308"/>
      <c r="N115" s="2308"/>
      <c r="O115" s="2308"/>
      <c r="P115" s="2308"/>
      <c r="Q115" s="2308"/>
      <c r="R115" s="2308"/>
      <c r="S115" s="2308"/>
      <c r="T115" s="2308"/>
      <c r="U115" s="2308"/>
      <c r="V115" s="2308"/>
      <c r="W115" s="2308"/>
      <c r="X115" s="2308"/>
      <c r="Y115" s="2308"/>
      <c r="Z115" s="2308"/>
      <c r="AA115" s="2308"/>
      <c r="AB115" s="2308"/>
      <c r="AC115" s="2308"/>
      <c r="AD115" s="2308"/>
      <c r="AE115" s="2308"/>
      <c r="AF115" s="2308"/>
      <c r="AG115" s="2308"/>
      <c r="AH115" s="2308"/>
      <c r="AI115" s="2308"/>
      <c r="AJ115" s="2308"/>
      <c r="AK115" s="2308"/>
      <c r="AL115" s="2308"/>
      <c r="AM115" s="2308"/>
      <c r="AN115" s="2308"/>
      <c r="AO115" s="2308"/>
      <c r="AP115" s="2308"/>
      <c r="AQ115" s="2308"/>
      <c r="AR115" s="2308"/>
      <c r="AS115" s="2308"/>
      <c r="AT115" s="2308"/>
      <c r="AU115" s="2308"/>
      <c r="AV115" s="2308"/>
      <c r="AW115" s="2308"/>
      <c r="AX115" s="2309"/>
      <c r="AY115" s="1207"/>
      <c r="AZ115" s="1207"/>
      <c r="BA115" s="1207"/>
      <c r="BB115" s="1207"/>
      <c r="BC115" s="1207"/>
      <c r="BD115" s="1207"/>
      <c r="BE115" s="1213"/>
    </row>
    <row r="116" spans="1:57" ht="15.75" customHeight="1">
      <c r="A116" s="1207"/>
      <c r="B116" s="2307"/>
      <c r="C116" s="2308"/>
      <c r="D116" s="2308"/>
      <c r="E116" s="2308"/>
      <c r="F116" s="2308"/>
      <c r="G116" s="2308"/>
      <c r="H116" s="2308"/>
      <c r="I116" s="2308"/>
      <c r="J116" s="2308"/>
      <c r="K116" s="2308"/>
      <c r="L116" s="2308"/>
      <c r="M116" s="2308"/>
      <c r="N116" s="2308"/>
      <c r="O116" s="2308"/>
      <c r="P116" s="2308"/>
      <c r="Q116" s="2308"/>
      <c r="R116" s="2308"/>
      <c r="S116" s="2308"/>
      <c r="T116" s="2308"/>
      <c r="U116" s="2308"/>
      <c r="V116" s="2308"/>
      <c r="W116" s="2308"/>
      <c r="X116" s="2308"/>
      <c r="Y116" s="2308"/>
      <c r="Z116" s="2308"/>
      <c r="AA116" s="2308"/>
      <c r="AB116" s="2308"/>
      <c r="AC116" s="2308"/>
      <c r="AD116" s="2308"/>
      <c r="AE116" s="2308"/>
      <c r="AF116" s="2308"/>
      <c r="AG116" s="2308"/>
      <c r="AH116" s="2308"/>
      <c r="AI116" s="2308"/>
      <c r="AJ116" s="2308"/>
      <c r="AK116" s="2308"/>
      <c r="AL116" s="2308"/>
      <c r="AM116" s="2308"/>
      <c r="AN116" s="2308"/>
      <c r="AO116" s="2308"/>
      <c r="AP116" s="2308"/>
      <c r="AQ116" s="2308"/>
      <c r="AR116" s="2308"/>
      <c r="AS116" s="2308"/>
      <c r="AT116" s="2308"/>
      <c r="AU116" s="2308"/>
      <c r="AV116" s="2308"/>
      <c r="AW116" s="2308"/>
      <c r="AX116" s="2309"/>
      <c r="AY116" s="1207"/>
      <c r="AZ116" s="1207"/>
      <c r="BA116" s="1207"/>
      <c r="BB116" s="1207"/>
      <c r="BC116" s="1207"/>
      <c r="BD116" s="1207"/>
      <c r="BE116" s="1213"/>
    </row>
    <row r="117" spans="1:57" ht="15.75" customHeight="1">
      <c r="A117" s="1207"/>
      <c r="B117" s="2307"/>
      <c r="C117" s="2308"/>
      <c r="D117" s="2308"/>
      <c r="E117" s="2308"/>
      <c r="F117" s="2308"/>
      <c r="G117" s="2308"/>
      <c r="H117" s="2308"/>
      <c r="I117" s="2308"/>
      <c r="J117" s="2308"/>
      <c r="K117" s="2308"/>
      <c r="L117" s="2308"/>
      <c r="M117" s="2308"/>
      <c r="N117" s="2308"/>
      <c r="O117" s="2308"/>
      <c r="P117" s="2308"/>
      <c r="Q117" s="2308"/>
      <c r="R117" s="2308"/>
      <c r="S117" s="2308"/>
      <c r="T117" s="2308"/>
      <c r="U117" s="2308"/>
      <c r="V117" s="2308"/>
      <c r="W117" s="2308"/>
      <c r="X117" s="2308"/>
      <c r="Y117" s="2308"/>
      <c r="Z117" s="2308"/>
      <c r="AA117" s="2308"/>
      <c r="AB117" s="2308"/>
      <c r="AC117" s="2308"/>
      <c r="AD117" s="2308"/>
      <c r="AE117" s="2308"/>
      <c r="AF117" s="2308"/>
      <c r="AG117" s="2308"/>
      <c r="AH117" s="2308"/>
      <c r="AI117" s="2308"/>
      <c r="AJ117" s="2308"/>
      <c r="AK117" s="2308"/>
      <c r="AL117" s="2308"/>
      <c r="AM117" s="2308"/>
      <c r="AN117" s="2308"/>
      <c r="AO117" s="2308"/>
      <c r="AP117" s="2308"/>
      <c r="AQ117" s="2308"/>
      <c r="AR117" s="2308"/>
      <c r="AS117" s="2308"/>
      <c r="AT117" s="2308"/>
      <c r="AU117" s="2308"/>
      <c r="AV117" s="2308"/>
      <c r="AW117" s="2308"/>
      <c r="AX117" s="2309"/>
      <c r="AY117" s="1207"/>
      <c r="AZ117" s="1207"/>
      <c r="BA117" s="1207"/>
      <c r="BB117" s="1207"/>
      <c r="BC117" s="1207"/>
      <c r="BD117" s="1207"/>
      <c r="BE117" s="1213"/>
    </row>
    <row r="118" spans="1:57" ht="15.75" customHeight="1">
      <c r="A118" s="1207"/>
      <c r="B118" s="2307"/>
      <c r="C118" s="2308"/>
      <c r="D118" s="2308"/>
      <c r="E118" s="2308"/>
      <c r="F118" s="2308"/>
      <c r="G118" s="2308"/>
      <c r="H118" s="2308"/>
      <c r="I118" s="2308"/>
      <c r="J118" s="2308"/>
      <c r="K118" s="2308"/>
      <c r="L118" s="2308"/>
      <c r="M118" s="2308"/>
      <c r="N118" s="2308"/>
      <c r="O118" s="2308"/>
      <c r="P118" s="2308"/>
      <c r="Q118" s="2308"/>
      <c r="R118" s="2308"/>
      <c r="S118" s="2308"/>
      <c r="T118" s="2308"/>
      <c r="U118" s="2308"/>
      <c r="V118" s="2308"/>
      <c r="W118" s="2308"/>
      <c r="X118" s="2308"/>
      <c r="Y118" s="2308"/>
      <c r="Z118" s="2308"/>
      <c r="AA118" s="2308"/>
      <c r="AB118" s="2308"/>
      <c r="AC118" s="2308"/>
      <c r="AD118" s="2308"/>
      <c r="AE118" s="2308"/>
      <c r="AF118" s="2308"/>
      <c r="AG118" s="2308"/>
      <c r="AH118" s="2308"/>
      <c r="AI118" s="2308"/>
      <c r="AJ118" s="2308"/>
      <c r="AK118" s="2308"/>
      <c r="AL118" s="2308"/>
      <c r="AM118" s="2308"/>
      <c r="AN118" s="2308"/>
      <c r="AO118" s="2308"/>
      <c r="AP118" s="2308"/>
      <c r="AQ118" s="2308"/>
      <c r="AR118" s="2308"/>
      <c r="AS118" s="2308"/>
      <c r="AT118" s="2308"/>
      <c r="AU118" s="2308"/>
      <c r="AV118" s="2308"/>
      <c r="AW118" s="2308"/>
      <c r="AX118" s="2309"/>
      <c r="AY118" s="1207"/>
      <c r="AZ118" s="1207"/>
      <c r="BA118" s="1207"/>
      <c r="BB118" s="1207"/>
      <c r="BC118" s="1207"/>
      <c r="BD118" s="1207"/>
      <c r="BE118" s="1213"/>
    </row>
    <row r="119" spans="1:57" ht="15.75" customHeight="1">
      <c r="A119" s="1207"/>
      <c r="B119" s="2307"/>
      <c r="C119" s="2308"/>
      <c r="D119" s="2308"/>
      <c r="E119" s="2308"/>
      <c r="F119" s="2308"/>
      <c r="G119" s="2308"/>
      <c r="H119" s="2308"/>
      <c r="I119" s="2308"/>
      <c r="J119" s="2308"/>
      <c r="K119" s="2308"/>
      <c r="L119" s="2308"/>
      <c r="M119" s="2308"/>
      <c r="N119" s="2308"/>
      <c r="O119" s="2308"/>
      <c r="P119" s="2308"/>
      <c r="Q119" s="2308"/>
      <c r="R119" s="2308"/>
      <c r="S119" s="2308"/>
      <c r="T119" s="2308"/>
      <c r="U119" s="2308"/>
      <c r="V119" s="2308"/>
      <c r="W119" s="2308"/>
      <c r="X119" s="2308"/>
      <c r="Y119" s="2308"/>
      <c r="Z119" s="2308"/>
      <c r="AA119" s="2308"/>
      <c r="AB119" s="2308"/>
      <c r="AC119" s="2308"/>
      <c r="AD119" s="2308"/>
      <c r="AE119" s="2308"/>
      <c r="AF119" s="2308"/>
      <c r="AG119" s="2308"/>
      <c r="AH119" s="2308"/>
      <c r="AI119" s="2308"/>
      <c r="AJ119" s="2308"/>
      <c r="AK119" s="2308"/>
      <c r="AL119" s="2308"/>
      <c r="AM119" s="2308"/>
      <c r="AN119" s="2308"/>
      <c r="AO119" s="2308"/>
      <c r="AP119" s="2308"/>
      <c r="AQ119" s="2308"/>
      <c r="AR119" s="2308"/>
      <c r="AS119" s="2308"/>
      <c r="AT119" s="2308"/>
      <c r="AU119" s="2308"/>
      <c r="AV119" s="2308"/>
      <c r="AW119" s="2308"/>
      <c r="AX119" s="2309"/>
      <c r="AY119" s="1207"/>
      <c r="AZ119" s="1207"/>
      <c r="BA119" s="1207"/>
      <c r="BB119" s="1207"/>
      <c r="BC119" s="1207"/>
      <c r="BD119" s="1207"/>
      <c r="BE119" s="1213"/>
    </row>
    <row r="120" spans="1:57" ht="15.75" customHeight="1">
      <c r="A120" s="1207"/>
      <c r="B120" s="2307"/>
      <c r="C120" s="2308"/>
      <c r="D120" s="2308"/>
      <c r="E120" s="2308"/>
      <c r="F120" s="2308"/>
      <c r="G120" s="2308"/>
      <c r="H120" s="2308"/>
      <c r="I120" s="2308"/>
      <c r="J120" s="2308"/>
      <c r="K120" s="2308"/>
      <c r="L120" s="2308"/>
      <c r="M120" s="2308"/>
      <c r="N120" s="2308"/>
      <c r="O120" s="2308"/>
      <c r="P120" s="2308"/>
      <c r="Q120" s="2308"/>
      <c r="R120" s="2308"/>
      <c r="S120" s="2308"/>
      <c r="T120" s="2308"/>
      <c r="U120" s="2308"/>
      <c r="V120" s="2308"/>
      <c r="W120" s="2308"/>
      <c r="X120" s="2308"/>
      <c r="Y120" s="2308"/>
      <c r="Z120" s="2308"/>
      <c r="AA120" s="2308"/>
      <c r="AB120" s="2308"/>
      <c r="AC120" s="2308"/>
      <c r="AD120" s="2308"/>
      <c r="AE120" s="2308"/>
      <c r="AF120" s="2308"/>
      <c r="AG120" s="2308"/>
      <c r="AH120" s="2308"/>
      <c r="AI120" s="2308"/>
      <c r="AJ120" s="2308"/>
      <c r="AK120" s="2308"/>
      <c r="AL120" s="2308"/>
      <c r="AM120" s="2308"/>
      <c r="AN120" s="2308"/>
      <c r="AO120" s="2308"/>
      <c r="AP120" s="2308"/>
      <c r="AQ120" s="2308"/>
      <c r="AR120" s="2308"/>
      <c r="AS120" s="2308"/>
      <c r="AT120" s="2308"/>
      <c r="AU120" s="2308"/>
      <c r="AV120" s="2308"/>
      <c r="AW120" s="2308"/>
      <c r="AX120" s="2309"/>
      <c r="AY120" s="1207"/>
      <c r="AZ120" s="1207"/>
      <c r="BA120" s="1207"/>
      <c r="BB120" s="1207"/>
      <c r="BC120" s="1207"/>
      <c r="BD120" s="1207"/>
      <c r="BE120" s="1213"/>
    </row>
    <row r="121" spans="1:57" ht="15.75" customHeight="1" thickBot="1">
      <c r="A121" s="1207"/>
      <c r="B121" s="2310"/>
      <c r="C121" s="2311"/>
      <c r="D121" s="2311"/>
      <c r="E121" s="2311"/>
      <c r="F121" s="2311"/>
      <c r="G121" s="2311"/>
      <c r="H121" s="2311"/>
      <c r="I121" s="2311"/>
      <c r="J121" s="2311"/>
      <c r="K121" s="2311"/>
      <c r="L121" s="2311"/>
      <c r="M121" s="2311"/>
      <c r="N121" s="2311"/>
      <c r="O121" s="2311"/>
      <c r="P121" s="2311"/>
      <c r="Q121" s="2311"/>
      <c r="R121" s="2311"/>
      <c r="S121" s="2311"/>
      <c r="T121" s="2311"/>
      <c r="U121" s="2311"/>
      <c r="V121" s="2311"/>
      <c r="W121" s="2311"/>
      <c r="X121" s="2311"/>
      <c r="Y121" s="2311"/>
      <c r="Z121" s="2311"/>
      <c r="AA121" s="2311"/>
      <c r="AB121" s="2311"/>
      <c r="AC121" s="2311"/>
      <c r="AD121" s="2311"/>
      <c r="AE121" s="2311"/>
      <c r="AF121" s="2311"/>
      <c r="AG121" s="2311"/>
      <c r="AH121" s="2311"/>
      <c r="AI121" s="2311"/>
      <c r="AJ121" s="2311"/>
      <c r="AK121" s="2311"/>
      <c r="AL121" s="2311"/>
      <c r="AM121" s="2311"/>
      <c r="AN121" s="2311"/>
      <c r="AO121" s="2311"/>
      <c r="AP121" s="2311"/>
      <c r="AQ121" s="2311"/>
      <c r="AR121" s="2311"/>
      <c r="AS121" s="2311"/>
      <c r="AT121" s="2311"/>
      <c r="AU121" s="2311"/>
      <c r="AV121" s="2311"/>
      <c r="AW121" s="2311"/>
      <c r="AX121" s="231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93" t="s">
        <v>1909</v>
      </c>
      <c r="C125" s="2259"/>
      <c r="D125" s="2259"/>
      <c r="E125" s="2259"/>
      <c r="F125" s="2259"/>
      <c r="G125" s="2259"/>
      <c r="H125" s="2259"/>
      <c r="I125" s="2259"/>
      <c r="J125" s="2259"/>
      <c r="K125" s="2259"/>
      <c r="L125" s="2259"/>
      <c r="M125" s="2259"/>
      <c r="N125" s="2259"/>
      <c r="O125" s="2259"/>
      <c r="P125" s="2259"/>
      <c r="Q125" s="2259"/>
      <c r="R125" s="2259"/>
      <c r="S125" s="2259"/>
      <c r="T125" s="2259"/>
      <c r="U125" s="2260"/>
      <c r="V125" s="1207"/>
      <c r="W125" s="1209"/>
      <c r="X125" s="2293" t="s">
        <v>2268</v>
      </c>
      <c r="Y125" s="2259"/>
      <c r="Z125" s="2259"/>
      <c r="AA125" s="2259"/>
      <c r="AB125" s="2259"/>
      <c r="AC125" s="2259"/>
      <c r="AD125" s="2259"/>
      <c r="AE125" s="2259"/>
      <c r="AF125" s="2259"/>
      <c r="AG125" s="2259"/>
      <c r="AH125" s="2259"/>
      <c r="AI125" s="2259"/>
      <c r="AJ125" s="2259"/>
      <c r="AK125" s="2259"/>
      <c r="AL125" s="2259"/>
      <c r="AM125" s="2259"/>
      <c r="AN125" s="2259"/>
      <c r="AO125" s="2259"/>
      <c r="AP125" s="2259"/>
      <c r="AQ125" s="226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67"/>
      <c r="C126" s="2268"/>
      <c r="D126" s="2268"/>
      <c r="E126" s="2268"/>
      <c r="F126" s="2268"/>
      <c r="G126" s="2268"/>
      <c r="H126" s="2268"/>
      <c r="I126" s="2299" t="s">
        <v>1898</v>
      </c>
      <c r="J126" s="2299"/>
      <c r="K126" s="2299"/>
      <c r="L126" s="2299"/>
      <c r="M126" s="2299"/>
      <c r="N126" s="2299"/>
      <c r="O126" s="2299"/>
      <c r="P126" s="2299" t="s">
        <v>2269</v>
      </c>
      <c r="Q126" s="2299"/>
      <c r="R126" s="2299"/>
      <c r="S126" s="2299"/>
      <c r="T126" s="2299"/>
      <c r="U126" s="2300"/>
      <c r="V126" s="1207"/>
      <c r="W126" s="1207"/>
      <c r="X126" s="2267"/>
      <c r="Y126" s="2268"/>
      <c r="Z126" s="2268"/>
      <c r="AA126" s="2268"/>
      <c r="AB126" s="2268"/>
      <c r="AC126" s="2268"/>
      <c r="AD126" s="2268"/>
      <c r="AE126" s="2299" t="s">
        <v>1898</v>
      </c>
      <c r="AF126" s="2299"/>
      <c r="AG126" s="2299"/>
      <c r="AH126" s="2299"/>
      <c r="AI126" s="2299"/>
      <c r="AJ126" s="2299"/>
      <c r="AK126" s="2299"/>
      <c r="AL126" s="2299" t="s">
        <v>2263</v>
      </c>
      <c r="AM126" s="2299"/>
      <c r="AN126" s="2299"/>
      <c r="AO126" s="2299"/>
      <c r="AP126" s="2299"/>
      <c r="AQ126" s="230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67"/>
      <c r="C127" s="2268"/>
      <c r="D127" s="2268"/>
      <c r="E127" s="2268"/>
      <c r="F127" s="2268"/>
      <c r="G127" s="2268"/>
      <c r="H127" s="2268"/>
      <c r="I127" s="2299"/>
      <c r="J127" s="2299"/>
      <c r="K127" s="2299"/>
      <c r="L127" s="2299"/>
      <c r="M127" s="2299"/>
      <c r="N127" s="2299"/>
      <c r="O127" s="2299"/>
      <c r="P127" s="2299"/>
      <c r="Q127" s="2299"/>
      <c r="R127" s="2299"/>
      <c r="S127" s="2299"/>
      <c r="T127" s="2299"/>
      <c r="U127" s="2300"/>
      <c r="V127" s="1207"/>
      <c r="W127" s="1207"/>
      <c r="X127" s="2267"/>
      <c r="Y127" s="2268"/>
      <c r="Z127" s="2268"/>
      <c r="AA127" s="2268"/>
      <c r="AB127" s="2268"/>
      <c r="AC127" s="2268"/>
      <c r="AD127" s="2268"/>
      <c r="AE127" s="2299"/>
      <c r="AF127" s="2299"/>
      <c r="AG127" s="2299"/>
      <c r="AH127" s="2299"/>
      <c r="AI127" s="2299"/>
      <c r="AJ127" s="2299"/>
      <c r="AK127" s="2299"/>
      <c r="AL127" s="2299"/>
      <c r="AM127" s="2299"/>
      <c r="AN127" s="2299"/>
      <c r="AO127" s="2299"/>
      <c r="AP127" s="2299"/>
      <c r="AQ127" s="230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95" t="s">
        <v>2251</v>
      </c>
      <c r="C128" s="2296"/>
      <c r="D128" s="2296"/>
      <c r="E128" s="2296"/>
      <c r="F128" s="2296"/>
      <c r="G128" s="2296"/>
      <c r="H128" s="2296"/>
      <c r="I128" s="2297">
        <v>0</v>
      </c>
      <c r="J128" s="2297"/>
      <c r="K128" s="2297"/>
      <c r="L128" s="2297"/>
      <c r="M128" s="2297"/>
      <c r="N128" s="2297"/>
      <c r="O128" s="2297"/>
      <c r="P128" s="2297">
        <v>0</v>
      </c>
      <c r="Q128" s="2297"/>
      <c r="R128" s="2297"/>
      <c r="S128" s="2297"/>
      <c r="T128" s="2297"/>
      <c r="U128" s="2298"/>
      <c r="V128" s="1207"/>
      <c r="W128" s="1207"/>
      <c r="X128" s="2289" t="s">
        <v>2251</v>
      </c>
      <c r="Y128" s="2290"/>
      <c r="Z128" s="2290"/>
      <c r="AA128" s="2290"/>
      <c r="AB128" s="2290"/>
      <c r="AC128" s="2290"/>
      <c r="AD128" s="2290"/>
      <c r="AE128" s="2291">
        <v>0</v>
      </c>
      <c r="AF128" s="2291"/>
      <c r="AG128" s="2291"/>
      <c r="AH128" s="2291"/>
      <c r="AI128" s="2291"/>
      <c r="AJ128" s="2291"/>
      <c r="AK128" s="2291"/>
      <c r="AL128" s="2291">
        <v>0</v>
      </c>
      <c r="AM128" s="2291"/>
      <c r="AN128" s="2291"/>
      <c r="AO128" s="2291"/>
      <c r="AP128" s="2291"/>
      <c r="AQ128" s="229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9" t="s">
        <v>2252</v>
      </c>
      <c r="C129" s="2290"/>
      <c r="D129" s="2290"/>
      <c r="E129" s="2290"/>
      <c r="F129" s="2290"/>
      <c r="G129" s="2290"/>
      <c r="H129" s="2290"/>
      <c r="I129" s="2291">
        <v>0</v>
      </c>
      <c r="J129" s="2291"/>
      <c r="K129" s="2291"/>
      <c r="L129" s="2291"/>
      <c r="M129" s="2291"/>
      <c r="N129" s="2291"/>
      <c r="O129" s="2291"/>
      <c r="P129" s="2291">
        <v>0</v>
      </c>
      <c r="Q129" s="2291"/>
      <c r="R129" s="2291"/>
      <c r="S129" s="2291"/>
      <c r="T129" s="2291"/>
      <c r="U129" s="229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93" t="s">
        <v>2253</v>
      </c>
      <c r="D131" s="2259"/>
      <c r="E131" s="2259"/>
      <c r="F131" s="2259"/>
      <c r="G131" s="2259"/>
      <c r="H131" s="2259"/>
      <c r="I131" s="2259"/>
      <c r="J131" s="2259"/>
      <c r="K131" s="2259"/>
      <c r="L131" s="2259"/>
      <c r="M131" s="2259"/>
      <c r="N131" s="2259"/>
      <c r="O131" s="2259"/>
      <c r="P131" s="2259"/>
      <c r="Q131" s="2259"/>
      <c r="R131" s="2259"/>
      <c r="S131" s="2259"/>
      <c r="T131" s="2259"/>
      <c r="U131" s="2259"/>
      <c r="V131" s="2259"/>
      <c r="W131" s="2259"/>
      <c r="X131" s="2259"/>
      <c r="Y131" s="2259"/>
      <c r="Z131" s="2259"/>
      <c r="AA131" s="2259"/>
      <c r="AB131" s="2259"/>
      <c r="AC131" s="2259"/>
      <c r="AD131" s="2259"/>
      <c r="AE131" s="2259"/>
      <c r="AF131" s="2259"/>
      <c r="AG131" s="226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67" t="s">
        <v>1910</v>
      </c>
      <c r="D132" s="2268"/>
      <c r="E132" s="2268"/>
      <c r="F132" s="2268"/>
      <c r="G132" s="2268"/>
      <c r="H132" s="2268"/>
      <c r="I132" s="2268"/>
      <c r="J132" s="2268"/>
      <c r="K132" s="2268"/>
      <c r="L132" s="2268"/>
      <c r="M132" s="2268"/>
      <c r="N132" s="2268"/>
      <c r="O132" s="2268"/>
      <c r="P132" s="2268"/>
      <c r="Q132" s="2268" t="s">
        <v>1911</v>
      </c>
      <c r="R132" s="2268"/>
      <c r="S132" s="2268"/>
      <c r="T132" s="2294" t="s">
        <v>2254</v>
      </c>
      <c r="U132" s="2294"/>
      <c r="V132" s="2294"/>
      <c r="W132" s="2294"/>
      <c r="X132" s="2294"/>
      <c r="Y132" s="2294"/>
      <c r="Z132" s="2294"/>
      <c r="AA132" s="2294"/>
      <c r="AB132" s="2268" t="s">
        <v>1912</v>
      </c>
      <c r="AC132" s="2268"/>
      <c r="AD132" s="2268"/>
      <c r="AE132" s="2268"/>
      <c r="AF132" s="2268"/>
      <c r="AG132" s="226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76" t="s">
        <v>1913</v>
      </c>
      <c r="D133" s="2277"/>
      <c r="E133" s="2277"/>
      <c r="F133" s="2277"/>
      <c r="G133" s="2277"/>
      <c r="H133" s="2277"/>
      <c r="I133" s="2277"/>
      <c r="J133" s="2277"/>
      <c r="K133" s="2277"/>
      <c r="L133" s="2277"/>
      <c r="M133" s="2277"/>
      <c r="N133" s="2277"/>
      <c r="O133" s="2277"/>
      <c r="P133" s="2277"/>
      <c r="Q133" s="2224">
        <v>55</v>
      </c>
      <c r="R133" s="2224"/>
      <c r="S133" s="2224"/>
      <c r="T133" s="2261"/>
      <c r="U133" s="2261"/>
      <c r="V133" s="2261"/>
      <c r="W133" s="2261"/>
      <c r="X133" s="2261"/>
      <c r="Y133" s="2261"/>
      <c r="Z133" s="2261"/>
      <c r="AA133" s="2261"/>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76" t="s">
        <v>1914</v>
      </c>
      <c r="D134" s="2277"/>
      <c r="E134" s="2277"/>
      <c r="F134" s="2277"/>
      <c r="G134" s="2277"/>
      <c r="H134" s="2277"/>
      <c r="I134" s="2277"/>
      <c r="J134" s="2277"/>
      <c r="K134" s="2277"/>
      <c r="L134" s="2277"/>
      <c r="M134" s="2277"/>
      <c r="N134" s="2277"/>
      <c r="O134" s="2277"/>
      <c r="P134" s="2277"/>
      <c r="Q134" s="2224">
        <v>55</v>
      </c>
      <c r="R134" s="2224"/>
      <c r="S134" s="2224"/>
      <c r="T134" s="2279"/>
      <c r="U134" s="2279"/>
      <c r="V134" s="2279"/>
      <c r="W134" s="2279"/>
      <c r="X134" s="2279"/>
      <c r="Y134" s="2279"/>
      <c r="Z134" s="2279"/>
      <c r="AA134" s="227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76" t="s">
        <v>1915</v>
      </c>
      <c r="D135" s="2277"/>
      <c r="E135" s="2277"/>
      <c r="F135" s="2277"/>
      <c r="G135" s="2277"/>
      <c r="H135" s="2277"/>
      <c r="I135" s="2277"/>
      <c r="J135" s="2277"/>
      <c r="K135" s="2277"/>
      <c r="L135" s="2277"/>
      <c r="M135" s="2277"/>
      <c r="N135" s="2277"/>
      <c r="O135" s="2277"/>
      <c r="P135" s="2277"/>
      <c r="Q135" s="2224">
        <v>55</v>
      </c>
      <c r="R135" s="2224"/>
      <c r="S135" s="2224"/>
      <c r="T135" s="2261"/>
      <c r="U135" s="2261"/>
      <c r="V135" s="2261"/>
      <c r="W135" s="2261"/>
      <c r="X135" s="2261"/>
      <c r="Y135" s="2261"/>
      <c r="Z135" s="2261"/>
      <c r="AA135" s="226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76" t="s">
        <v>1883</v>
      </c>
      <c r="D136" s="2277"/>
      <c r="E136" s="2277"/>
      <c r="F136" s="2277"/>
      <c r="G136" s="2277"/>
      <c r="H136" s="2277"/>
      <c r="I136" s="2277"/>
      <c r="J136" s="2277"/>
      <c r="K136" s="2277"/>
      <c r="L136" s="2277"/>
      <c r="M136" s="2277"/>
      <c r="N136" s="2277"/>
      <c r="O136" s="2277"/>
      <c r="P136" s="2277"/>
      <c r="Q136" s="2224">
        <v>55</v>
      </c>
      <c r="R136" s="2224"/>
      <c r="S136" s="2224"/>
      <c r="T136" s="2261"/>
      <c r="U136" s="2261"/>
      <c r="V136" s="2261"/>
      <c r="W136" s="2261"/>
      <c r="X136" s="2261"/>
      <c r="Y136" s="2261"/>
      <c r="Z136" s="2261"/>
      <c r="AA136" s="2261"/>
      <c r="AB136" s="2280">
        <v>0</v>
      </c>
      <c r="AC136" s="2280"/>
      <c r="AD136" s="2280"/>
      <c r="AE136" s="2280"/>
      <c r="AF136" s="2280"/>
      <c r="AG136" s="228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76" t="s">
        <v>171</v>
      </c>
      <c r="D137" s="2277"/>
      <c r="E137" s="2277"/>
      <c r="F137" s="2278" t="s">
        <v>1916</v>
      </c>
      <c r="G137" s="2278"/>
      <c r="H137" s="2278"/>
      <c r="I137" s="2278"/>
      <c r="J137" s="2278"/>
      <c r="K137" s="2278"/>
      <c r="L137" s="2278"/>
      <c r="M137" s="2278"/>
      <c r="N137" s="2278"/>
      <c r="O137" s="2278"/>
      <c r="P137" s="2278"/>
      <c r="Q137" s="2224">
        <v>55</v>
      </c>
      <c r="R137" s="2224"/>
      <c r="S137" s="2224"/>
      <c r="T137" s="2279"/>
      <c r="U137" s="2279"/>
      <c r="V137" s="2279"/>
      <c r="W137" s="2279"/>
      <c r="X137" s="2279"/>
      <c r="Y137" s="2279"/>
      <c r="Z137" s="2279"/>
      <c r="AA137" s="2279"/>
      <c r="AB137" s="2280">
        <v>0</v>
      </c>
      <c r="AC137" s="2280"/>
      <c r="AD137" s="2280"/>
      <c r="AE137" s="2280"/>
      <c r="AF137" s="2280"/>
      <c r="AG137" s="228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76" t="s">
        <v>171</v>
      </c>
      <c r="D138" s="2277"/>
      <c r="E138" s="2277"/>
      <c r="F138" s="2278" t="s">
        <v>1916</v>
      </c>
      <c r="G138" s="2278"/>
      <c r="H138" s="2278"/>
      <c r="I138" s="2278"/>
      <c r="J138" s="2278"/>
      <c r="K138" s="2278"/>
      <c r="L138" s="2278"/>
      <c r="M138" s="2278"/>
      <c r="N138" s="2278"/>
      <c r="O138" s="2278"/>
      <c r="P138" s="2278"/>
      <c r="Q138" s="2224">
        <v>55</v>
      </c>
      <c r="R138" s="2224"/>
      <c r="S138" s="2224"/>
      <c r="T138" s="2279"/>
      <c r="U138" s="2279"/>
      <c r="V138" s="2279"/>
      <c r="W138" s="2279"/>
      <c r="X138" s="2279"/>
      <c r="Y138" s="2279"/>
      <c r="Z138" s="2279"/>
      <c r="AA138" s="2279"/>
      <c r="AB138" s="2280">
        <v>0</v>
      </c>
      <c r="AC138" s="2280"/>
      <c r="AD138" s="2280"/>
      <c r="AE138" s="2280"/>
      <c r="AF138" s="2280"/>
      <c r="AG138" s="228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82" t="s">
        <v>171</v>
      </c>
      <c r="D139" s="2283"/>
      <c r="E139" s="2283"/>
      <c r="F139" s="2284" t="s">
        <v>1916</v>
      </c>
      <c r="G139" s="2284"/>
      <c r="H139" s="2284"/>
      <c r="I139" s="2284"/>
      <c r="J139" s="2284"/>
      <c r="K139" s="2284"/>
      <c r="L139" s="2284"/>
      <c r="M139" s="2284"/>
      <c r="N139" s="2284"/>
      <c r="O139" s="2284"/>
      <c r="P139" s="2284"/>
      <c r="Q139" s="2285">
        <v>55</v>
      </c>
      <c r="R139" s="2285"/>
      <c r="S139" s="2285"/>
      <c r="T139" s="2286"/>
      <c r="U139" s="2286"/>
      <c r="V139" s="2286"/>
      <c r="W139" s="2286"/>
      <c r="X139" s="2286"/>
      <c r="Y139" s="2286"/>
      <c r="Z139" s="2286"/>
      <c r="AA139" s="2286"/>
      <c r="AB139" s="2287">
        <v>0</v>
      </c>
      <c r="AC139" s="2287"/>
      <c r="AD139" s="2287"/>
      <c r="AE139" s="2287"/>
      <c r="AF139" s="2287"/>
      <c r="AG139" s="228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57" t="s">
        <v>1917</v>
      </c>
      <c r="D141" s="2258"/>
      <c r="E141" s="2258"/>
      <c r="F141" s="2258"/>
      <c r="G141" s="2258"/>
      <c r="H141" s="2258"/>
      <c r="I141" s="2258"/>
      <c r="J141" s="2258"/>
      <c r="K141" s="2258"/>
      <c r="L141" s="2258"/>
      <c r="M141" s="2258"/>
      <c r="N141" s="2263"/>
      <c r="O141" s="1207"/>
      <c r="P141" s="2264" t="s">
        <v>1918</v>
      </c>
      <c r="Q141" s="2265"/>
      <c r="R141" s="2265"/>
      <c r="S141" s="2265"/>
      <c r="T141" s="2265"/>
      <c r="U141" s="2265"/>
      <c r="V141" s="2265"/>
      <c r="W141" s="2265"/>
      <c r="X141" s="2265"/>
      <c r="Y141" s="2265"/>
      <c r="Z141" s="2265"/>
      <c r="AA141" s="2265"/>
      <c r="AB141" s="2265"/>
      <c r="AC141" s="2265"/>
      <c r="AD141" s="2265"/>
      <c r="AE141" s="2265"/>
      <c r="AF141" s="2265"/>
      <c r="AG141" s="2265"/>
      <c r="AH141" s="2265"/>
      <c r="AI141" s="2265"/>
      <c r="AJ141" s="2265"/>
      <c r="AK141" s="2265"/>
      <c r="AL141" s="2265"/>
      <c r="AM141" s="2265"/>
      <c r="AN141" s="2265"/>
      <c r="AO141" s="226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67" t="s">
        <v>1919</v>
      </c>
      <c r="D142" s="2268"/>
      <c r="E142" s="2268"/>
      <c r="F142" s="2268"/>
      <c r="G142" s="2268"/>
      <c r="H142" s="2268"/>
      <c r="I142" s="2268" t="s">
        <v>1920</v>
      </c>
      <c r="J142" s="2268"/>
      <c r="K142" s="2268"/>
      <c r="L142" s="2268"/>
      <c r="M142" s="2268"/>
      <c r="N142" s="2269"/>
      <c r="O142" s="1207"/>
      <c r="P142" s="2270" t="s">
        <v>2262</v>
      </c>
      <c r="Q142" s="2271"/>
      <c r="R142" s="2271"/>
      <c r="S142" s="2271"/>
      <c r="T142" s="2271"/>
      <c r="U142" s="2271"/>
      <c r="V142" s="2271"/>
      <c r="W142" s="2271"/>
      <c r="X142" s="2271"/>
      <c r="Y142" s="2271"/>
      <c r="Z142" s="2271"/>
      <c r="AA142" s="2271"/>
      <c r="AB142" s="2271"/>
      <c r="AC142" s="2271"/>
      <c r="AD142" s="2271"/>
      <c r="AE142" s="2271"/>
      <c r="AF142" s="2271"/>
      <c r="AG142" s="2271"/>
      <c r="AH142" s="2271"/>
      <c r="AI142" s="2271"/>
      <c r="AJ142" s="2271"/>
      <c r="AK142" s="2271"/>
      <c r="AL142" s="2271"/>
      <c r="AM142" s="2271"/>
      <c r="AN142" s="2271"/>
      <c r="AO142" s="227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17"/>
      <c r="D143" s="2218"/>
      <c r="E143" s="2218"/>
      <c r="F143" s="2218"/>
      <c r="G143" s="2218"/>
      <c r="H143" s="2218"/>
      <c r="I143" s="2261"/>
      <c r="J143" s="2261"/>
      <c r="K143" s="2261"/>
      <c r="L143" s="2261"/>
      <c r="M143" s="2261"/>
      <c r="N143" s="2262"/>
      <c r="O143" s="1207"/>
      <c r="P143" s="2270"/>
      <c r="Q143" s="2271"/>
      <c r="R143" s="2271"/>
      <c r="S143" s="2271"/>
      <c r="T143" s="2271"/>
      <c r="U143" s="2271"/>
      <c r="V143" s="2271"/>
      <c r="W143" s="2271"/>
      <c r="X143" s="2271"/>
      <c r="Y143" s="2271"/>
      <c r="Z143" s="2271"/>
      <c r="AA143" s="2271"/>
      <c r="AB143" s="2271"/>
      <c r="AC143" s="2271"/>
      <c r="AD143" s="2271"/>
      <c r="AE143" s="2271"/>
      <c r="AF143" s="2271"/>
      <c r="AG143" s="2271"/>
      <c r="AH143" s="2271"/>
      <c r="AI143" s="2271"/>
      <c r="AJ143" s="2271"/>
      <c r="AK143" s="2271"/>
      <c r="AL143" s="2271"/>
      <c r="AM143" s="2271"/>
      <c r="AN143" s="2271"/>
      <c r="AO143" s="227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17"/>
      <c r="D144" s="2218"/>
      <c r="E144" s="2218"/>
      <c r="F144" s="2218"/>
      <c r="G144" s="2218"/>
      <c r="H144" s="2218"/>
      <c r="I144" s="2261"/>
      <c r="J144" s="2261"/>
      <c r="K144" s="2261"/>
      <c r="L144" s="2261"/>
      <c r="M144" s="2261"/>
      <c r="N144" s="2262"/>
      <c r="O144" s="1207"/>
      <c r="P144" s="2270"/>
      <c r="Q144" s="2271"/>
      <c r="R144" s="2271"/>
      <c r="S144" s="2271"/>
      <c r="T144" s="2271"/>
      <c r="U144" s="2271"/>
      <c r="V144" s="2271"/>
      <c r="W144" s="2271"/>
      <c r="X144" s="2271"/>
      <c r="Y144" s="2271"/>
      <c r="Z144" s="2271"/>
      <c r="AA144" s="2271"/>
      <c r="AB144" s="2271"/>
      <c r="AC144" s="2271"/>
      <c r="AD144" s="2271"/>
      <c r="AE144" s="2271"/>
      <c r="AF144" s="2271"/>
      <c r="AG144" s="2271"/>
      <c r="AH144" s="2271"/>
      <c r="AI144" s="2271"/>
      <c r="AJ144" s="2271"/>
      <c r="AK144" s="2271"/>
      <c r="AL144" s="2271"/>
      <c r="AM144" s="2271"/>
      <c r="AN144" s="2271"/>
      <c r="AO144" s="227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17"/>
      <c r="D145" s="2218"/>
      <c r="E145" s="2218"/>
      <c r="F145" s="2218"/>
      <c r="G145" s="2218"/>
      <c r="H145" s="2218"/>
      <c r="I145" s="2261"/>
      <c r="J145" s="2261"/>
      <c r="K145" s="2261"/>
      <c r="L145" s="2261"/>
      <c r="M145" s="2261"/>
      <c r="N145" s="2262"/>
      <c r="O145" s="1207"/>
      <c r="P145" s="2270"/>
      <c r="Q145" s="2271"/>
      <c r="R145" s="2271"/>
      <c r="S145" s="2271"/>
      <c r="T145" s="2271"/>
      <c r="U145" s="2271"/>
      <c r="V145" s="2271"/>
      <c r="W145" s="2271"/>
      <c r="X145" s="2271"/>
      <c r="Y145" s="2271"/>
      <c r="Z145" s="2271"/>
      <c r="AA145" s="2271"/>
      <c r="AB145" s="2271"/>
      <c r="AC145" s="2271"/>
      <c r="AD145" s="2271"/>
      <c r="AE145" s="2271"/>
      <c r="AF145" s="2271"/>
      <c r="AG145" s="2271"/>
      <c r="AH145" s="2271"/>
      <c r="AI145" s="2271"/>
      <c r="AJ145" s="2271"/>
      <c r="AK145" s="2271"/>
      <c r="AL145" s="2271"/>
      <c r="AM145" s="2271"/>
      <c r="AN145" s="2271"/>
      <c r="AO145" s="227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17"/>
      <c r="D146" s="2218"/>
      <c r="E146" s="2218"/>
      <c r="F146" s="2218"/>
      <c r="G146" s="2218"/>
      <c r="H146" s="2218"/>
      <c r="I146" s="2261"/>
      <c r="J146" s="2261"/>
      <c r="K146" s="2261"/>
      <c r="L146" s="2261"/>
      <c r="M146" s="2261"/>
      <c r="N146" s="2262"/>
      <c r="O146" s="1207"/>
      <c r="P146" s="2270"/>
      <c r="Q146" s="2271"/>
      <c r="R146" s="2271"/>
      <c r="S146" s="2271"/>
      <c r="T146" s="2271"/>
      <c r="U146" s="2271"/>
      <c r="V146" s="2271"/>
      <c r="W146" s="2271"/>
      <c r="X146" s="2271"/>
      <c r="Y146" s="2271"/>
      <c r="Z146" s="2271"/>
      <c r="AA146" s="2271"/>
      <c r="AB146" s="2271"/>
      <c r="AC146" s="2271"/>
      <c r="AD146" s="2271"/>
      <c r="AE146" s="2271"/>
      <c r="AF146" s="2271"/>
      <c r="AG146" s="2271"/>
      <c r="AH146" s="2271"/>
      <c r="AI146" s="2271"/>
      <c r="AJ146" s="2271"/>
      <c r="AK146" s="2271"/>
      <c r="AL146" s="2271"/>
      <c r="AM146" s="2271"/>
      <c r="AN146" s="2271"/>
      <c r="AO146" s="227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17"/>
      <c r="D147" s="2218"/>
      <c r="E147" s="2218"/>
      <c r="F147" s="2218"/>
      <c r="G147" s="2218"/>
      <c r="H147" s="2218"/>
      <c r="I147" s="2261"/>
      <c r="J147" s="2261"/>
      <c r="K147" s="2261"/>
      <c r="L147" s="2261"/>
      <c r="M147" s="2261"/>
      <c r="N147" s="2262"/>
      <c r="O147" s="1207"/>
      <c r="P147" s="2270"/>
      <c r="Q147" s="2271"/>
      <c r="R147" s="2271"/>
      <c r="S147" s="2271"/>
      <c r="T147" s="2271"/>
      <c r="U147" s="2271"/>
      <c r="V147" s="2271"/>
      <c r="W147" s="2271"/>
      <c r="X147" s="2271"/>
      <c r="Y147" s="2271"/>
      <c r="Z147" s="2271"/>
      <c r="AA147" s="2271"/>
      <c r="AB147" s="2271"/>
      <c r="AC147" s="2271"/>
      <c r="AD147" s="2271"/>
      <c r="AE147" s="2271"/>
      <c r="AF147" s="2271"/>
      <c r="AG147" s="2271"/>
      <c r="AH147" s="2271"/>
      <c r="AI147" s="2271"/>
      <c r="AJ147" s="2271"/>
      <c r="AK147" s="2271"/>
      <c r="AL147" s="2271"/>
      <c r="AM147" s="2271"/>
      <c r="AN147" s="2271"/>
      <c r="AO147" s="227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17"/>
      <c r="D148" s="2218"/>
      <c r="E148" s="2218"/>
      <c r="F148" s="2218"/>
      <c r="G148" s="2218"/>
      <c r="H148" s="2218"/>
      <c r="I148" s="2261"/>
      <c r="J148" s="2261"/>
      <c r="K148" s="2261"/>
      <c r="L148" s="2261"/>
      <c r="M148" s="2261"/>
      <c r="N148" s="2262"/>
      <c r="O148" s="1207"/>
      <c r="P148" s="2270"/>
      <c r="Q148" s="2271"/>
      <c r="R148" s="2271"/>
      <c r="S148" s="2271"/>
      <c r="T148" s="2271"/>
      <c r="U148" s="2271"/>
      <c r="V148" s="2271"/>
      <c r="W148" s="2271"/>
      <c r="X148" s="2271"/>
      <c r="Y148" s="2271"/>
      <c r="Z148" s="2271"/>
      <c r="AA148" s="2271"/>
      <c r="AB148" s="2271"/>
      <c r="AC148" s="2271"/>
      <c r="AD148" s="2271"/>
      <c r="AE148" s="2271"/>
      <c r="AF148" s="2271"/>
      <c r="AG148" s="2271"/>
      <c r="AH148" s="2271"/>
      <c r="AI148" s="2271"/>
      <c r="AJ148" s="2271"/>
      <c r="AK148" s="2271"/>
      <c r="AL148" s="2271"/>
      <c r="AM148" s="2271"/>
      <c r="AN148" s="2271"/>
      <c r="AO148" s="227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52"/>
      <c r="D149" s="2253"/>
      <c r="E149" s="2253"/>
      <c r="F149" s="2253"/>
      <c r="G149" s="2253"/>
      <c r="H149" s="2253"/>
      <c r="I149" s="2254"/>
      <c r="J149" s="2254"/>
      <c r="K149" s="2254"/>
      <c r="L149" s="2254"/>
      <c r="M149" s="2254"/>
      <c r="N149" s="2255"/>
      <c r="O149" s="1207"/>
      <c r="P149" s="2273"/>
      <c r="Q149" s="2274"/>
      <c r="R149" s="2274"/>
      <c r="S149" s="2274"/>
      <c r="T149" s="2274"/>
      <c r="U149" s="2274"/>
      <c r="V149" s="2274"/>
      <c r="W149" s="2274"/>
      <c r="X149" s="2274"/>
      <c r="Y149" s="2274"/>
      <c r="Z149" s="2274"/>
      <c r="AA149" s="2274"/>
      <c r="AB149" s="2274"/>
      <c r="AC149" s="2274"/>
      <c r="AD149" s="2274"/>
      <c r="AE149" s="2274"/>
      <c r="AF149" s="2274"/>
      <c r="AG149" s="2274"/>
      <c r="AH149" s="2274"/>
      <c r="AI149" s="2274"/>
      <c r="AJ149" s="2274"/>
      <c r="AK149" s="2274"/>
      <c r="AL149" s="2274"/>
      <c r="AM149" s="2274"/>
      <c r="AN149" s="2274"/>
      <c r="AO149" s="227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56" t="s">
        <v>2595</v>
      </c>
      <c r="D151" s="2256"/>
      <c r="E151" s="2256"/>
      <c r="F151" s="2256"/>
      <c r="G151" s="2256"/>
      <c r="H151" s="2256"/>
      <c r="I151" s="2256"/>
      <c r="J151" s="2256"/>
      <c r="K151" s="2256"/>
      <c r="L151" s="2256"/>
      <c r="M151" s="2256"/>
      <c r="N151" s="2256"/>
      <c r="O151" s="2256"/>
      <c r="P151" s="2256"/>
      <c r="Q151" s="2256"/>
      <c r="R151" s="2256"/>
      <c r="S151" s="2256"/>
      <c r="T151" s="2256"/>
      <c r="U151" s="2256"/>
      <c r="V151" s="2256"/>
      <c r="W151" s="2256"/>
      <c r="X151" s="2256"/>
      <c r="Y151" s="2256"/>
      <c r="Z151" s="2256"/>
      <c r="AA151" s="2256"/>
      <c r="AB151" s="2256"/>
      <c r="AC151" s="2256"/>
      <c r="AD151" s="2256"/>
      <c r="AE151" s="225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56"/>
      <c r="D152" s="2256"/>
      <c r="E152" s="2256"/>
      <c r="F152" s="2256"/>
      <c r="G152" s="2256"/>
      <c r="H152" s="2256"/>
      <c r="I152" s="2256"/>
      <c r="J152" s="2256"/>
      <c r="K152" s="2256"/>
      <c r="L152" s="2256"/>
      <c r="M152" s="2256"/>
      <c r="N152" s="2256"/>
      <c r="O152" s="2256"/>
      <c r="P152" s="2256"/>
      <c r="Q152" s="2256"/>
      <c r="R152" s="2256"/>
      <c r="S152" s="2256"/>
      <c r="T152" s="2256"/>
      <c r="U152" s="2256"/>
      <c r="V152" s="2256"/>
      <c r="W152" s="2256"/>
      <c r="X152" s="2256"/>
      <c r="Y152" s="2256"/>
      <c r="Z152" s="2256"/>
      <c r="AA152" s="2256"/>
      <c r="AB152" s="2256"/>
      <c r="AC152" s="2256"/>
      <c r="AD152" s="2256"/>
      <c r="AE152" s="2256"/>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57" t="s">
        <v>1910</v>
      </c>
      <c r="D153" s="2258"/>
      <c r="E153" s="2258"/>
      <c r="F153" s="2258"/>
      <c r="G153" s="2258"/>
      <c r="H153" s="2258"/>
      <c r="I153" s="2258"/>
      <c r="J153" s="2258"/>
      <c r="K153" s="2258"/>
      <c r="L153" s="2258"/>
      <c r="M153" s="2258"/>
      <c r="N153" s="2258" t="s">
        <v>1921</v>
      </c>
      <c r="O153" s="2258"/>
      <c r="P153" s="2258"/>
      <c r="Q153" s="2258"/>
      <c r="R153" s="2258"/>
      <c r="S153" s="2258"/>
      <c r="T153" s="2258"/>
      <c r="U153" s="2259" t="s">
        <v>1910</v>
      </c>
      <c r="V153" s="2259"/>
      <c r="W153" s="2259"/>
      <c r="X153" s="2259"/>
      <c r="Y153" s="2259"/>
      <c r="Z153" s="2259"/>
      <c r="AA153" s="2259"/>
      <c r="AB153" s="2259"/>
      <c r="AC153" s="2259"/>
      <c r="AD153" s="2259"/>
      <c r="AE153" s="2260"/>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9" t="s">
        <v>2596</v>
      </c>
      <c r="D154" s="2230"/>
      <c r="E154" s="2230"/>
      <c r="F154" s="2230"/>
      <c r="G154" s="2230"/>
      <c r="H154" s="2230"/>
      <c r="I154" s="2230"/>
      <c r="J154" s="2230"/>
      <c r="K154" s="2230"/>
      <c r="L154" s="2230"/>
      <c r="M154" s="2230"/>
      <c r="N154" s="2246">
        <f>'Sources and Uses Budget'!B105</f>
        <v>59097552</v>
      </c>
      <c r="O154" s="2246"/>
      <c r="P154" s="2246"/>
      <c r="Q154" s="2246"/>
      <c r="R154" s="2246"/>
      <c r="S154" s="2246"/>
      <c r="T154" s="2246"/>
      <c r="U154" s="2247"/>
      <c r="V154" s="2247"/>
      <c r="W154" s="2247"/>
      <c r="X154" s="2247"/>
      <c r="Y154" s="2247"/>
      <c r="Z154" s="2247"/>
      <c r="AA154" s="2247"/>
      <c r="AB154" s="2247"/>
      <c r="AC154" s="2247"/>
      <c r="AD154" s="2247"/>
      <c r="AE154" s="2248"/>
      <c r="AF154" s="1207"/>
      <c r="AG154" s="1207"/>
      <c r="AH154" s="1233" t="s">
        <v>2597</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9" t="s">
        <v>2598</v>
      </c>
      <c r="D155" s="2230"/>
      <c r="E155" s="2230"/>
      <c r="F155" s="2230"/>
      <c r="G155" s="2230"/>
      <c r="H155" s="2230"/>
      <c r="I155" s="2230"/>
      <c r="J155" s="2230"/>
      <c r="K155" s="2230"/>
      <c r="L155" s="2230"/>
      <c r="M155" s="2230"/>
      <c r="N155" s="2246">
        <f>N154/J29</f>
        <v>356009.34939759038</v>
      </c>
      <c r="O155" s="2246"/>
      <c r="P155" s="2246"/>
      <c r="Q155" s="2246"/>
      <c r="R155" s="2246"/>
      <c r="S155" s="2246"/>
      <c r="T155" s="224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9" t="s">
        <v>2599</v>
      </c>
      <c r="D156" s="2250"/>
      <c r="E156" s="2250"/>
      <c r="F156" s="2250"/>
      <c r="G156" s="2250"/>
      <c r="H156" s="2250"/>
      <c r="I156" s="2250"/>
      <c r="J156" s="2250"/>
      <c r="K156" s="2250"/>
      <c r="L156" s="2250"/>
      <c r="M156" s="2250"/>
      <c r="N156" s="2251">
        <v>0</v>
      </c>
      <c r="O156" s="2251"/>
      <c r="P156" s="2251"/>
      <c r="Q156" s="2251"/>
      <c r="R156" s="2251"/>
      <c r="S156" s="2251"/>
      <c r="T156" s="2251"/>
      <c r="U156" s="2221"/>
      <c r="V156" s="2221"/>
      <c r="W156" s="2221"/>
      <c r="X156" s="2221"/>
      <c r="Y156" s="2221"/>
      <c r="Z156" s="2221"/>
      <c r="AA156" s="2221"/>
      <c r="AB156" s="2221"/>
      <c r="AC156" s="2221"/>
      <c r="AD156" s="2221"/>
      <c r="AE156" s="2222"/>
      <c r="AF156" s="1207"/>
      <c r="AG156" s="1207"/>
      <c r="AH156" s="2231" t="s">
        <v>2270</v>
      </c>
      <c r="AI156" s="2232"/>
      <c r="AJ156" s="2232"/>
      <c r="AK156" s="2232"/>
      <c r="AL156" s="2232"/>
      <c r="AM156" s="2232"/>
      <c r="AN156" s="2232"/>
      <c r="AO156" s="2232"/>
      <c r="AP156" s="2232"/>
      <c r="AQ156" s="2232"/>
      <c r="AR156" s="2232"/>
      <c r="AS156" s="2233">
        <f>SUM(AS152:AW154)</f>
        <v>0</v>
      </c>
      <c r="AT156" s="2233"/>
      <c r="AU156" s="2233"/>
      <c r="AV156" s="2233"/>
      <c r="AW156" s="2234"/>
      <c r="AX156" s="1207"/>
      <c r="AY156" s="1207"/>
      <c r="AZ156" s="1207"/>
      <c r="BA156" s="1207"/>
      <c r="BB156" s="1207"/>
      <c r="BC156" s="1207"/>
      <c r="BD156" s="1207"/>
      <c r="BE156" s="1213"/>
    </row>
    <row r="157" spans="1:57" ht="15.75" customHeight="1" thickBot="1">
      <c r="A157" s="1207"/>
      <c r="B157" s="1207"/>
      <c r="C157" s="2229" t="s">
        <v>2600</v>
      </c>
      <c r="D157" s="2230"/>
      <c r="E157" s="2230"/>
      <c r="F157" s="2230"/>
      <c r="G157" s="2230"/>
      <c r="H157" s="2230"/>
      <c r="I157" s="2230"/>
      <c r="J157" s="2230"/>
      <c r="K157" s="2230"/>
      <c r="L157" s="2230"/>
      <c r="M157" s="2230"/>
      <c r="N157" s="2235">
        <f>SUM('Sources and Uses Budget'!B85:B86)</f>
        <v>4454320</v>
      </c>
      <c r="O157" s="2235"/>
      <c r="P157" s="2235"/>
      <c r="Q157" s="2235"/>
      <c r="R157" s="2235"/>
      <c r="S157" s="2235"/>
      <c r="T157" s="2235"/>
      <c r="U157" s="2221"/>
      <c r="V157" s="2221"/>
      <c r="W157" s="2221"/>
      <c r="X157" s="2221"/>
      <c r="Y157" s="2221"/>
      <c r="Z157" s="2221"/>
      <c r="AA157" s="2221"/>
      <c r="AB157" s="2221"/>
      <c r="AC157" s="2221"/>
      <c r="AD157" s="2221"/>
      <c r="AE157" s="2222"/>
      <c r="AF157" s="1207"/>
      <c r="AG157" s="1207"/>
      <c r="AH157" s="1247" t="s">
        <v>2601</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9" t="s">
        <v>2602</v>
      </c>
      <c r="D158" s="2230"/>
      <c r="E158" s="2230"/>
      <c r="F158" s="2230"/>
      <c r="G158" s="2230"/>
      <c r="H158" s="2230"/>
      <c r="I158" s="2230"/>
      <c r="J158" s="2230"/>
      <c r="K158" s="2230"/>
      <c r="L158" s="2230"/>
      <c r="M158" s="2230"/>
      <c r="N158" s="2235">
        <f>'Sources and Uses Budget'!B8</f>
        <v>0</v>
      </c>
      <c r="O158" s="2235"/>
      <c r="P158" s="2235"/>
      <c r="Q158" s="2235"/>
      <c r="R158" s="2235"/>
      <c r="S158" s="2235"/>
      <c r="T158" s="2235"/>
      <c r="U158" s="2221"/>
      <c r="V158" s="2221"/>
      <c r="W158" s="2221"/>
      <c r="X158" s="2221"/>
      <c r="Y158" s="2221"/>
      <c r="Z158" s="2221"/>
      <c r="AA158" s="2221"/>
      <c r="AB158" s="2221"/>
      <c r="AC158" s="2221"/>
      <c r="AD158" s="2221"/>
      <c r="AE158" s="2222"/>
      <c r="AF158" s="1207"/>
      <c r="AG158" s="1207"/>
      <c r="AH158" s="2236" t="s">
        <v>2603</v>
      </c>
      <c r="AI158" s="2237"/>
      <c r="AJ158" s="2237"/>
      <c r="AK158" s="2237"/>
      <c r="AL158" s="2237"/>
      <c r="AM158" s="2237"/>
      <c r="AN158" s="2237"/>
      <c r="AO158" s="2237"/>
      <c r="AP158" s="2237"/>
      <c r="AQ158" s="2237"/>
      <c r="AR158" s="2238"/>
      <c r="AS158" s="2242" t="s">
        <v>2604</v>
      </c>
      <c r="AT158" s="2225"/>
      <c r="AU158" s="2225"/>
      <c r="AV158" s="2225"/>
      <c r="AW158" s="2225"/>
      <c r="AX158" s="2243"/>
      <c r="AY158" s="2225" t="s">
        <v>2605</v>
      </c>
      <c r="AZ158" s="2225"/>
      <c r="BA158" s="2225"/>
      <c r="BB158" s="2225"/>
      <c r="BC158" s="2225"/>
      <c r="BD158" s="2226"/>
      <c r="BE158" s="1213"/>
    </row>
    <row r="159" spans="1:57" ht="15.75" customHeight="1">
      <c r="A159" s="1207"/>
      <c r="B159" s="1207"/>
      <c r="C159" s="2229" t="s">
        <v>2606</v>
      </c>
      <c r="D159" s="2230"/>
      <c r="E159" s="2230"/>
      <c r="F159" s="2230"/>
      <c r="G159" s="2230"/>
      <c r="H159" s="2230"/>
      <c r="I159" s="2230"/>
      <c r="J159" s="2230"/>
      <c r="K159" s="2230"/>
      <c r="L159" s="2230"/>
      <c r="M159" s="2230"/>
      <c r="N159" s="2220">
        <v>0</v>
      </c>
      <c r="O159" s="2220"/>
      <c r="P159" s="2220"/>
      <c r="Q159" s="2220"/>
      <c r="R159" s="2220"/>
      <c r="S159" s="2220"/>
      <c r="T159" s="2220"/>
      <c r="U159" s="2221"/>
      <c r="V159" s="2221"/>
      <c r="W159" s="2221"/>
      <c r="X159" s="2221"/>
      <c r="Y159" s="2221"/>
      <c r="Z159" s="2221"/>
      <c r="AA159" s="2221"/>
      <c r="AB159" s="2221"/>
      <c r="AC159" s="2221"/>
      <c r="AD159" s="2221"/>
      <c r="AE159" s="2222"/>
      <c r="AF159" s="1207"/>
      <c r="AG159" s="1207"/>
      <c r="AH159" s="2239"/>
      <c r="AI159" s="2240"/>
      <c r="AJ159" s="2240"/>
      <c r="AK159" s="2240"/>
      <c r="AL159" s="2240"/>
      <c r="AM159" s="2240"/>
      <c r="AN159" s="2240"/>
      <c r="AO159" s="2240"/>
      <c r="AP159" s="2240"/>
      <c r="AQ159" s="2240"/>
      <c r="AR159" s="2241"/>
      <c r="AS159" s="2244"/>
      <c r="AT159" s="2227"/>
      <c r="AU159" s="2227"/>
      <c r="AV159" s="2227"/>
      <c r="AW159" s="2227"/>
      <c r="AX159" s="2245"/>
      <c r="AY159" s="2227"/>
      <c r="AZ159" s="2227"/>
      <c r="BA159" s="2227"/>
      <c r="BB159" s="2227"/>
      <c r="BC159" s="2227"/>
      <c r="BD159" s="2228"/>
      <c r="BE159" s="1213"/>
    </row>
    <row r="160" spans="1:57" ht="15.75" customHeight="1">
      <c r="A160" s="1207"/>
      <c r="B160" s="1207"/>
      <c r="C160" s="2229" t="s">
        <v>2607</v>
      </c>
      <c r="D160" s="2230"/>
      <c r="E160" s="2230"/>
      <c r="F160" s="2230"/>
      <c r="G160" s="2230"/>
      <c r="H160" s="2230"/>
      <c r="I160" s="2230"/>
      <c r="J160" s="2230"/>
      <c r="K160" s="2230"/>
      <c r="L160" s="2230"/>
      <c r="M160" s="2230"/>
      <c r="N160" s="2220">
        <v>0</v>
      </c>
      <c r="O160" s="2220"/>
      <c r="P160" s="2220"/>
      <c r="Q160" s="2220"/>
      <c r="R160" s="2220"/>
      <c r="S160" s="2220"/>
      <c r="T160" s="2220"/>
      <c r="U160" s="2221"/>
      <c r="V160" s="2221"/>
      <c r="W160" s="2221"/>
      <c r="X160" s="2221"/>
      <c r="Y160" s="2221"/>
      <c r="Z160" s="2221"/>
      <c r="AA160" s="2221"/>
      <c r="AB160" s="2221"/>
      <c r="AC160" s="2221"/>
      <c r="AD160" s="2221"/>
      <c r="AE160" s="2222"/>
      <c r="AF160" s="1207"/>
      <c r="AG160" s="1207"/>
      <c r="AH160" s="2196" t="s">
        <v>2271</v>
      </c>
      <c r="AI160" s="2197"/>
      <c r="AJ160" s="2197"/>
      <c r="AK160" s="2197"/>
      <c r="AL160" s="2197"/>
      <c r="AM160" s="2197"/>
      <c r="AN160" s="2197"/>
      <c r="AO160" s="2197"/>
      <c r="AP160" s="2197"/>
      <c r="AQ160" s="2197"/>
      <c r="AR160" s="2197"/>
      <c r="AS160" s="2198">
        <v>0</v>
      </c>
      <c r="AT160" s="2198"/>
      <c r="AU160" s="2198"/>
      <c r="AV160" s="2198"/>
      <c r="AW160" s="2198"/>
      <c r="AX160" s="2198"/>
      <c r="AY160" s="2198">
        <v>0</v>
      </c>
      <c r="AZ160" s="2198"/>
      <c r="BA160" s="2198"/>
      <c r="BB160" s="2198"/>
      <c r="BC160" s="2198"/>
      <c r="BD160" s="2199"/>
      <c r="BE160" s="1213"/>
    </row>
    <row r="161" spans="1:57" ht="15.75" customHeight="1">
      <c r="A161" s="1207"/>
      <c r="B161" s="1207"/>
      <c r="C161" s="2223" t="s">
        <v>302</v>
      </c>
      <c r="D161" s="2224"/>
      <c r="E161" s="2219" t="s">
        <v>1916</v>
      </c>
      <c r="F161" s="2219"/>
      <c r="G161" s="2219"/>
      <c r="H161" s="2219"/>
      <c r="I161" s="2219"/>
      <c r="J161" s="2219"/>
      <c r="K161" s="2219"/>
      <c r="L161" s="2219"/>
      <c r="M161" s="2219"/>
      <c r="N161" s="2220">
        <v>0</v>
      </c>
      <c r="O161" s="2220"/>
      <c r="P161" s="2220"/>
      <c r="Q161" s="2220"/>
      <c r="R161" s="2220"/>
      <c r="S161" s="2220"/>
      <c r="T161" s="2220"/>
      <c r="U161" s="2221"/>
      <c r="V161" s="2221"/>
      <c r="W161" s="2221"/>
      <c r="X161" s="2221"/>
      <c r="Y161" s="2221"/>
      <c r="Z161" s="2221"/>
      <c r="AA161" s="2221"/>
      <c r="AB161" s="2221"/>
      <c r="AC161" s="2221"/>
      <c r="AD161" s="2221"/>
      <c r="AE161" s="2222"/>
      <c r="AF161" s="1207"/>
      <c r="AG161" s="1207"/>
      <c r="AH161" s="2196" t="s">
        <v>2272</v>
      </c>
      <c r="AI161" s="2197"/>
      <c r="AJ161" s="2197"/>
      <c r="AK161" s="2197"/>
      <c r="AL161" s="2197"/>
      <c r="AM161" s="2197"/>
      <c r="AN161" s="2197"/>
      <c r="AO161" s="2197"/>
      <c r="AP161" s="2197"/>
      <c r="AQ161" s="2197"/>
      <c r="AR161" s="2197"/>
      <c r="AS161" s="2198">
        <v>0</v>
      </c>
      <c r="AT161" s="2198"/>
      <c r="AU161" s="2198"/>
      <c r="AV161" s="2198"/>
      <c r="AW161" s="2198"/>
      <c r="AX161" s="2198"/>
      <c r="AY161" s="2198">
        <v>0</v>
      </c>
      <c r="AZ161" s="2198"/>
      <c r="BA161" s="2198"/>
      <c r="BB161" s="2198"/>
      <c r="BC161" s="2198"/>
      <c r="BD161" s="2199"/>
      <c r="BE161" s="1213"/>
    </row>
    <row r="162" spans="1:57" ht="15.75" customHeight="1">
      <c r="A162" s="1207"/>
      <c r="B162" s="1207"/>
      <c r="C162" s="2217" t="s">
        <v>302</v>
      </c>
      <c r="D162" s="2218"/>
      <c r="E162" s="2219" t="s">
        <v>1916</v>
      </c>
      <c r="F162" s="2219"/>
      <c r="G162" s="2219"/>
      <c r="H162" s="2219"/>
      <c r="I162" s="2219"/>
      <c r="J162" s="2219"/>
      <c r="K162" s="2219"/>
      <c r="L162" s="2219"/>
      <c r="M162" s="2219"/>
      <c r="N162" s="2220">
        <v>0</v>
      </c>
      <c r="O162" s="2220"/>
      <c r="P162" s="2220"/>
      <c r="Q162" s="2220"/>
      <c r="R162" s="2220"/>
      <c r="S162" s="2220"/>
      <c r="T162" s="2220"/>
      <c r="U162" s="2221"/>
      <c r="V162" s="2221"/>
      <c r="W162" s="2221"/>
      <c r="X162" s="2221"/>
      <c r="Y162" s="2221"/>
      <c r="Z162" s="2221"/>
      <c r="AA162" s="2221"/>
      <c r="AB162" s="2221"/>
      <c r="AC162" s="2221"/>
      <c r="AD162" s="2221"/>
      <c r="AE162" s="2222"/>
      <c r="AF162" s="1207"/>
      <c r="AG162" s="1207"/>
      <c r="AH162" s="2196" t="s">
        <v>2273</v>
      </c>
      <c r="AI162" s="2197"/>
      <c r="AJ162" s="2197"/>
      <c r="AK162" s="2197"/>
      <c r="AL162" s="2197"/>
      <c r="AM162" s="2197"/>
      <c r="AN162" s="2197"/>
      <c r="AO162" s="2197"/>
      <c r="AP162" s="2197"/>
      <c r="AQ162" s="2197"/>
      <c r="AR162" s="2197"/>
      <c r="AS162" s="2198">
        <v>0</v>
      </c>
      <c r="AT162" s="2198"/>
      <c r="AU162" s="2198"/>
      <c r="AV162" s="2198"/>
      <c r="AW162" s="2198"/>
      <c r="AX162" s="2198"/>
      <c r="AY162" s="2198">
        <v>0</v>
      </c>
      <c r="AZ162" s="2198"/>
      <c r="BA162" s="2198"/>
      <c r="BB162" s="2198"/>
      <c r="BC162" s="2198"/>
      <c r="BD162" s="2199"/>
      <c r="BE162" s="1213"/>
    </row>
    <row r="163" spans="1:57" ht="15.75" customHeight="1" thickBot="1">
      <c r="A163" s="1207"/>
      <c r="B163" s="1207"/>
      <c r="C163" s="2208" t="s">
        <v>302</v>
      </c>
      <c r="D163" s="2209"/>
      <c r="E163" s="2210" t="s">
        <v>1916</v>
      </c>
      <c r="F163" s="2210"/>
      <c r="G163" s="2210"/>
      <c r="H163" s="2210"/>
      <c r="I163" s="2210"/>
      <c r="J163" s="2210"/>
      <c r="K163" s="2210"/>
      <c r="L163" s="2210"/>
      <c r="M163" s="2211"/>
      <c r="N163" s="2212">
        <v>0</v>
      </c>
      <c r="O163" s="2212"/>
      <c r="P163" s="2212"/>
      <c r="Q163" s="2212"/>
      <c r="R163" s="2212"/>
      <c r="S163" s="2212"/>
      <c r="T163" s="2213"/>
      <c r="U163" s="2214"/>
      <c r="V163" s="2215"/>
      <c r="W163" s="2215"/>
      <c r="X163" s="2215"/>
      <c r="Y163" s="2215"/>
      <c r="Z163" s="2215"/>
      <c r="AA163" s="2215"/>
      <c r="AB163" s="2215"/>
      <c r="AC163" s="2215"/>
      <c r="AD163" s="2215"/>
      <c r="AE163" s="2216"/>
      <c r="AF163" s="1207"/>
      <c r="AG163" s="1207"/>
      <c r="AH163" s="2196" t="s">
        <v>2274</v>
      </c>
      <c r="AI163" s="2197"/>
      <c r="AJ163" s="2197"/>
      <c r="AK163" s="2197"/>
      <c r="AL163" s="2197"/>
      <c r="AM163" s="2197"/>
      <c r="AN163" s="2197"/>
      <c r="AO163" s="2197"/>
      <c r="AP163" s="2197"/>
      <c r="AQ163" s="2197"/>
      <c r="AR163" s="2197"/>
      <c r="AS163" s="2198">
        <v>0</v>
      </c>
      <c r="AT163" s="2198"/>
      <c r="AU163" s="2198"/>
      <c r="AV163" s="2198"/>
      <c r="AW163" s="2198"/>
      <c r="AX163" s="2198"/>
      <c r="AY163" s="2198">
        <v>0</v>
      </c>
      <c r="AZ163" s="2198"/>
      <c r="BA163" s="2198"/>
      <c r="BB163" s="2198"/>
      <c r="BC163" s="2198"/>
      <c r="BD163" s="2199"/>
      <c r="BE163" s="1213"/>
    </row>
    <row r="164" spans="1:57" ht="15.75" customHeight="1">
      <c r="A164" s="1207"/>
      <c r="B164" s="1207"/>
      <c r="C164" s="2204" t="s">
        <v>1924</v>
      </c>
      <c r="D164" s="2205"/>
      <c r="E164" s="2205"/>
      <c r="F164" s="2205"/>
      <c r="G164" s="2205"/>
      <c r="H164" s="2205"/>
      <c r="I164" s="2205"/>
      <c r="J164" s="2205"/>
      <c r="K164" s="2205"/>
      <c r="L164" s="2205"/>
      <c r="M164" s="2205"/>
      <c r="N164" s="2206">
        <f>SUM(N156:T163)</f>
        <v>4454320</v>
      </c>
      <c r="O164" s="2206"/>
      <c r="P164" s="2206"/>
      <c r="Q164" s="2206"/>
      <c r="R164" s="2206"/>
      <c r="S164" s="2206"/>
      <c r="T164" s="2207"/>
      <c r="U164" s="1207"/>
      <c r="V164" s="1207"/>
      <c r="W164" s="1207"/>
      <c r="X164" s="1207"/>
      <c r="Y164" s="1207"/>
      <c r="Z164" s="1207"/>
      <c r="AA164" s="1207"/>
      <c r="AB164" s="1207"/>
      <c r="AC164" s="1207"/>
      <c r="AD164" s="1207"/>
      <c r="AE164" s="1207"/>
      <c r="AF164" s="1207"/>
      <c r="AG164" s="1207"/>
      <c r="AH164" s="2196" t="s">
        <v>2275</v>
      </c>
      <c r="AI164" s="2197"/>
      <c r="AJ164" s="2197"/>
      <c r="AK164" s="2197"/>
      <c r="AL164" s="2197"/>
      <c r="AM164" s="2197"/>
      <c r="AN164" s="2197"/>
      <c r="AO164" s="2197"/>
      <c r="AP164" s="2197"/>
      <c r="AQ164" s="2197"/>
      <c r="AR164" s="2197"/>
      <c r="AS164" s="2198">
        <v>0</v>
      </c>
      <c r="AT164" s="2198"/>
      <c r="AU164" s="2198"/>
      <c r="AV164" s="2198"/>
      <c r="AW164" s="2198"/>
      <c r="AX164" s="2198"/>
      <c r="AY164" s="2198">
        <v>0</v>
      </c>
      <c r="AZ164" s="2198"/>
      <c r="BA164" s="2198"/>
      <c r="BB164" s="2198"/>
      <c r="BC164" s="2198"/>
      <c r="BD164" s="2199"/>
      <c r="BE164" s="1213"/>
    </row>
    <row r="165" spans="1:57" ht="15.75" customHeight="1" thickBot="1">
      <c r="A165" s="1207"/>
      <c r="B165" s="1207"/>
      <c r="C165" s="2191" t="s">
        <v>2608</v>
      </c>
      <c r="D165" s="2192"/>
      <c r="E165" s="2192"/>
      <c r="F165" s="2192"/>
      <c r="G165" s="2192"/>
      <c r="H165" s="2192"/>
      <c r="I165" s="2192"/>
      <c r="J165" s="2192"/>
      <c r="K165" s="2192"/>
      <c r="L165" s="2192"/>
      <c r="M165" s="2192"/>
      <c r="N165" s="2193">
        <f>(N154-N164)/J29</f>
        <v>329176.09638554219</v>
      </c>
      <c r="O165" s="2194"/>
      <c r="P165" s="2194"/>
      <c r="Q165" s="2194"/>
      <c r="R165" s="2194"/>
      <c r="S165" s="2194"/>
      <c r="T165" s="2195"/>
      <c r="U165" s="1214"/>
      <c r="V165" s="1207"/>
      <c r="W165" s="1207"/>
      <c r="X165" s="1207"/>
      <c r="Y165" s="1207"/>
      <c r="Z165" s="1207"/>
      <c r="AA165" s="1207"/>
      <c r="AB165" s="1207"/>
      <c r="AC165" s="1207"/>
      <c r="AD165" s="1207"/>
      <c r="AE165" s="1207"/>
      <c r="AF165" s="1207"/>
      <c r="AG165" s="1207"/>
      <c r="AH165" s="2196" t="s">
        <v>2276</v>
      </c>
      <c r="AI165" s="2197"/>
      <c r="AJ165" s="2197"/>
      <c r="AK165" s="2197"/>
      <c r="AL165" s="2197"/>
      <c r="AM165" s="2197"/>
      <c r="AN165" s="2197"/>
      <c r="AO165" s="2197"/>
      <c r="AP165" s="2197"/>
      <c r="AQ165" s="2197"/>
      <c r="AR165" s="2197"/>
      <c r="AS165" s="2198">
        <v>0</v>
      </c>
      <c r="AT165" s="2198"/>
      <c r="AU165" s="2198"/>
      <c r="AV165" s="2198"/>
      <c r="AW165" s="2198"/>
      <c r="AX165" s="2198"/>
      <c r="AY165" s="2198">
        <v>0</v>
      </c>
      <c r="AZ165" s="2198"/>
      <c r="BA165" s="2198"/>
      <c r="BB165" s="2198"/>
      <c r="BC165" s="2198"/>
      <c r="BD165" s="219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00" t="s">
        <v>125</v>
      </c>
      <c r="AI166" s="2201"/>
      <c r="AJ166" s="2201"/>
      <c r="AK166" s="2201"/>
      <c r="AL166" s="2201"/>
      <c r="AM166" s="2201"/>
      <c r="AN166" s="2201"/>
      <c r="AO166" s="2201"/>
      <c r="AP166" s="2201"/>
      <c r="AQ166" s="2201"/>
      <c r="AR166" s="2201"/>
      <c r="AS166" s="2202">
        <f>SUM(AS160:AX165)</f>
        <v>0</v>
      </c>
      <c r="AT166" s="2202"/>
      <c r="AU166" s="2202"/>
      <c r="AV166" s="2202"/>
      <c r="AW166" s="2202"/>
      <c r="AX166" s="2202"/>
      <c r="AY166" s="2202">
        <f>SUM(AY160:BD165)</f>
        <v>0</v>
      </c>
      <c r="AZ166" s="2202"/>
      <c r="BA166" s="2202"/>
      <c r="BB166" s="2202"/>
      <c r="BC166" s="2202"/>
      <c r="BD166" s="220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78" t="s">
        <v>1925</v>
      </c>
      <c r="C168" s="2179"/>
      <c r="D168" s="2179"/>
      <c r="E168" s="2179"/>
      <c r="F168" s="2179"/>
      <c r="G168" s="2179"/>
      <c r="H168" s="2179"/>
      <c r="I168" s="2179"/>
      <c r="J168" s="2179"/>
      <c r="K168" s="2179"/>
      <c r="L168" s="2179"/>
      <c r="M168" s="2179"/>
      <c r="N168" s="2179"/>
      <c r="O168" s="2179"/>
      <c r="P168" s="2179"/>
      <c r="Q168" s="2179"/>
      <c r="R168" s="2179"/>
      <c r="S168" s="2179"/>
      <c r="T168" s="2179"/>
      <c r="U168" s="2179"/>
      <c r="V168" s="2179"/>
      <c r="W168" s="2179"/>
      <c r="X168" s="2179"/>
      <c r="Y168" s="2179"/>
      <c r="Z168" s="2179"/>
      <c r="AA168" s="2179"/>
      <c r="AB168" s="2179"/>
      <c r="AC168" s="2179"/>
      <c r="AD168" s="2179"/>
      <c r="AE168" s="2179"/>
      <c r="AF168" s="2179"/>
      <c r="AG168" s="2179"/>
      <c r="AH168" s="2179"/>
      <c r="AI168" s="2179"/>
      <c r="AJ168" s="2179"/>
      <c r="AK168" s="2179"/>
      <c r="AL168" s="2179"/>
      <c r="AM168" s="2179"/>
      <c r="AN168" s="2179"/>
      <c r="AO168" s="2179"/>
      <c r="AP168" s="2179"/>
      <c r="AQ168" s="2179"/>
      <c r="AR168" s="2179"/>
      <c r="AS168" s="2179"/>
      <c r="AT168" s="2179"/>
      <c r="AU168" s="2179"/>
      <c r="AV168" s="2179"/>
      <c r="AW168" s="2179"/>
      <c r="AX168" s="2179"/>
      <c r="AY168" s="2179"/>
      <c r="AZ168" s="2179"/>
      <c r="BA168" s="2179"/>
      <c r="BB168" s="2179"/>
      <c r="BC168" s="2179"/>
      <c r="BD168" s="2180"/>
      <c r="BE168" s="1213"/>
    </row>
    <row r="169" spans="1:57" ht="15.75" customHeight="1">
      <c r="A169" s="1207"/>
      <c r="B169" s="2181"/>
      <c r="C169" s="2182"/>
      <c r="D169" s="2182"/>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2182"/>
      <c r="AB169" s="2182"/>
      <c r="AC169" s="2182"/>
      <c r="AD169" s="2182"/>
      <c r="AE169" s="2182"/>
      <c r="AF169" s="2182"/>
      <c r="AG169" s="2182"/>
      <c r="AH169" s="2182"/>
      <c r="AI169" s="2182"/>
      <c r="AJ169" s="2182"/>
      <c r="AK169" s="2182"/>
      <c r="AL169" s="2182"/>
      <c r="AM169" s="2182"/>
      <c r="AN169" s="2182"/>
      <c r="AO169" s="2182"/>
      <c r="AP169" s="2182"/>
      <c r="AQ169" s="2182"/>
      <c r="AR169" s="2182"/>
      <c r="AS169" s="2182"/>
      <c r="AT169" s="2182"/>
      <c r="AU169" s="2182"/>
      <c r="AV169" s="2182"/>
      <c r="AW169" s="2182"/>
      <c r="AX169" s="2182"/>
      <c r="AY169" s="2182"/>
      <c r="AZ169" s="2182"/>
      <c r="BA169" s="2182"/>
      <c r="BB169" s="2182"/>
      <c r="BC169" s="2182"/>
      <c r="BD169" s="2183"/>
      <c r="BE169" s="1213"/>
    </row>
    <row r="170" spans="1:57" ht="15.75" customHeight="1">
      <c r="A170" s="1207"/>
      <c r="B170" s="2184" t="s">
        <v>1926</v>
      </c>
      <c r="C170" s="2185"/>
      <c r="D170" s="2185"/>
      <c r="E170" s="2185"/>
      <c r="F170" s="2185"/>
      <c r="G170" s="2185"/>
      <c r="H170" s="2185"/>
      <c r="I170" s="2185"/>
      <c r="J170" s="2185"/>
      <c r="K170" s="2185"/>
      <c r="L170" s="2185"/>
      <c r="M170" s="2185"/>
      <c r="N170" s="2185"/>
      <c r="O170" s="2185"/>
      <c r="P170" s="2185"/>
      <c r="Q170" s="2185"/>
      <c r="R170" s="2185"/>
      <c r="S170" s="2185"/>
      <c r="T170" s="2185"/>
      <c r="U170" s="2185"/>
      <c r="V170" s="2185"/>
      <c r="W170" s="2185"/>
      <c r="X170" s="2185"/>
      <c r="Y170" s="2185"/>
      <c r="Z170" s="2185"/>
      <c r="AA170" s="2185"/>
      <c r="AB170" s="2185"/>
      <c r="AC170" s="2185"/>
      <c r="AD170" s="2185"/>
      <c r="AE170" s="2185"/>
      <c r="AF170" s="2185"/>
      <c r="AG170" s="2185"/>
      <c r="AH170" s="2185"/>
      <c r="AI170" s="2185"/>
      <c r="AJ170" s="2185"/>
      <c r="AK170" s="2185"/>
      <c r="AL170" s="2185"/>
      <c r="AM170" s="2185"/>
      <c r="AN170" s="2185"/>
      <c r="AO170" s="2185"/>
      <c r="AP170" s="2185"/>
      <c r="AQ170" s="2185"/>
      <c r="AR170" s="2185"/>
      <c r="AS170" s="2185"/>
      <c r="AT170" s="2185"/>
      <c r="AU170" s="2185"/>
      <c r="AV170" s="2185"/>
      <c r="AW170" s="2185"/>
      <c r="AX170" s="2185"/>
      <c r="AY170" s="2185"/>
      <c r="AZ170" s="2185"/>
      <c r="BA170" s="2185"/>
      <c r="BB170" s="2185"/>
      <c r="BC170" s="2185"/>
      <c r="BD170" s="2186"/>
      <c r="BE170" s="1213"/>
    </row>
    <row r="171" spans="1:57" ht="15.75" customHeight="1">
      <c r="A171" s="1207"/>
      <c r="B171" s="2184" t="s">
        <v>1927</v>
      </c>
      <c r="C171" s="2185"/>
      <c r="D171" s="2185"/>
      <c r="E171" s="2185"/>
      <c r="F171" s="2185"/>
      <c r="G171" s="2185"/>
      <c r="H171" s="2185"/>
      <c r="I171" s="2185"/>
      <c r="J171" s="2185"/>
      <c r="K171" s="2185"/>
      <c r="L171" s="2185"/>
      <c r="M171" s="2185"/>
      <c r="N171" s="2185"/>
      <c r="O171" s="2185"/>
      <c r="P171" s="2185"/>
      <c r="Q171" s="2185"/>
      <c r="R171" s="2185"/>
      <c r="S171" s="2185"/>
      <c r="T171" s="2185"/>
      <c r="U171" s="2185"/>
      <c r="V171" s="2185"/>
      <c r="W171" s="2185"/>
      <c r="X171" s="2185"/>
      <c r="Y171" s="2185"/>
      <c r="Z171" s="2185"/>
      <c r="AA171" s="2185"/>
      <c r="AB171" s="2185"/>
      <c r="AC171" s="2185"/>
      <c r="AD171" s="2185"/>
      <c r="AE171" s="2185"/>
      <c r="AF171" s="2185"/>
      <c r="AG171" s="2185"/>
      <c r="AH171" s="2185"/>
      <c r="AI171" s="2185"/>
      <c r="AJ171" s="2185"/>
      <c r="AK171" s="2185"/>
      <c r="AL171" s="2185"/>
      <c r="AM171" s="2185"/>
      <c r="AN171" s="2185"/>
      <c r="AO171" s="2185"/>
      <c r="AP171" s="2185"/>
      <c r="AQ171" s="2185"/>
      <c r="AR171" s="2185"/>
      <c r="AS171" s="2185"/>
      <c r="AT171" s="2185"/>
      <c r="AU171" s="2185"/>
      <c r="AV171" s="2185"/>
      <c r="AW171" s="2185"/>
      <c r="AX171" s="2185"/>
      <c r="AY171" s="2185"/>
      <c r="AZ171" s="2185"/>
      <c r="BA171" s="2185"/>
      <c r="BB171" s="2185"/>
      <c r="BC171" s="2185"/>
      <c r="BD171" s="218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87" t="s">
        <v>1928</v>
      </c>
      <c r="C173" s="2188"/>
      <c r="D173" s="2188"/>
      <c r="E173" s="2188"/>
      <c r="F173" s="2188"/>
      <c r="G173" s="2188"/>
      <c r="H173" s="2188"/>
      <c r="I173" s="2188"/>
      <c r="J173" s="2188"/>
      <c r="K173" s="2188"/>
      <c r="L173" s="2188"/>
      <c r="M173" s="2188"/>
      <c r="N173" s="2188"/>
      <c r="O173" s="2188"/>
      <c r="P173" s="2188"/>
      <c r="Q173" s="2188"/>
      <c r="R173" s="2188"/>
      <c r="S173" s="2188"/>
      <c r="T173" s="2188"/>
      <c r="U173" s="2188"/>
      <c r="V173" s="2188"/>
      <c r="W173" s="2188"/>
      <c r="X173" s="2188"/>
      <c r="Y173" s="2188"/>
      <c r="Z173" s="2188"/>
      <c r="AA173" s="2188"/>
      <c r="AB173" s="2188"/>
      <c r="AC173" s="2188"/>
      <c r="AD173" s="2188"/>
      <c r="AE173" s="2188"/>
      <c r="AF173" s="2188"/>
      <c r="AG173" s="2188"/>
      <c r="AH173" s="2188"/>
      <c r="AI173" s="2188"/>
      <c r="AJ173" s="2188"/>
      <c r="AK173" s="2188"/>
      <c r="AL173" s="2188"/>
      <c r="AM173" s="2188"/>
      <c r="AN173" s="2188"/>
      <c r="AO173" s="2188"/>
      <c r="AP173" s="2188"/>
      <c r="AQ173" s="2188"/>
      <c r="AR173" s="2188"/>
      <c r="AS173" s="2188"/>
      <c r="AT173" s="2188"/>
      <c r="AU173" s="2188"/>
      <c r="AV173" s="2188"/>
      <c r="AW173" s="2188"/>
      <c r="AX173" s="2188"/>
      <c r="AY173" s="2188"/>
      <c r="AZ173" s="2188"/>
      <c r="BA173" s="2188"/>
      <c r="BB173" s="2188"/>
      <c r="BC173" s="2188"/>
      <c r="BD173" s="218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90" t="s">
        <v>1930</v>
      </c>
      <c r="I177" s="2190"/>
      <c r="J177" s="2190"/>
      <c r="K177" s="2190"/>
      <c r="L177" s="2190"/>
      <c r="M177" s="2190"/>
      <c r="N177" s="2190"/>
      <c r="O177" s="2190"/>
      <c r="P177" s="2190"/>
      <c r="Q177" s="2190"/>
      <c r="R177" s="2190"/>
      <c r="S177" s="2190"/>
      <c r="T177" s="2190"/>
      <c r="U177" s="2190"/>
      <c r="V177" s="2190"/>
      <c r="W177" s="2190"/>
      <c r="X177" s="2190"/>
      <c r="Y177" s="2190"/>
      <c r="Z177" s="2190"/>
      <c r="AA177" s="2190"/>
      <c r="AB177" s="2190"/>
      <c r="AC177" s="2190"/>
      <c r="AD177" s="2190"/>
      <c r="AE177" s="2190"/>
      <c r="AF177" s="2190"/>
      <c r="AG177" s="2190"/>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75" t="s">
        <v>2609</v>
      </c>
      <c r="I179" s="2175"/>
      <c r="J179" s="2175"/>
      <c r="K179" s="2175"/>
      <c r="L179" s="2175"/>
      <c r="M179" s="2175"/>
      <c r="N179" s="2175"/>
      <c r="O179" s="2175"/>
      <c r="P179" s="2175"/>
      <c r="Q179" s="2175"/>
      <c r="R179" s="2175"/>
      <c r="S179" s="2175"/>
      <c r="T179" s="2175"/>
      <c r="U179" s="2175"/>
      <c r="V179" s="2175"/>
      <c r="W179" s="2175"/>
      <c r="X179" s="2175"/>
      <c r="Y179" s="2175"/>
      <c r="Z179" s="2175"/>
      <c r="AA179" s="2175"/>
      <c r="AB179" s="2175"/>
      <c r="AC179" s="2175"/>
      <c r="AD179" s="2175"/>
      <c r="AE179" s="2175"/>
      <c r="AF179" s="2175"/>
      <c r="AG179" s="2175"/>
      <c r="AH179" s="2175"/>
      <c r="AI179" s="2175"/>
      <c r="AJ179" s="2175"/>
      <c r="AK179" s="2175"/>
      <c r="AL179" s="2175"/>
      <c r="AM179" s="2175"/>
      <c r="AN179" s="2175"/>
      <c r="AO179" s="2175"/>
      <c r="AP179" s="2175"/>
      <c r="AQ179" s="2175"/>
      <c r="AR179" s="2175"/>
      <c r="AS179" s="2175"/>
      <c r="AT179" s="2175"/>
      <c r="AU179" s="2175"/>
      <c r="AV179" s="2175"/>
      <c r="AW179" s="2175"/>
      <c r="AX179" s="2175"/>
      <c r="AY179" s="2175"/>
      <c r="AZ179" s="2175"/>
      <c r="BA179" s="1207"/>
      <c r="BB179" s="1207"/>
      <c r="BC179" s="1207"/>
      <c r="BD179" s="1213"/>
      <c r="BE179" s="1213"/>
    </row>
    <row r="180" spans="1:57" ht="15.75" customHeight="1">
      <c r="A180" s="1207"/>
      <c r="B180" s="1206"/>
      <c r="C180" s="1207"/>
      <c r="D180" s="1207"/>
      <c r="E180" s="1207"/>
      <c r="F180" s="1207"/>
      <c r="G180" s="1207"/>
      <c r="H180" s="2175"/>
      <c r="I180" s="2175"/>
      <c r="J180" s="2175"/>
      <c r="K180" s="2175"/>
      <c r="L180" s="2175"/>
      <c r="M180" s="2175"/>
      <c r="N180" s="2175"/>
      <c r="O180" s="2175"/>
      <c r="P180" s="2175"/>
      <c r="Q180" s="2175"/>
      <c r="R180" s="2175"/>
      <c r="S180" s="2175"/>
      <c r="T180" s="2175"/>
      <c r="U180" s="2175"/>
      <c r="V180" s="2175"/>
      <c r="W180" s="2175"/>
      <c r="X180" s="2175"/>
      <c r="Y180" s="2175"/>
      <c r="Z180" s="2175"/>
      <c r="AA180" s="2175"/>
      <c r="AB180" s="2175"/>
      <c r="AC180" s="2175"/>
      <c r="AD180" s="2175"/>
      <c r="AE180" s="2175"/>
      <c r="AF180" s="2175"/>
      <c r="AG180" s="2175"/>
      <c r="AH180" s="2175"/>
      <c r="AI180" s="2175"/>
      <c r="AJ180" s="2175"/>
      <c r="AK180" s="2175"/>
      <c r="AL180" s="2175"/>
      <c r="AM180" s="2175"/>
      <c r="AN180" s="2175"/>
      <c r="AO180" s="2175"/>
      <c r="AP180" s="2175"/>
      <c r="AQ180" s="2175"/>
      <c r="AR180" s="2175"/>
      <c r="AS180" s="2175"/>
      <c r="AT180" s="2175"/>
      <c r="AU180" s="2175"/>
      <c r="AV180" s="2175"/>
      <c r="AW180" s="2175"/>
      <c r="AX180" s="2175"/>
      <c r="AY180" s="2175"/>
      <c r="AZ180" s="2175"/>
      <c r="BA180" s="1207"/>
      <c r="BB180" s="1207"/>
      <c r="BC180" s="1207"/>
      <c r="BD180" s="1213"/>
      <c r="BE180" s="1213"/>
    </row>
    <row r="181" spans="1:57" ht="15.75" customHeight="1">
      <c r="A181" s="1207"/>
      <c r="B181" s="1206"/>
      <c r="C181" s="1207"/>
      <c r="D181" s="1207"/>
      <c r="E181" s="1207"/>
      <c r="F181" s="1207"/>
      <c r="G181" s="1207"/>
      <c r="H181" s="2175"/>
      <c r="I181" s="2175"/>
      <c r="J181" s="2175"/>
      <c r="K181" s="2175"/>
      <c r="L181" s="2175"/>
      <c r="M181" s="2175"/>
      <c r="N181" s="2175"/>
      <c r="O181" s="2175"/>
      <c r="P181" s="2175"/>
      <c r="Q181" s="2175"/>
      <c r="R181" s="2175"/>
      <c r="S181" s="2175"/>
      <c r="T181" s="2175"/>
      <c r="U181" s="2175"/>
      <c r="V181" s="2175"/>
      <c r="W181" s="2175"/>
      <c r="X181" s="2175"/>
      <c r="Y181" s="2175"/>
      <c r="Z181" s="2175"/>
      <c r="AA181" s="2175"/>
      <c r="AB181" s="2175"/>
      <c r="AC181" s="2175"/>
      <c r="AD181" s="2175"/>
      <c r="AE181" s="2175"/>
      <c r="AF181" s="2175"/>
      <c r="AG181" s="2175"/>
      <c r="AH181" s="2175"/>
      <c r="AI181" s="2175"/>
      <c r="AJ181" s="2175"/>
      <c r="AK181" s="2175"/>
      <c r="AL181" s="2175"/>
      <c r="AM181" s="2175"/>
      <c r="AN181" s="2175"/>
      <c r="AO181" s="2175"/>
      <c r="AP181" s="2175"/>
      <c r="AQ181" s="2175"/>
      <c r="AR181" s="2175"/>
      <c r="AS181" s="2175"/>
      <c r="AT181" s="2175"/>
      <c r="AU181" s="2175"/>
      <c r="AV181" s="2175"/>
      <c r="AW181" s="2175"/>
      <c r="AX181" s="2175"/>
      <c r="AY181" s="2175"/>
      <c r="AZ181" s="2175"/>
      <c r="BA181" s="1207"/>
      <c r="BB181" s="1207"/>
      <c r="BC181" s="1207"/>
      <c r="BD181" s="1213"/>
      <c r="BE181" s="1213"/>
    </row>
    <row r="182" spans="1:57" ht="15.75" customHeight="1">
      <c r="A182" s="1207"/>
      <c r="B182" s="1206"/>
      <c r="C182" s="1207"/>
      <c r="D182" s="1207"/>
      <c r="E182" s="1207"/>
      <c r="F182" s="1207"/>
      <c r="G182" s="1207"/>
      <c r="H182" s="2175"/>
      <c r="I182" s="2175"/>
      <c r="J182" s="2175"/>
      <c r="K182" s="2175"/>
      <c r="L182" s="2175"/>
      <c r="M182" s="2175"/>
      <c r="N182" s="2175"/>
      <c r="O182" s="2175"/>
      <c r="P182" s="2175"/>
      <c r="Q182" s="2175"/>
      <c r="R182" s="2175"/>
      <c r="S182" s="2175"/>
      <c r="T182" s="2175"/>
      <c r="U182" s="2175"/>
      <c r="V182" s="2175"/>
      <c r="W182" s="2175"/>
      <c r="X182" s="2175"/>
      <c r="Y182" s="2175"/>
      <c r="Z182" s="2175"/>
      <c r="AA182" s="2175"/>
      <c r="AB182" s="2175"/>
      <c r="AC182" s="2175"/>
      <c r="AD182" s="2175"/>
      <c r="AE182" s="2175"/>
      <c r="AF182" s="2175"/>
      <c r="AG182" s="2175"/>
      <c r="AH182" s="2175"/>
      <c r="AI182" s="2175"/>
      <c r="AJ182" s="2175"/>
      <c r="AK182" s="2175"/>
      <c r="AL182" s="2175"/>
      <c r="AM182" s="2175"/>
      <c r="AN182" s="2175"/>
      <c r="AO182" s="2175"/>
      <c r="AP182" s="2175"/>
      <c r="AQ182" s="2175"/>
      <c r="AR182" s="2175"/>
      <c r="AS182" s="2175"/>
      <c r="AT182" s="2175"/>
      <c r="AU182" s="2175"/>
      <c r="AV182" s="2175"/>
      <c r="AW182" s="2175"/>
      <c r="AX182" s="2175"/>
      <c r="AY182" s="2175"/>
      <c r="AZ182" s="217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76" t="s">
        <v>1931</v>
      </c>
      <c r="I184" s="2176"/>
      <c r="J184" s="2176"/>
      <c r="K184" s="2176"/>
      <c r="L184" s="2176"/>
      <c r="M184" s="2176"/>
      <c r="N184" s="2176"/>
      <c r="O184" s="2176"/>
      <c r="P184" s="2176"/>
      <c r="Q184" s="2176"/>
      <c r="R184" s="2176"/>
      <c r="S184" s="2176"/>
      <c r="T184" s="2176"/>
      <c r="U184" s="2176"/>
      <c r="V184" s="2176"/>
      <c r="W184" s="2176"/>
      <c r="X184" s="2176"/>
      <c r="Y184" s="2176"/>
      <c r="Z184" s="2176"/>
      <c r="AA184" s="2176"/>
      <c r="AB184" s="2176"/>
      <c r="AC184" s="2176"/>
      <c r="AD184" s="2176"/>
      <c r="AE184" s="2176"/>
      <c r="AF184" s="2176"/>
      <c r="AG184" s="2176"/>
      <c r="AH184" s="2176"/>
      <c r="AI184" s="2176"/>
      <c r="AJ184" s="2176"/>
      <c r="AK184" s="2176"/>
      <c r="AL184" s="2176"/>
      <c r="AM184" s="2176"/>
      <c r="AN184" s="2176"/>
      <c r="AO184" s="2176"/>
      <c r="AP184" s="2176"/>
      <c r="AQ184" s="2176"/>
      <c r="AR184" s="2176"/>
      <c r="AS184" s="2176"/>
      <c r="AT184" s="2176"/>
      <c r="AU184" s="2176"/>
      <c r="AV184" s="217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66" t="s">
        <v>1932</v>
      </c>
      <c r="I186" s="2166"/>
      <c r="J186" s="2166"/>
      <c r="K186" s="2166"/>
      <c r="L186" s="1222"/>
      <c r="M186" s="1222"/>
      <c r="N186" s="1222"/>
      <c r="O186" s="1222"/>
      <c r="P186" s="1222"/>
      <c r="Q186" s="1222"/>
      <c r="R186" s="1222"/>
      <c r="S186" s="2177"/>
      <c r="T186" s="2173"/>
      <c r="U186" s="2173"/>
      <c r="V186" s="2173"/>
      <c r="W186" s="2173"/>
      <c r="X186" s="2173"/>
      <c r="Y186" s="2173"/>
      <c r="Z186" s="2173"/>
      <c r="AA186" s="2173"/>
      <c r="AB186" s="2173"/>
      <c r="AC186" s="2173"/>
      <c r="AD186" s="2173"/>
      <c r="AE186" s="2173"/>
      <c r="AF186" s="2173"/>
      <c r="AG186" s="2173"/>
      <c r="AH186" s="2173"/>
      <c r="AI186" s="2173"/>
      <c r="AJ186" s="217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66" t="s">
        <v>1933</v>
      </c>
      <c r="I188" s="2166"/>
      <c r="J188" s="2166"/>
      <c r="K188" s="1255"/>
      <c r="L188" s="1222"/>
      <c r="M188" s="1222"/>
      <c r="N188" s="1222"/>
      <c r="O188" s="1222"/>
      <c r="P188" s="1222"/>
      <c r="Q188" s="1222"/>
      <c r="R188" s="1222"/>
      <c r="S188" s="2167"/>
      <c r="T188" s="2168"/>
      <c r="U188" s="2168"/>
      <c r="V188" s="2168"/>
      <c r="W188" s="2168"/>
      <c r="X188" s="2168"/>
      <c r="Y188" s="2168"/>
      <c r="Z188" s="2168"/>
      <c r="AA188" s="2168"/>
      <c r="AB188" s="2168"/>
      <c r="AC188" s="2168"/>
      <c r="AD188" s="2168"/>
      <c r="AE188" s="2168"/>
      <c r="AF188" s="2168"/>
      <c r="AG188" s="2168"/>
      <c r="AH188" s="2168"/>
      <c r="AI188" s="2168"/>
      <c r="AJ188" s="216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66" t="s">
        <v>445</v>
      </c>
      <c r="I190" s="2166"/>
      <c r="J190" s="1255"/>
      <c r="K190" s="1255"/>
      <c r="L190" s="1222"/>
      <c r="M190" s="1222"/>
      <c r="N190" s="1222"/>
      <c r="O190" s="1222"/>
      <c r="P190" s="1222"/>
      <c r="Q190" s="1222"/>
      <c r="R190" s="1222"/>
      <c r="S190" s="2167"/>
      <c r="T190" s="2168"/>
      <c r="U190" s="2168"/>
      <c r="V190" s="2168"/>
      <c r="W190" s="2168"/>
      <c r="X190" s="2168"/>
      <c r="Y190" s="2168"/>
      <c r="Z190" s="2168"/>
      <c r="AA190" s="2168"/>
      <c r="AB190" s="2168"/>
      <c r="AC190" s="2168"/>
      <c r="AD190" s="2168"/>
      <c r="AE190" s="2168"/>
      <c r="AF190" s="2168"/>
      <c r="AG190" s="2168"/>
      <c r="AH190" s="2168"/>
      <c r="AI190" s="2168"/>
      <c r="AJ190" s="216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70" t="s">
        <v>1934</v>
      </c>
      <c r="I192" s="2170"/>
      <c r="J192" s="2170"/>
      <c r="K192" s="2170"/>
      <c r="L192" s="2170"/>
      <c r="M192" s="2170"/>
      <c r="N192" s="2170"/>
      <c r="O192" s="2170"/>
      <c r="P192" s="1222"/>
      <c r="Q192" s="1222"/>
      <c r="R192" s="1222"/>
      <c r="S192" s="2167"/>
      <c r="T192" s="2168"/>
      <c r="U192" s="2168"/>
      <c r="V192" s="2168"/>
      <c r="W192" s="2168"/>
      <c r="X192" s="2168"/>
      <c r="Y192" s="2168"/>
      <c r="Z192" s="2168"/>
      <c r="AA192" s="2168"/>
      <c r="AB192" s="2168"/>
      <c r="AC192" s="2168"/>
      <c r="AD192" s="2168"/>
      <c r="AE192" s="2168"/>
      <c r="AF192" s="2168"/>
      <c r="AG192" s="2168"/>
      <c r="AH192" s="2168"/>
      <c r="AI192" s="2168"/>
      <c r="AJ192" s="216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71" t="s">
        <v>1935</v>
      </c>
      <c r="I194" s="2171"/>
      <c r="J194" s="1222"/>
      <c r="K194" s="1222"/>
      <c r="L194" s="1222"/>
      <c r="M194" s="1222"/>
      <c r="N194" s="1222"/>
      <c r="O194" s="1222"/>
      <c r="P194" s="1222"/>
      <c r="Q194" s="1222"/>
      <c r="R194" s="1222"/>
      <c r="S194" s="2172"/>
      <c r="T194" s="2173"/>
      <c r="U194" s="2173"/>
      <c r="V194" s="2173"/>
      <c r="W194" s="2173"/>
      <c r="X194" s="2173"/>
      <c r="Y194" s="2173"/>
      <c r="Z194" s="2173"/>
      <c r="AA194" s="2173"/>
      <c r="AB194" s="2173"/>
      <c r="AC194" s="2173"/>
      <c r="AD194" s="2173"/>
      <c r="AE194" s="2173"/>
      <c r="AF194" s="2173"/>
      <c r="AG194" s="2173"/>
      <c r="AH194" s="2173"/>
      <c r="AI194" s="2173"/>
      <c r="AJ194" s="217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7" zoomScaleNormal="100" zoomScaleSheetLayoutView="100" workbookViewId="0">
      <selection activeCell="AB57" sqref="AB57:AF57"/>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36" t="s">
        <v>1445</v>
      </c>
      <c r="B1" s="2536"/>
      <c r="C1" s="2536"/>
      <c r="D1" s="2536"/>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c r="AL1" s="2536"/>
      <c r="AM1" s="2536"/>
      <c r="AN1" s="2536"/>
    </row>
    <row r="2" spans="1:40" ht="12.95" customHeight="1" thickBot="1">
      <c r="A2" s="2537"/>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c r="AL2" s="2537"/>
      <c r="AM2" s="2537"/>
      <c r="AN2" s="2537"/>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16" t="str">
        <f xml:space="preserve"> IF(T25=100%,'Sources and Basis Breakdown'!G2,'Sources and Basis Breakdown'!F2)</f>
        <v>30% PVC for New Const/
Rehabilitation
NON-DDA/
NON-QCT Building(s)</v>
      </c>
      <c r="U7" s="2516"/>
      <c r="V7" s="2516"/>
      <c r="W7" s="2516"/>
      <c r="X7" s="2516"/>
      <c r="Y7" s="2516" t="str">
        <f>IF(T25=100%," ",'Sources and Basis Breakdown'!G2)</f>
        <v xml:space="preserve"> </v>
      </c>
      <c r="Z7" s="2516"/>
      <c r="AA7" s="2516"/>
      <c r="AB7" s="2516"/>
      <c r="AC7" s="2516"/>
      <c r="AD7" s="2516" t="str">
        <f xml:space="preserve"> IF(T25=100%, 'Sources and Basis Breakdown'!J2,'Sources and Basis Breakdown'!I2)</f>
        <v>30% PVC for Acquisition
NON-DDA/
NON-QCT Building(s)</v>
      </c>
      <c r="AE7" s="2516"/>
      <c r="AF7" s="2516"/>
      <c r="AG7" s="2516"/>
      <c r="AH7" s="2516"/>
      <c r="AI7" s="2516" t="str">
        <f>IF(T25=100%," ",'Sources and Basis Breakdown'!J2)</f>
        <v xml:space="preserve"> </v>
      </c>
      <c r="AJ7" s="2516"/>
      <c r="AK7" s="2516"/>
      <c r="AL7" s="2516"/>
      <c r="AM7" s="2516"/>
    </row>
    <row r="8" spans="1:40" ht="12.95" customHeight="1">
      <c r="B8" s="439"/>
      <c r="T8" s="2516"/>
      <c r="U8" s="2516"/>
      <c r="V8" s="2516"/>
      <c r="W8" s="2516"/>
      <c r="X8" s="2516"/>
      <c r="Y8" s="2516"/>
      <c r="Z8" s="2516"/>
      <c r="AA8" s="2516"/>
      <c r="AB8" s="2516"/>
      <c r="AC8" s="2516"/>
      <c r="AD8" s="2516"/>
      <c r="AE8" s="2516"/>
      <c r="AF8" s="2516"/>
      <c r="AG8" s="2516"/>
      <c r="AH8" s="2516"/>
      <c r="AI8" s="2516"/>
      <c r="AJ8" s="2516"/>
      <c r="AK8" s="2516"/>
      <c r="AL8" s="2516"/>
      <c r="AM8" s="2516"/>
    </row>
    <row r="9" spans="1:40" ht="12.95" customHeight="1">
      <c r="B9" s="439"/>
      <c r="T9" s="2516"/>
      <c r="U9" s="2516"/>
      <c r="V9" s="2516"/>
      <c r="W9" s="2516"/>
      <c r="X9" s="2516"/>
      <c r="Y9" s="2516"/>
      <c r="Z9" s="2516"/>
      <c r="AA9" s="2516"/>
      <c r="AB9" s="2516"/>
      <c r="AC9" s="2516"/>
      <c r="AD9" s="2516"/>
      <c r="AE9" s="2516"/>
      <c r="AF9" s="2516"/>
      <c r="AG9" s="2516"/>
      <c r="AH9" s="2516"/>
      <c r="AI9" s="2516"/>
      <c r="AJ9" s="2516"/>
      <c r="AK9" s="2516"/>
      <c r="AL9" s="2516"/>
      <c r="AM9" s="2516"/>
    </row>
    <row r="10" spans="1:40" ht="12.95" customHeight="1">
      <c r="B10" s="440"/>
      <c r="C10" s="441"/>
      <c r="D10" s="441"/>
      <c r="E10" s="441"/>
      <c r="F10" s="441"/>
      <c r="G10" s="441"/>
      <c r="H10" s="441"/>
      <c r="I10" s="441"/>
      <c r="J10" s="441"/>
      <c r="K10" s="441"/>
      <c r="L10" s="441"/>
      <c r="M10" s="441"/>
      <c r="N10" s="441"/>
      <c r="O10" s="441"/>
      <c r="P10" s="441"/>
      <c r="Q10" s="441"/>
      <c r="R10" s="441"/>
      <c r="S10" s="441"/>
      <c r="T10" s="2516"/>
      <c r="U10" s="2516"/>
      <c r="V10" s="2516"/>
      <c r="W10" s="2516"/>
      <c r="X10" s="2516"/>
      <c r="Y10" s="2516"/>
      <c r="Z10" s="2516"/>
      <c r="AA10" s="2516"/>
      <c r="AB10" s="2516"/>
      <c r="AC10" s="2516"/>
      <c r="AD10" s="2516"/>
      <c r="AE10" s="2516"/>
      <c r="AF10" s="2516"/>
      <c r="AG10" s="2516"/>
      <c r="AH10" s="2516"/>
      <c r="AI10" s="2516"/>
      <c r="AJ10" s="2516"/>
      <c r="AK10" s="2516"/>
      <c r="AL10" s="2516"/>
      <c r="AM10" s="2516"/>
    </row>
    <row r="11" spans="1:40" ht="12.95" customHeight="1">
      <c r="B11" s="2499" t="s">
        <v>377</v>
      </c>
      <c r="C11" s="2500"/>
      <c r="D11" s="2500"/>
      <c r="E11" s="2500"/>
      <c r="F11" s="2500"/>
      <c r="G11" s="2500"/>
      <c r="H11" s="2500"/>
      <c r="I11" s="2500"/>
      <c r="J11" s="2500"/>
      <c r="K11" s="2500"/>
      <c r="L11" s="2500"/>
      <c r="M11" s="2500"/>
      <c r="N11" s="2500"/>
      <c r="O11" s="2500"/>
      <c r="P11" s="2500"/>
      <c r="Q11" s="2500"/>
      <c r="R11" s="2500"/>
      <c r="S11" s="2501"/>
      <c r="T11" s="2538">
        <f>IF('Sources and Basis Breakdown'!F107=0,'Sources and Basis Breakdown'!E107,'Sources and Basis Breakdown'!F107)</f>
        <v>55007468</v>
      </c>
      <c r="U11" s="2539"/>
      <c r="V11" s="2539"/>
      <c r="W11" s="2539"/>
      <c r="X11" s="2539"/>
      <c r="Y11" s="2538">
        <f>IF(Y7=" ",0,IF('Sources and Basis Breakdown'!G107+'Sources and Basis Breakdown'!F107='Sources and Basis Breakdown'!E107,'Sources and Basis Breakdown'!G107,0))</f>
        <v>0</v>
      </c>
      <c r="Z11" s="2539"/>
      <c r="AA11" s="2539"/>
      <c r="AB11" s="2539"/>
      <c r="AC11" s="2539"/>
      <c r="AD11" s="2539">
        <f>IF('Sources and Basis Breakdown'!I107=0,'Sources and Basis Breakdown'!H107,'Sources and Basis Breakdown'!I107)</f>
        <v>0</v>
      </c>
      <c r="AE11" s="2539"/>
      <c r="AF11" s="2539"/>
      <c r="AG11" s="2539"/>
      <c r="AH11" s="2539"/>
      <c r="AI11" s="2539">
        <f>IF(Y7=" ",0,IF('Sources and Basis Breakdown'!I107+'Sources and Basis Breakdown'!J107='Sources and Basis Breakdown'!H107,'Sources and Basis Breakdown'!J107,0))</f>
        <v>0</v>
      </c>
      <c r="AJ11" s="2539"/>
      <c r="AK11" s="2539"/>
      <c r="AL11" s="2539"/>
      <c r="AM11" s="2539"/>
    </row>
    <row r="12" spans="1:40" ht="12.95" customHeight="1">
      <c r="B12" s="2540" t="s">
        <v>507</v>
      </c>
      <c r="C12" s="1278"/>
      <c r="D12" s="1278"/>
      <c r="E12" s="1278"/>
      <c r="F12" s="1278"/>
      <c r="G12" s="1278"/>
      <c r="H12" s="1278"/>
      <c r="I12" s="1278"/>
      <c r="J12" s="1278"/>
      <c r="K12" s="1278"/>
      <c r="L12" s="1278"/>
      <c r="M12" s="1278"/>
      <c r="N12" s="1278"/>
      <c r="O12" s="1278"/>
      <c r="P12" s="1278"/>
      <c r="Q12" s="1278"/>
      <c r="R12" s="1278"/>
      <c r="S12" s="2541"/>
      <c r="T12" s="2531"/>
      <c r="U12" s="2532"/>
      <c r="V12" s="2532"/>
      <c r="W12" s="2532"/>
      <c r="X12" s="2533"/>
      <c r="Y12" s="2531"/>
      <c r="Z12" s="2532"/>
      <c r="AA12" s="2532"/>
      <c r="AB12" s="2532"/>
      <c r="AC12" s="2533"/>
      <c r="AD12" s="2531"/>
      <c r="AE12" s="2532"/>
      <c r="AF12" s="2532"/>
      <c r="AG12" s="2532"/>
      <c r="AH12" s="2533"/>
      <c r="AI12" s="2531"/>
      <c r="AJ12" s="2532"/>
      <c r="AK12" s="2532"/>
      <c r="AL12" s="2532"/>
      <c r="AM12" s="2533"/>
    </row>
    <row r="13" spans="1:40" ht="12.95" customHeight="1">
      <c r="B13" s="468"/>
      <c r="C13" s="2542" t="s">
        <v>508</v>
      </c>
      <c r="D13" s="2542"/>
      <c r="E13" s="2542"/>
      <c r="F13" s="2542"/>
      <c r="G13" s="2542"/>
      <c r="H13" s="2542"/>
      <c r="I13" s="2542"/>
      <c r="J13" s="2542"/>
      <c r="K13" s="2542"/>
      <c r="L13" s="2542"/>
      <c r="M13" s="2542"/>
      <c r="N13" s="2542"/>
      <c r="O13" s="2542"/>
      <c r="P13" s="2542"/>
      <c r="Q13" s="2542"/>
      <c r="R13" s="2542"/>
      <c r="S13" s="2543"/>
      <c r="T13" s="2534"/>
      <c r="U13" s="2535"/>
      <c r="V13" s="2535"/>
      <c r="W13" s="2535"/>
      <c r="X13" s="2535"/>
      <c r="Y13" s="2534"/>
      <c r="Z13" s="2535"/>
      <c r="AA13" s="2535"/>
      <c r="AB13" s="2535"/>
      <c r="AC13" s="2535"/>
      <c r="AD13" s="2535"/>
      <c r="AE13" s="2535"/>
      <c r="AF13" s="2535"/>
      <c r="AG13" s="2535"/>
      <c r="AH13" s="2535"/>
      <c r="AI13" s="2535"/>
      <c r="AJ13" s="2535"/>
      <c r="AK13" s="2535"/>
      <c r="AL13" s="2535"/>
      <c r="AM13" s="2535"/>
    </row>
    <row r="14" spans="1:40" ht="12.95" customHeight="1">
      <c r="B14" s="468"/>
      <c r="C14" s="2542" t="s">
        <v>509</v>
      </c>
      <c r="D14" s="2542"/>
      <c r="E14" s="2542"/>
      <c r="F14" s="2542"/>
      <c r="G14" s="2542"/>
      <c r="H14" s="2542"/>
      <c r="I14" s="2542"/>
      <c r="J14" s="2542"/>
      <c r="K14" s="2542"/>
      <c r="L14" s="2542"/>
      <c r="M14" s="2542"/>
      <c r="N14" s="2542"/>
      <c r="O14" s="2542"/>
      <c r="P14" s="2542"/>
      <c r="Q14" s="2542"/>
      <c r="R14" s="2542"/>
      <c r="S14" s="2543"/>
      <c r="T14" s="2524"/>
      <c r="U14" s="2525"/>
      <c r="V14" s="2525"/>
      <c r="W14" s="2525"/>
      <c r="X14" s="2525"/>
      <c r="Y14" s="2524"/>
      <c r="Z14" s="2525"/>
      <c r="AA14" s="2525"/>
      <c r="AB14" s="2525"/>
      <c r="AC14" s="2525"/>
      <c r="AD14" s="2525"/>
      <c r="AE14" s="2525"/>
      <c r="AF14" s="2525"/>
      <c r="AG14" s="2525"/>
      <c r="AH14" s="2525"/>
      <c r="AI14" s="2525"/>
      <c r="AJ14" s="2525"/>
      <c r="AK14" s="2525"/>
      <c r="AL14" s="2525"/>
      <c r="AM14" s="2525"/>
    </row>
    <row r="15" spans="1:40" ht="12.95" customHeight="1">
      <c r="B15" s="468"/>
      <c r="C15" s="2542" t="s">
        <v>510</v>
      </c>
      <c r="D15" s="2542"/>
      <c r="E15" s="2542"/>
      <c r="F15" s="2542"/>
      <c r="G15" s="2542"/>
      <c r="H15" s="2542"/>
      <c r="I15" s="2542"/>
      <c r="J15" s="2542"/>
      <c r="K15" s="2542"/>
      <c r="L15" s="2542"/>
      <c r="M15" s="2542"/>
      <c r="N15" s="2542"/>
      <c r="O15" s="2542"/>
      <c r="P15" s="2542"/>
      <c r="Q15" s="2542"/>
      <c r="R15" s="2542"/>
      <c r="S15" s="2543"/>
      <c r="T15" s="2524"/>
      <c r="U15" s="2525"/>
      <c r="V15" s="2525"/>
      <c r="W15" s="2525"/>
      <c r="X15" s="2525"/>
      <c r="Y15" s="2524"/>
      <c r="Z15" s="2525"/>
      <c r="AA15" s="2525"/>
      <c r="AB15" s="2525"/>
      <c r="AC15" s="2525"/>
      <c r="AD15" s="2525"/>
      <c r="AE15" s="2525"/>
      <c r="AF15" s="2525"/>
      <c r="AG15" s="2525"/>
      <c r="AH15" s="2525"/>
      <c r="AI15" s="2525"/>
      <c r="AJ15" s="2525"/>
      <c r="AK15" s="2525"/>
      <c r="AL15" s="2525"/>
      <c r="AM15" s="2525"/>
    </row>
    <row r="16" spans="1:40" ht="12.95" customHeight="1">
      <c r="B16" s="468"/>
      <c r="C16" s="2542" t="s">
        <v>831</v>
      </c>
      <c r="D16" s="2542"/>
      <c r="E16" s="2542"/>
      <c r="F16" s="2542"/>
      <c r="G16" s="2542"/>
      <c r="H16" s="2542"/>
      <c r="I16" s="2542"/>
      <c r="J16" s="2542"/>
      <c r="K16" s="2542"/>
      <c r="L16" s="2542"/>
      <c r="M16" s="2542"/>
      <c r="N16" s="2542"/>
      <c r="O16" s="2542"/>
      <c r="P16" s="2542"/>
      <c r="Q16" s="2542"/>
      <c r="R16" s="2542"/>
      <c r="S16" s="2543"/>
      <c r="T16" s="2524"/>
      <c r="U16" s="2525"/>
      <c r="V16" s="2525"/>
      <c r="W16" s="2525"/>
      <c r="X16" s="2525"/>
      <c r="Y16" s="2524"/>
      <c r="Z16" s="2525"/>
      <c r="AA16" s="2525"/>
      <c r="AB16" s="2525"/>
      <c r="AC16" s="2525"/>
      <c r="AD16" s="2525"/>
      <c r="AE16" s="2525"/>
      <c r="AF16" s="2525"/>
      <c r="AG16" s="2525"/>
      <c r="AH16" s="2525"/>
      <c r="AI16" s="2525"/>
      <c r="AJ16" s="2525"/>
      <c r="AK16" s="2525"/>
      <c r="AL16" s="2525"/>
      <c r="AM16" s="2525"/>
    </row>
    <row r="17" spans="1:40" ht="12.95" customHeight="1">
      <c r="B17" s="468"/>
      <c r="C17" s="2542" t="s">
        <v>511</v>
      </c>
      <c r="D17" s="2542"/>
      <c r="E17" s="2542"/>
      <c r="F17" s="2542"/>
      <c r="G17" s="2542"/>
      <c r="H17" s="2542"/>
      <c r="I17" s="2542"/>
      <c r="J17" s="2542"/>
      <c r="K17" s="2542"/>
      <c r="L17" s="2542"/>
      <c r="M17" s="2542"/>
      <c r="N17" s="2542"/>
      <c r="O17" s="2542"/>
      <c r="P17" s="2542"/>
      <c r="Q17" s="2542"/>
      <c r="R17" s="2542"/>
      <c r="S17" s="2543"/>
      <c r="T17" s="2524"/>
      <c r="U17" s="2525"/>
      <c r="V17" s="2525"/>
      <c r="W17" s="2525"/>
      <c r="X17" s="2525"/>
      <c r="Y17" s="2524"/>
      <c r="Z17" s="2525"/>
      <c r="AA17" s="2525"/>
      <c r="AB17" s="2525"/>
      <c r="AC17" s="2525"/>
      <c r="AD17" s="2525"/>
      <c r="AE17" s="2525"/>
      <c r="AF17" s="2525"/>
      <c r="AG17" s="2525"/>
      <c r="AH17" s="2525"/>
      <c r="AI17" s="2525"/>
      <c r="AJ17" s="2525"/>
      <c r="AK17" s="2525"/>
      <c r="AL17" s="2525"/>
      <c r="AM17" s="2525"/>
    </row>
    <row r="18" spans="1:40" ht="12.95" customHeight="1">
      <c r="A18"/>
      <c r="B18" s="1203"/>
      <c r="C18" s="1700" t="s">
        <v>1001</v>
      </c>
      <c r="D18" s="1700"/>
      <c r="E18" s="1700"/>
      <c r="F18" s="1700"/>
      <c r="G18" s="1700"/>
      <c r="H18" s="1700"/>
      <c r="I18" s="1700"/>
      <c r="J18" s="1700"/>
      <c r="K18" s="1700"/>
      <c r="L18" s="1700"/>
      <c r="M18" s="1700"/>
      <c r="N18" s="1700"/>
      <c r="O18" s="1700"/>
      <c r="P18" s="1700"/>
      <c r="Q18" s="1700"/>
      <c r="R18" s="1700"/>
      <c r="S18" s="1701"/>
      <c r="T18" s="2524"/>
      <c r="U18" s="2525"/>
      <c r="V18" s="2525"/>
      <c r="W18" s="2525"/>
      <c r="X18" s="2525"/>
      <c r="Y18" s="2524"/>
      <c r="Z18" s="2525"/>
      <c r="AA18" s="2525"/>
      <c r="AB18" s="2525"/>
      <c r="AC18" s="2525"/>
      <c r="AD18" s="2525"/>
      <c r="AE18" s="2525"/>
      <c r="AF18" s="2525"/>
      <c r="AG18" s="2525"/>
      <c r="AH18" s="2525"/>
      <c r="AI18" s="2525"/>
      <c r="AJ18" s="2525"/>
      <c r="AK18" s="2525"/>
      <c r="AL18" s="2525"/>
      <c r="AM18" s="2525"/>
    </row>
    <row r="19" spans="1:40" ht="12.95" customHeight="1">
      <c r="B19" s="1203"/>
      <c r="C19" s="1700" t="s">
        <v>1001</v>
      </c>
      <c r="D19" s="1700"/>
      <c r="E19" s="1700"/>
      <c r="F19" s="1700"/>
      <c r="G19" s="1700"/>
      <c r="H19" s="1700"/>
      <c r="I19" s="1700"/>
      <c r="J19" s="1700"/>
      <c r="K19" s="1700"/>
      <c r="L19" s="1700"/>
      <c r="M19" s="1700"/>
      <c r="N19" s="1700"/>
      <c r="O19" s="1700"/>
      <c r="P19" s="1700"/>
      <c r="Q19" s="1700"/>
      <c r="R19" s="1700"/>
      <c r="S19" s="1701"/>
      <c r="T19" s="2524"/>
      <c r="U19" s="2525"/>
      <c r="V19" s="2525"/>
      <c r="W19" s="2525"/>
      <c r="X19" s="2525"/>
      <c r="Y19" s="2524"/>
      <c r="Z19" s="2525"/>
      <c r="AA19" s="2525"/>
      <c r="AB19" s="2525"/>
      <c r="AC19" s="2525"/>
      <c r="AD19" s="2525"/>
      <c r="AE19" s="2525"/>
      <c r="AF19" s="2525"/>
      <c r="AG19" s="2525"/>
      <c r="AH19" s="2525"/>
      <c r="AI19" s="2525"/>
      <c r="AJ19" s="2525"/>
      <c r="AK19" s="2525"/>
      <c r="AL19" s="2525"/>
      <c r="AM19" s="2525"/>
    </row>
    <row r="20" spans="1:40" ht="12.95" customHeight="1">
      <c r="B20" s="2499" t="s">
        <v>512</v>
      </c>
      <c r="C20" s="2500"/>
      <c r="D20" s="2500"/>
      <c r="E20" s="2500"/>
      <c r="F20" s="2500"/>
      <c r="G20" s="2500"/>
      <c r="H20" s="2500"/>
      <c r="I20" s="2500"/>
      <c r="J20" s="2500"/>
      <c r="K20" s="2500"/>
      <c r="L20" s="2500"/>
      <c r="M20" s="2500"/>
      <c r="N20" s="2500"/>
      <c r="O20" s="2500"/>
      <c r="P20" s="2500"/>
      <c r="Q20" s="2500"/>
      <c r="R20" s="2500"/>
      <c r="S20" s="2501"/>
      <c r="T20" s="2515">
        <f>SUM(T13:X19)</f>
        <v>0</v>
      </c>
      <c r="U20" s="2493"/>
      <c r="V20" s="2493"/>
      <c r="W20" s="2493"/>
      <c r="X20" s="2493"/>
      <c r="Y20" s="2515">
        <f>SUM(Y13:AC19)</f>
        <v>0</v>
      </c>
      <c r="Z20" s="2493"/>
      <c r="AA20" s="2493"/>
      <c r="AB20" s="2493"/>
      <c r="AC20" s="2493"/>
      <c r="AD20" s="2503">
        <f>SUM(AD13:AH19)</f>
        <v>0</v>
      </c>
      <c r="AE20" s="2514"/>
      <c r="AF20" s="2514"/>
      <c r="AG20" s="2514"/>
      <c r="AH20" s="2515"/>
      <c r="AI20" s="2503">
        <f>SUM(AI13:AM19)</f>
        <v>0</v>
      </c>
      <c r="AJ20" s="2514"/>
      <c r="AK20" s="2514"/>
      <c r="AL20" s="2514"/>
      <c r="AM20" s="2515"/>
    </row>
    <row r="21" spans="1:40" ht="12.95" customHeight="1">
      <c r="B21" s="2499" t="s">
        <v>1422</v>
      </c>
      <c r="C21" s="2500"/>
      <c r="D21" s="2500"/>
      <c r="E21" s="2500"/>
      <c r="F21" s="2500"/>
      <c r="G21" s="2500"/>
      <c r="H21" s="2500"/>
      <c r="I21" s="2500"/>
      <c r="J21" s="2500"/>
      <c r="K21" s="2500"/>
      <c r="L21" s="2500"/>
      <c r="M21" s="2500"/>
      <c r="N21" s="2500"/>
      <c r="O21" s="2500"/>
      <c r="P21" s="2500"/>
      <c r="Q21" s="2500"/>
      <c r="R21" s="2500"/>
      <c r="S21" s="2501"/>
      <c r="T21" s="2524"/>
      <c r="U21" s="2525"/>
      <c r="V21" s="2525"/>
      <c r="W21" s="2525"/>
      <c r="X21" s="2525"/>
      <c r="Y21" s="2524"/>
      <c r="Z21" s="2525"/>
      <c r="AA21" s="2525"/>
      <c r="AB21" s="2525"/>
      <c r="AC21" s="2525"/>
      <c r="AD21" s="2531"/>
      <c r="AE21" s="2532"/>
      <c r="AF21" s="2532"/>
      <c r="AG21" s="2532"/>
      <c r="AH21" s="2533"/>
      <c r="AI21" s="2531"/>
      <c r="AJ21" s="2532"/>
      <c r="AK21" s="2532"/>
      <c r="AL21" s="2532"/>
      <c r="AM21" s="2533"/>
    </row>
    <row r="22" spans="1:40" ht="12.95" customHeight="1">
      <c r="B22" s="2499" t="s">
        <v>513</v>
      </c>
      <c r="C22" s="2500"/>
      <c r="D22" s="2500"/>
      <c r="E22" s="2500"/>
      <c r="F22" s="2500"/>
      <c r="G22" s="2500"/>
      <c r="H22" s="2500"/>
      <c r="I22" s="2500"/>
      <c r="J22" s="2500"/>
      <c r="K22" s="2500"/>
      <c r="L22" s="2500"/>
      <c r="M22" s="2500"/>
      <c r="N22" s="2500"/>
      <c r="O22" s="2500"/>
      <c r="P22" s="2500"/>
      <c r="Q22" s="2500"/>
      <c r="R22" s="2500"/>
      <c r="S22" s="2501"/>
      <c r="T22" s="2520">
        <f>(ABS(T20)+ABS(T21))*-1</f>
        <v>0</v>
      </c>
      <c r="U22" s="2521"/>
      <c r="V22" s="2521"/>
      <c r="W22" s="2521"/>
      <c r="X22" s="2521"/>
      <c r="Y22" s="2520">
        <f>(Y20+Y21)*-1</f>
        <v>0</v>
      </c>
      <c r="Z22" s="2521"/>
      <c r="AA22" s="2521"/>
      <c r="AB22" s="2521"/>
      <c r="AC22" s="2521"/>
      <c r="AD22" s="2522">
        <f>(AD20)*-1</f>
        <v>0</v>
      </c>
      <c r="AE22" s="2523"/>
      <c r="AF22" s="2523"/>
      <c r="AG22" s="2523"/>
      <c r="AH22" s="2520"/>
      <c r="AI22" s="2522">
        <f>(AI20)*-1</f>
        <v>0</v>
      </c>
      <c r="AJ22" s="2523"/>
      <c r="AK22" s="2523"/>
      <c r="AL22" s="2523"/>
      <c r="AM22" s="2520"/>
    </row>
    <row r="23" spans="1:40" ht="12.95" customHeight="1">
      <c r="B23" s="2499" t="s">
        <v>514</v>
      </c>
      <c r="C23" s="2500"/>
      <c r="D23" s="2500"/>
      <c r="E23" s="2500"/>
      <c r="F23" s="2500"/>
      <c r="G23" s="2500"/>
      <c r="H23" s="2500"/>
      <c r="I23" s="2500"/>
      <c r="J23" s="2500"/>
      <c r="K23" s="2500"/>
      <c r="L23" s="2500"/>
      <c r="M23" s="2500"/>
      <c r="N23" s="2500"/>
      <c r="O23" s="2500"/>
      <c r="P23" s="2500"/>
      <c r="Q23" s="2500"/>
      <c r="R23" s="2500"/>
      <c r="S23" s="2501"/>
      <c r="T23" s="2515">
        <f>T11+T22</f>
        <v>55007468</v>
      </c>
      <c r="U23" s="2493"/>
      <c r="V23" s="2493"/>
      <c r="W23" s="2493"/>
      <c r="X23" s="2493"/>
      <c r="Y23" s="2515">
        <f>Y11+Y22</f>
        <v>0</v>
      </c>
      <c r="Z23" s="2493"/>
      <c r="AA23" s="2493"/>
      <c r="AB23" s="2493"/>
      <c r="AC23" s="2493"/>
      <c r="AD23" s="2515">
        <f>AD11+AD22</f>
        <v>0</v>
      </c>
      <c r="AE23" s="2493"/>
      <c r="AF23" s="2493"/>
      <c r="AG23" s="2493"/>
      <c r="AH23" s="2493"/>
      <c r="AI23" s="2515">
        <f>AI11+AI22</f>
        <v>0</v>
      </c>
      <c r="AJ23" s="2493"/>
      <c r="AK23" s="2493"/>
      <c r="AL23" s="2493"/>
      <c r="AM23" s="2493"/>
    </row>
    <row r="24" spans="1:40" ht="12.95" customHeight="1">
      <c r="B24" s="2499" t="s">
        <v>1002</v>
      </c>
      <c r="C24" s="2500"/>
      <c r="D24" s="2500"/>
      <c r="E24" s="2500"/>
      <c r="F24" s="2500"/>
      <c r="G24" s="2500"/>
      <c r="H24" s="2500"/>
      <c r="I24" s="2500"/>
      <c r="J24" s="2500"/>
      <c r="K24" s="2500"/>
      <c r="L24" s="2500"/>
      <c r="M24" s="2500"/>
      <c r="N24" s="2500"/>
      <c r="O24" s="2500"/>
      <c r="P24" s="2500"/>
      <c r="Q24" s="2500"/>
      <c r="R24" s="2500"/>
      <c r="S24" s="2501"/>
      <c r="T24" s="2503">
        <f>Application!AJ1018</f>
        <v>124780239.31999999</v>
      </c>
      <c r="U24" s="2514"/>
      <c r="V24" s="2514"/>
      <c r="W24" s="2514"/>
      <c r="X24" s="2514"/>
      <c r="Y24" s="2514"/>
      <c r="Z24" s="2514"/>
      <c r="AA24" s="2514"/>
      <c r="AB24" s="2514"/>
      <c r="AC24" s="2514"/>
      <c r="AD24" s="2514"/>
      <c r="AE24" s="2514"/>
      <c r="AF24" s="2514"/>
      <c r="AG24" s="2514"/>
      <c r="AH24" s="2514"/>
      <c r="AI24" s="2514"/>
      <c r="AJ24" s="2514"/>
      <c r="AK24" s="2514"/>
      <c r="AL24" s="2514"/>
      <c r="AM24" s="2515"/>
    </row>
    <row r="25" spans="1:40" ht="12.95" customHeight="1">
      <c r="B25" s="2546" t="s">
        <v>1423</v>
      </c>
      <c r="C25" s="2547"/>
      <c r="D25" s="2547"/>
      <c r="E25" s="2547"/>
      <c r="F25" s="2547"/>
      <c r="G25" s="2547"/>
      <c r="H25" s="2547"/>
      <c r="I25" s="2547"/>
      <c r="J25" s="2547"/>
      <c r="K25" s="2547"/>
      <c r="L25" s="2547"/>
      <c r="M25" s="2547"/>
      <c r="N25" s="2547"/>
      <c r="O25" s="2547"/>
      <c r="P25" s="2547"/>
      <c r="Q25" s="2547"/>
      <c r="R25" s="2547"/>
      <c r="S25" s="2548"/>
      <c r="T25" s="2528">
        <f>IF(OR(Application!T195="yes",Application!T194="yes"),1.3,1)</f>
        <v>1</v>
      </c>
      <c r="U25" s="2529"/>
      <c r="V25" s="2529"/>
      <c r="W25" s="2529"/>
      <c r="X25" s="2529"/>
      <c r="Y25" s="2528">
        <v>1</v>
      </c>
      <c r="Z25" s="2529"/>
      <c r="AA25" s="2529"/>
      <c r="AB25" s="2529"/>
      <c r="AC25" s="2529"/>
      <c r="AD25" s="2528">
        <v>1</v>
      </c>
      <c r="AE25" s="2529"/>
      <c r="AF25" s="2529"/>
      <c r="AG25" s="2529"/>
      <c r="AH25" s="2530"/>
      <c r="AI25" s="2528">
        <v>1</v>
      </c>
      <c r="AJ25" s="2529"/>
      <c r="AK25" s="2529"/>
      <c r="AL25" s="2529"/>
      <c r="AM25" s="2530"/>
    </row>
    <row r="26" spans="1:40" ht="12.95" customHeight="1">
      <c r="B26" s="2499" t="s">
        <v>515</v>
      </c>
      <c r="C26" s="2500"/>
      <c r="D26" s="2500"/>
      <c r="E26" s="2500"/>
      <c r="F26" s="2500"/>
      <c r="G26" s="2500"/>
      <c r="H26" s="2500"/>
      <c r="I26" s="2500"/>
      <c r="J26" s="2500"/>
      <c r="K26" s="2500"/>
      <c r="L26" s="2500"/>
      <c r="M26" s="2500"/>
      <c r="N26" s="2500"/>
      <c r="O26" s="2500"/>
      <c r="P26" s="2500"/>
      <c r="Q26" s="2500"/>
      <c r="R26" s="2500"/>
      <c r="S26" s="2501"/>
      <c r="T26" s="2515">
        <f>T23*T25</f>
        <v>55007468</v>
      </c>
      <c r="U26" s="2493"/>
      <c r="V26" s="2493"/>
      <c r="W26" s="2493"/>
      <c r="X26" s="2493"/>
      <c r="Y26" s="2515">
        <f>Y23*Y25</f>
        <v>0</v>
      </c>
      <c r="Z26" s="2493"/>
      <c r="AA26" s="2493"/>
      <c r="AB26" s="2493"/>
      <c r="AC26" s="2493"/>
      <c r="AD26" s="2515">
        <f>AD23*AD25</f>
        <v>0</v>
      </c>
      <c r="AE26" s="2493"/>
      <c r="AF26" s="2493"/>
      <c r="AG26" s="2493"/>
      <c r="AH26" s="2493"/>
      <c r="AI26" s="2515">
        <f>AI23*AI25</f>
        <v>0</v>
      </c>
      <c r="AJ26" s="2493"/>
      <c r="AK26" s="2493"/>
      <c r="AL26" s="2493"/>
      <c r="AM26" s="2493"/>
    </row>
    <row r="27" spans="1:40" ht="12.95" customHeight="1">
      <c r="A27" s="442"/>
      <c r="B27" s="2549" t="s">
        <v>428</v>
      </c>
      <c r="C27" s="2550"/>
      <c r="D27" s="2550"/>
      <c r="E27" s="2550"/>
      <c r="F27" s="2550"/>
      <c r="G27" s="2550"/>
      <c r="H27" s="2550"/>
      <c r="I27" s="2550"/>
      <c r="J27" s="2550"/>
      <c r="K27" s="2550"/>
      <c r="L27" s="2550"/>
      <c r="M27" s="2550"/>
      <c r="N27" s="2550"/>
      <c r="O27" s="2550"/>
      <c r="P27" s="2550"/>
      <c r="Q27" s="2550"/>
      <c r="R27" s="2550"/>
      <c r="S27" s="2551"/>
      <c r="T27" s="2526">
        <f>Application!$AG$444</f>
        <v>1</v>
      </c>
      <c r="U27" s="2527"/>
      <c r="V27" s="2527"/>
      <c r="W27" s="2527"/>
      <c r="X27" s="2527"/>
      <c r="Y27" s="2526">
        <f>Application!$AG$444</f>
        <v>1</v>
      </c>
      <c r="Z27" s="2527"/>
      <c r="AA27" s="2527"/>
      <c r="AB27" s="2527"/>
      <c r="AC27" s="2527"/>
      <c r="AD27" s="2526">
        <f>Application!$AG$444</f>
        <v>1</v>
      </c>
      <c r="AE27" s="2527"/>
      <c r="AF27" s="2527"/>
      <c r="AG27" s="2527"/>
      <c r="AH27" s="2527"/>
      <c r="AI27" s="2526">
        <f>Application!$AG$444</f>
        <v>1</v>
      </c>
      <c r="AJ27" s="2527"/>
      <c r="AK27" s="2527"/>
      <c r="AL27" s="2527"/>
      <c r="AM27" s="2527"/>
    </row>
    <row r="28" spans="1:40" ht="12.95" customHeight="1">
      <c r="A28" s="436"/>
      <c r="B28" s="2499" t="s">
        <v>516</v>
      </c>
      <c r="C28" s="2500"/>
      <c r="D28" s="2500"/>
      <c r="E28" s="2500"/>
      <c r="F28" s="2500"/>
      <c r="G28" s="2500"/>
      <c r="H28" s="2500"/>
      <c r="I28" s="2500"/>
      <c r="J28" s="2500"/>
      <c r="K28" s="2500"/>
      <c r="L28" s="2500"/>
      <c r="M28" s="2500"/>
      <c r="N28" s="2500"/>
      <c r="O28" s="2500"/>
      <c r="P28" s="2500"/>
      <c r="Q28" s="2500"/>
      <c r="R28" s="2500"/>
      <c r="S28" s="2501"/>
      <c r="T28" s="2515">
        <f>IF(ISERROR((T26*T27)),0,(T26*T27))</f>
        <v>55007468</v>
      </c>
      <c r="U28" s="2493"/>
      <c r="V28" s="2493"/>
      <c r="W28" s="2493"/>
      <c r="X28" s="2493"/>
      <c r="Y28" s="2515">
        <f>IF(ISERROR((Y26*Y27)),0,(Y26*Y27))</f>
        <v>0</v>
      </c>
      <c r="Z28" s="2493"/>
      <c r="AA28" s="2493"/>
      <c r="AB28" s="2493"/>
      <c r="AC28" s="2493"/>
      <c r="AD28" s="2515">
        <f>IF(ISERROR((AD26*AD27)),0,(AD26*AD27))</f>
        <v>0</v>
      </c>
      <c r="AE28" s="2493"/>
      <c r="AF28" s="2493"/>
      <c r="AG28" s="2493"/>
      <c r="AH28" s="2493"/>
      <c r="AI28" s="2515">
        <f>IF(ISERROR((AI26*AI27)),0,(AI26*AI27))</f>
        <v>0</v>
      </c>
      <c r="AJ28" s="2493"/>
      <c r="AK28" s="2493"/>
      <c r="AL28" s="2493"/>
      <c r="AM28" s="2493"/>
    </row>
    <row r="29" spans="1:40" ht="12.95" customHeight="1">
      <c r="B29" s="2499" t="s">
        <v>533</v>
      </c>
      <c r="C29" s="2500"/>
      <c r="D29" s="2500"/>
      <c r="E29" s="2500"/>
      <c r="F29" s="2500"/>
      <c r="G29" s="2500"/>
      <c r="H29" s="2500"/>
      <c r="I29" s="2500"/>
      <c r="J29" s="2500"/>
      <c r="K29" s="2500"/>
      <c r="L29" s="2500"/>
      <c r="M29" s="2500"/>
      <c r="N29" s="2500"/>
      <c r="O29" s="2500"/>
      <c r="P29" s="2500"/>
      <c r="Q29" s="2500"/>
      <c r="R29" s="2500"/>
      <c r="S29" s="2501"/>
      <c r="T29" s="2503">
        <f>T28+Y28+AD28+AI28</f>
        <v>55007468</v>
      </c>
      <c r="U29" s="2514"/>
      <c r="V29" s="2514"/>
      <c r="W29" s="2514"/>
      <c r="X29" s="2514"/>
      <c r="Y29" s="2514"/>
      <c r="Z29" s="2514"/>
      <c r="AA29" s="2514"/>
      <c r="AB29" s="2514"/>
      <c r="AC29" s="2514"/>
      <c r="AD29" s="2514"/>
      <c r="AE29" s="2514"/>
      <c r="AF29" s="2514"/>
      <c r="AG29" s="2514"/>
      <c r="AH29" s="2514"/>
      <c r="AI29" s="2514"/>
      <c r="AJ29" s="2514"/>
      <c r="AK29" s="2514"/>
      <c r="AL29" s="2514"/>
      <c r="AM29" s="2515"/>
    </row>
    <row r="30" spans="1:40" ht="12.95" customHeight="1">
      <c r="B30" s="2519" t="s">
        <v>1425</v>
      </c>
      <c r="C30" s="2519"/>
      <c r="D30" s="2519"/>
      <c r="E30" s="2519"/>
      <c r="F30" s="2519"/>
      <c r="G30" s="2519"/>
      <c r="H30" s="2519"/>
      <c r="I30" s="2519"/>
      <c r="J30" s="2519"/>
      <c r="K30" s="2519"/>
      <c r="L30" s="2519"/>
      <c r="M30" s="2519"/>
      <c r="N30" s="2519"/>
      <c r="O30" s="2519"/>
      <c r="P30" s="2519"/>
      <c r="Q30" s="2519"/>
      <c r="R30" s="2519"/>
      <c r="S30" s="2519"/>
      <c r="T30" s="2519"/>
      <c r="U30" s="2519"/>
      <c r="V30" s="2519"/>
      <c r="W30" s="2519"/>
      <c r="X30" s="2519"/>
      <c r="Y30" s="2519"/>
      <c r="Z30" s="2519"/>
      <c r="AA30" s="2519"/>
      <c r="AB30" s="2519"/>
      <c r="AC30" s="2519"/>
      <c r="AD30" s="2519"/>
      <c r="AE30" s="2519"/>
      <c r="AF30" s="2519"/>
      <c r="AG30" s="2519"/>
      <c r="AH30" s="2519"/>
      <c r="AI30" s="2519"/>
      <c r="AJ30" s="2519"/>
      <c r="AK30" s="2519"/>
      <c r="AL30" s="2519"/>
      <c r="AM30" s="2519"/>
    </row>
    <row r="31" spans="1:40" ht="12.95" customHeight="1">
      <c r="B31" s="2519" t="s">
        <v>1424</v>
      </c>
      <c r="C31" s="2519"/>
      <c r="D31" s="2519"/>
      <c r="E31" s="2519"/>
      <c r="F31" s="2519"/>
      <c r="G31" s="2519"/>
      <c r="H31" s="2519"/>
      <c r="I31" s="2519"/>
      <c r="J31" s="2519"/>
      <c r="K31" s="2519"/>
      <c r="L31" s="2519"/>
      <c r="M31" s="2519"/>
      <c r="N31" s="2519"/>
      <c r="O31" s="2519"/>
      <c r="P31" s="2519"/>
      <c r="Q31" s="2519"/>
      <c r="R31" s="2519"/>
      <c r="S31" s="2519"/>
      <c r="T31" s="2519"/>
      <c r="U31" s="2519"/>
      <c r="V31" s="2519"/>
      <c r="W31" s="2519"/>
      <c r="X31" s="2519"/>
      <c r="Y31" s="2519"/>
      <c r="Z31" s="2519"/>
      <c r="AA31" s="2519"/>
      <c r="AB31" s="2519"/>
      <c r="AC31" s="2519"/>
      <c r="AD31" s="2519"/>
      <c r="AE31" s="2519"/>
      <c r="AF31" s="2519"/>
      <c r="AG31" s="2519"/>
      <c r="AH31" s="2519"/>
      <c r="AI31" s="2519"/>
      <c r="AJ31" s="2519"/>
      <c r="AK31" s="2519"/>
      <c r="AL31" s="2519"/>
      <c r="AM31" s="2519"/>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6" t="s">
        <v>1294</v>
      </c>
      <c r="Z35" s="2516"/>
      <c r="AA35" s="2516"/>
      <c r="AB35" s="2516"/>
      <c r="AC35" s="2516"/>
      <c r="AD35" s="2517" t="s">
        <v>371</v>
      </c>
      <c r="AE35" s="2517"/>
      <c r="AF35" s="2517"/>
      <c r="AG35" s="2517"/>
      <c r="AH35" s="2517"/>
    </row>
    <row r="36" spans="1:76" ht="12.95" customHeight="1">
      <c r="B36" s="439"/>
      <c r="X36" s="444"/>
      <c r="Y36" s="2516"/>
      <c r="Z36" s="2516"/>
      <c r="AA36" s="2516"/>
      <c r="AB36" s="2516"/>
      <c r="AC36" s="2516"/>
      <c r="AD36" s="2517"/>
      <c r="AE36" s="2517"/>
      <c r="AF36" s="2517"/>
      <c r="AG36" s="2517"/>
      <c r="AH36" s="2517"/>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6"/>
      <c r="Z37" s="2516"/>
      <c r="AA37" s="2516"/>
      <c r="AB37" s="2516"/>
      <c r="AC37" s="2516"/>
      <c r="AD37" s="2517"/>
      <c r="AE37" s="2517"/>
      <c r="AF37" s="2517"/>
      <c r="AG37" s="2517"/>
      <c r="AH37" s="2517"/>
    </row>
    <row r="38" spans="1:76" ht="12.95" customHeight="1">
      <c r="A38" s="436"/>
      <c r="B38" s="2499" t="s">
        <v>516</v>
      </c>
      <c r="C38" s="2500"/>
      <c r="D38" s="2500"/>
      <c r="E38" s="2500"/>
      <c r="F38" s="2500"/>
      <c r="G38" s="2500"/>
      <c r="H38" s="2500"/>
      <c r="I38" s="2500"/>
      <c r="J38" s="2500"/>
      <c r="K38" s="2500"/>
      <c r="L38" s="2500"/>
      <c r="M38" s="2500"/>
      <c r="N38" s="2500"/>
      <c r="O38" s="2500"/>
      <c r="P38" s="2500"/>
      <c r="Q38" s="2500"/>
      <c r="R38" s="2500"/>
      <c r="S38" s="2500"/>
      <c r="T38" s="2500"/>
      <c r="U38" s="2500"/>
      <c r="V38" s="2500"/>
      <c r="W38" s="2500"/>
      <c r="X38" s="2501"/>
      <c r="Y38" s="2493">
        <f>IF(T24&gt;=(T23+Y23+AD23+AI23),T28+Y28,0)</f>
        <v>55007468</v>
      </c>
      <c r="Z38" s="2493"/>
      <c r="AA38" s="2493"/>
      <c r="AB38" s="2493"/>
      <c r="AC38" s="2493"/>
      <c r="AD38" s="2493">
        <f>IF(T24&gt;=(T23+Y23+AD23+AI23),AD28+AI28,0)</f>
        <v>0</v>
      </c>
      <c r="AE38" s="2493"/>
      <c r="AF38" s="2493"/>
      <c r="AG38" s="2493"/>
      <c r="AH38" s="2493"/>
    </row>
    <row r="39" spans="1:76" ht="12.95" customHeight="1">
      <c r="B39" s="2499" t="s">
        <v>1952</v>
      </c>
      <c r="C39" s="2500"/>
      <c r="D39" s="2500"/>
      <c r="E39" s="2500"/>
      <c r="F39" s="2500"/>
      <c r="G39" s="2500"/>
      <c r="H39" s="2500"/>
      <c r="I39" s="2500"/>
      <c r="J39" s="2500"/>
      <c r="K39" s="2500"/>
      <c r="L39" s="2500"/>
      <c r="M39" s="2500"/>
      <c r="N39" s="2500"/>
      <c r="O39" s="2500"/>
      <c r="P39" s="2500"/>
      <c r="Q39" s="2500"/>
      <c r="R39" s="2500"/>
      <c r="S39" s="2500"/>
      <c r="T39" s="2500"/>
      <c r="U39" s="2500"/>
      <c r="V39" s="2500"/>
      <c r="W39" s="2500"/>
      <c r="X39" s="2501"/>
      <c r="Y39" s="2518">
        <v>0.04</v>
      </c>
      <c r="Z39" s="2518"/>
      <c r="AA39" s="2518"/>
      <c r="AB39" s="2518"/>
      <c r="AC39" s="2518"/>
      <c r="AD39" s="2518">
        <v>0.04</v>
      </c>
      <c r="AE39" s="2518"/>
      <c r="AF39" s="2518"/>
      <c r="AG39" s="2518"/>
      <c r="AH39" s="2518"/>
    </row>
    <row r="40" spans="1:76" ht="12.95" customHeight="1">
      <c r="A40" s="436"/>
      <c r="B40" s="2499" t="s">
        <v>652</v>
      </c>
      <c r="C40" s="2500"/>
      <c r="D40" s="2500"/>
      <c r="E40" s="2500"/>
      <c r="F40" s="2500"/>
      <c r="G40" s="2500"/>
      <c r="H40" s="2500"/>
      <c r="I40" s="2500"/>
      <c r="J40" s="2500"/>
      <c r="K40" s="2500"/>
      <c r="L40" s="2500"/>
      <c r="M40" s="2500"/>
      <c r="N40" s="2500"/>
      <c r="O40" s="2500"/>
      <c r="P40" s="2500"/>
      <c r="Q40" s="2500"/>
      <c r="R40" s="2500"/>
      <c r="S40" s="2500"/>
      <c r="T40" s="2500"/>
      <c r="U40" s="2500"/>
      <c r="V40" s="2500"/>
      <c r="W40" s="2500"/>
      <c r="X40" s="2501"/>
      <c r="Y40" s="2493">
        <f>ROUND(Y38*Y39,0)</f>
        <v>2200299</v>
      </c>
      <c r="Z40" s="2493"/>
      <c r="AA40" s="2493"/>
      <c r="AB40" s="2493"/>
      <c r="AC40" s="2493"/>
      <c r="AD40" s="2515">
        <f>ROUND(AD38*AD39,0)</f>
        <v>0</v>
      </c>
      <c r="AE40" s="2493"/>
      <c r="AF40" s="2493"/>
      <c r="AG40" s="2493"/>
      <c r="AH40" s="2493"/>
    </row>
    <row r="41" spans="1:76" ht="12.95" customHeight="1">
      <c r="B41" s="2499" t="s">
        <v>653</v>
      </c>
      <c r="C41" s="2500"/>
      <c r="D41" s="2500"/>
      <c r="E41" s="2500"/>
      <c r="F41" s="2500"/>
      <c r="G41" s="2500"/>
      <c r="H41" s="2500"/>
      <c r="I41" s="2500"/>
      <c r="J41" s="2500"/>
      <c r="K41" s="2500"/>
      <c r="L41" s="2500"/>
      <c r="M41" s="2500"/>
      <c r="N41" s="2500"/>
      <c r="O41" s="2500"/>
      <c r="P41" s="2500"/>
      <c r="Q41" s="2500"/>
      <c r="R41" s="2500"/>
      <c r="S41" s="2500"/>
      <c r="T41" s="2500"/>
      <c r="U41" s="2500"/>
      <c r="V41" s="2500"/>
      <c r="W41" s="2500"/>
      <c r="X41" s="2501"/>
      <c r="Y41" s="2503">
        <f>Y40+AD40</f>
        <v>2200299</v>
      </c>
      <c r="Z41" s="2514"/>
      <c r="AA41" s="2514"/>
      <c r="AB41" s="2514"/>
      <c r="AC41" s="2514"/>
      <c r="AD41" s="2514"/>
      <c r="AE41" s="2514"/>
      <c r="AF41" s="2514"/>
      <c r="AG41" s="2514"/>
      <c r="AH41" s="2515"/>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13" t="s">
        <v>1435</v>
      </c>
      <c r="B44" s="2513"/>
      <c r="C44" s="2513"/>
      <c r="D44" s="2513"/>
      <c r="E44" s="2513"/>
      <c r="F44" s="2513"/>
      <c r="G44" s="2513"/>
      <c r="H44" s="2513"/>
      <c r="I44" s="2513"/>
      <c r="J44" s="2513"/>
      <c r="K44" s="2513"/>
      <c r="L44" s="2513"/>
      <c r="M44" s="2513"/>
      <c r="N44" s="2513"/>
      <c r="O44" s="2513"/>
      <c r="P44" s="2513"/>
      <c r="Q44" s="2513"/>
      <c r="R44" s="2513"/>
      <c r="S44" s="2513"/>
      <c r="T44" s="2513"/>
      <c r="U44" s="2513"/>
      <c r="V44" s="2513"/>
      <c r="W44" s="2513"/>
      <c r="X44" s="2513"/>
      <c r="Y44" s="2513"/>
      <c r="Z44" s="2513"/>
      <c r="AA44" s="2513"/>
      <c r="AB44" s="2513"/>
      <c r="AC44" s="2513"/>
      <c r="AD44" s="2513"/>
      <c r="AE44" s="2513"/>
      <c r="AF44" s="2513"/>
      <c r="AG44" s="2513"/>
      <c r="AH44" s="2513"/>
      <c r="AI44" s="2513"/>
      <c r="AJ44" s="2513"/>
      <c r="AK44" s="2513"/>
      <c r="AL44" s="2513"/>
      <c r="AM44" s="2513"/>
      <c r="AN44" s="2513"/>
      <c r="AO44" s="2513"/>
      <c r="AP44" s="2513"/>
      <c r="AQ44" s="2513"/>
      <c r="AR44" s="2513"/>
      <c r="AS44" s="2513"/>
      <c r="AT44" s="2513"/>
      <c r="AU44" s="2513"/>
      <c r="AV44" s="2513"/>
      <c r="AW44" s="2513"/>
      <c r="AX44" s="2513"/>
      <c r="AY44" s="2513"/>
      <c r="AZ44" s="2513"/>
      <c r="BA44" s="2513"/>
      <c r="BB44" s="2513"/>
      <c r="BC44" s="2513"/>
      <c r="BD44" s="2513"/>
      <c r="BE44" s="2513"/>
      <c r="BF44" s="2513"/>
      <c r="BG44" s="2513"/>
      <c r="BH44" s="2513"/>
      <c r="BI44" s="2513"/>
      <c r="BJ44" s="2513"/>
      <c r="BK44" s="2513"/>
      <c r="BL44" s="2513"/>
      <c r="BM44" s="2513"/>
      <c r="BN44" s="2513"/>
      <c r="BO44" s="2513"/>
      <c r="BP44" s="2513"/>
      <c r="BQ44" s="2513"/>
      <c r="BR44" s="2513"/>
      <c r="BS44" s="2513"/>
      <c r="BT44" s="2513"/>
      <c r="BU44" s="2513"/>
      <c r="BV44" s="2513"/>
      <c r="BW44" s="2513"/>
      <c r="BX44" s="2513"/>
    </row>
    <row r="45" spans="1:76" s="218" customFormat="1" ht="12.95" customHeight="1" thickTop="1"/>
    <row r="46" spans="1:76" ht="12.95" customHeight="1">
      <c r="A46" s="436" t="s">
        <v>596</v>
      </c>
      <c r="C46" s="436" t="s">
        <v>284</v>
      </c>
    </row>
    <row r="47" spans="1:76" ht="12.95" customHeight="1">
      <c r="D47" s="436" t="s">
        <v>285</v>
      </c>
      <c r="AB47" s="2507">
        <f>'Sources and Uses Budget'!B105-MAX(IF('Sources and Uses Budget'!B15="",0,'Sources and Uses Budget'!B15),IF(Application!AG393="",0,Application!AG393))</f>
        <v>59097552</v>
      </c>
      <c r="AC47" s="2508"/>
      <c r="AD47" s="2508"/>
      <c r="AE47" s="2508"/>
      <c r="AF47" s="2509"/>
    </row>
    <row r="48" spans="1:76" ht="12.95" customHeight="1">
      <c r="D48" s="436" t="s">
        <v>21</v>
      </c>
      <c r="AB48" s="2507">
        <f>Application!AO635-MAX(IF('Sources and Uses Budget'!B15="",0,'Sources and Uses Budget'!B15),IF(Application!AG393="",0,Application!AG393))</f>
        <v>39294870</v>
      </c>
      <c r="AC48" s="2508"/>
      <c r="AD48" s="2508"/>
      <c r="AE48" s="2508"/>
      <c r="AF48" s="2509"/>
    </row>
    <row r="49" spans="1:76" ht="12.95" customHeight="1">
      <c r="D49" s="436" t="s">
        <v>92</v>
      </c>
      <c r="AB49" s="2507">
        <f>AB47-AB48</f>
        <v>19802682</v>
      </c>
      <c r="AC49" s="2508"/>
      <c r="AD49" s="2508"/>
      <c r="AE49" s="2508"/>
      <c r="AF49" s="2509"/>
    </row>
    <row r="50" spans="1:76" ht="12.95" customHeight="1">
      <c r="D50" s="436" t="s">
        <v>691</v>
      </c>
      <c r="AA50" s="447"/>
      <c r="AB50" s="2495">
        <v>0.9</v>
      </c>
      <c r="AC50" s="2496"/>
      <c r="AD50" s="2496"/>
      <c r="AE50" s="2496"/>
      <c r="AF50" s="2497"/>
    </row>
    <row r="51" spans="1:76" s="449" customFormat="1" ht="12.95" customHeight="1">
      <c r="A51" s="434"/>
      <c r="B51" s="434"/>
      <c r="C51" s="434"/>
      <c r="D51" s="434"/>
      <c r="E51" s="2506" t="s">
        <v>2113</v>
      </c>
      <c r="F51" s="2506"/>
      <c r="G51" s="2506"/>
      <c r="H51" s="2506"/>
      <c r="I51" s="2506"/>
      <c r="J51" s="2506"/>
      <c r="K51" s="2506"/>
      <c r="L51" s="2506"/>
      <c r="M51" s="2506"/>
      <c r="N51" s="2506"/>
      <c r="O51" s="2506"/>
      <c r="P51" s="2506"/>
      <c r="Q51" s="2506"/>
      <c r="R51" s="2506"/>
      <c r="S51" s="2506"/>
      <c r="T51" s="2506"/>
      <c r="U51" s="2506"/>
      <c r="V51" s="2506"/>
      <c r="W51" s="2506"/>
      <c r="X51" s="2506"/>
      <c r="Y51" s="2506"/>
      <c r="Z51" s="250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06"/>
      <c r="F52" s="2506"/>
      <c r="G52" s="2506"/>
      <c r="H52" s="2506"/>
      <c r="I52" s="2506"/>
      <c r="J52" s="2506"/>
      <c r="K52" s="2506"/>
      <c r="L52" s="2506"/>
      <c r="M52" s="2506"/>
      <c r="N52" s="2506"/>
      <c r="O52" s="2506"/>
      <c r="P52" s="2506"/>
      <c r="Q52" s="2506"/>
      <c r="R52" s="2506"/>
      <c r="S52" s="2506"/>
      <c r="T52" s="2506"/>
      <c r="U52" s="2506"/>
      <c r="V52" s="2506"/>
      <c r="W52" s="2506"/>
      <c r="X52" s="2506"/>
      <c r="Y52" s="2506"/>
      <c r="Z52" s="250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7">
        <f>ROUND(IF(ISERROR((AB49/AB50)),0,(AB49/AB50)),0)</f>
        <v>22002980</v>
      </c>
      <c r="AC54" s="2508"/>
      <c r="AD54" s="2508"/>
      <c r="AE54" s="2508"/>
      <c r="AF54" s="2509"/>
    </row>
    <row r="55" spans="1:76" ht="12.95" customHeight="1">
      <c r="D55" s="436" t="s">
        <v>335</v>
      </c>
      <c r="AB55" s="2507">
        <f>(AB54/10)</f>
        <v>2200298</v>
      </c>
      <c r="AC55" s="2508"/>
      <c r="AD55" s="2508"/>
      <c r="AE55" s="2508"/>
      <c r="AF55" s="2509"/>
    </row>
    <row r="56" spans="1:76" ht="12.95" customHeight="1">
      <c r="D56" s="436" t="s">
        <v>769</v>
      </c>
      <c r="AB56" s="2510">
        <f>(IF((Y41&lt;AB55),Y41,AB55))</f>
        <v>2200298</v>
      </c>
      <c r="AC56" s="2511"/>
      <c r="AD56" s="2511"/>
      <c r="AE56" s="2511"/>
      <c r="AF56" s="2512"/>
    </row>
    <row r="57" spans="1:76" ht="12.95" customHeight="1">
      <c r="D57" s="436" t="s">
        <v>768</v>
      </c>
      <c r="AB57" s="2507">
        <f>ROUND((10*AB56*AB50),0)</f>
        <v>19802682</v>
      </c>
      <c r="AC57" s="2508"/>
      <c r="AD57" s="2508"/>
      <c r="AE57" s="2508"/>
      <c r="AF57" s="2509"/>
    </row>
    <row r="58" spans="1:76" ht="12.95" customHeight="1">
      <c r="D58" s="436"/>
      <c r="AB58" s="455"/>
      <c r="AC58" s="455"/>
      <c r="AD58" s="455"/>
      <c r="AE58" s="455"/>
      <c r="AF58" s="455"/>
    </row>
    <row r="59" spans="1:76" ht="12.95" customHeight="1">
      <c r="D59" s="436" t="s">
        <v>767</v>
      </c>
      <c r="AB59" s="2491">
        <f>AB49-AB57</f>
        <v>0</v>
      </c>
      <c r="AC59" s="2491"/>
      <c r="AD59" s="2491"/>
      <c r="AE59" s="2491"/>
      <c r="AF59" s="2491"/>
    </row>
    <row r="60" spans="1:76" ht="12.95" customHeight="1">
      <c r="D60" s="436"/>
      <c r="AB60" s="455"/>
      <c r="AC60" s="455"/>
      <c r="AD60" s="455"/>
      <c r="AE60" s="455"/>
      <c r="AF60" s="455"/>
    </row>
    <row r="61" spans="1:76" s="218" customFormat="1" ht="12.95" customHeight="1" thickBot="1">
      <c r="A61" s="2513" t="str">
        <f>IF(Application!AP204="yes","Farmworker State Credit", "State Credit" )</f>
        <v>State Credit</v>
      </c>
      <c r="B61" s="2513"/>
      <c r="C61" s="2513"/>
      <c r="D61" s="2513"/>
      <c r="E61" s="2513"/>
      <c r="F61" s="2513"/>
      <c r="G61" s="2513"/>
      <c r="H61" s="2513"/>
      <c r="I61" s="2513"/>
      <c r="J61" s="2513"/>
      <c r="K61" s="2513"/>
      <c r="L61" s="2513"/>
      <c r="M61" s="2513"/>
      <c r="N61" s="2513"/>
      <c r="O61" s="2513"/>
      <c r="P61" s="2513"/>
      <c r="Q61" s="2513"/>
      <c r="R61" s="2513"/>
      <c r="S61" s="2513"/>
      <c r="T61" s="2513"/>
      <c r="U61" s="2513"/>
      <c r="V61" s="2513"/>
      <c r="W61" s="2513"/>
      <c r="X61" s="2513"/>
      <c r="Y61" s="2513"/>
      <c r="Z61" s="2513"/>
      <c r="AA61" s="2513"/>
      <c r="AB61" s="2513"/>
      <c r="AC61" s="2513"/>
      <c r="AD61" s="2513"/>
      <c r="AE61" s="2513"/>
      <c r="AF61" s="2513"/>
      <c r="AG61" s="2513"/>
      <c r="AH61" s="2513"/>
      <c r="AI61" s="2513"/>
      <c r="AJ61" s="2513"/>
      <c r="AK61" s="2513"/>
      <c r="AL61" s="2513"/>
      <c r="AM61" s="2513"/>
      <c r="AN61" s="2513"/>
      <c r="AO61" s="2513"/>
      <c r="AP61" s="2513"/>
      <c r="AQ61" s="2513"/>
      <c r="AR61" s="2513"/>
      <c r="AS61" s="2513"/>
      <c r="AT61" s="2513"/>
      <c r="AU61" s="2513"/>
      <c r="AV61" s="2513"/>
      <c r="AW61" s="2513"/>
      <c r="AX61" s="2513"/>
      <c r="AY61" s="2513"/>
      <c r="AZ61" s="2513"/>
      <c r="BA61" s="2513"/>
      <c r="BB61" s="2513"/>
      <c r="BC61" s="2513"/>
      <c r="BD61" s="2513"/>
      <c r="BE61" s="2513"/>
      <c r="BF61" s="2513"/>
      <c r="BG61" s="2513"/>
      <c r="BH61" s="2513"/>
      <c r="BI61" s="2513"/>
      <c r="BJ61" s="2513"/>
      <c r="BK61" s="2513"/>
      <c r="BL61" s="2513"/>
      <c r="BM61" s="2513"/>
      <c r="BN61" s="2513"/>
      <c r="BO61" s="2513"/>
      <c r="BP61" s="2513"/>
      <c r="BQ61" s="2513"/>
      <c r="BR61" s="2513"/>
      <c r="BS61" s="2513"/>
      <c r="BT61" s="2513"/>
      <c r="BU61" s="2513"/>
      <c r="BV61" s="2513"/>
      <c r="BW61" s="2513"/>
      <c r="BX61" s="2513"/>
    </row>
    <row r="62" spans="1:76" s="218" customFormat="1" ht="12.95" customHeight="1" thickTop="1"/>
    <row r="63" spans="1:76" ht="12.95" customHeight="1">
      <c r="A63" s="436" t="s">
        <v>599</v>
      </c>
      <c r="C63" s="219" t="s">
        <v>1406</v>
      </c>
      <c r="Y63" s="2502" t="s">
        <v>1025</v>
      </c>
      <c r="Z63" s="2502"/>
      <c r="AA63" s="2502"/>
      <c r="AB63" s="2502"/>
      <c r="AC63" s="2502"/>
      <c r="AD63" s="2502" t="s">
        <v>371</v>
      </c>
      <c r="AE63" s="2502"/>
      <c r="AF63" s="2502"/>
      <c r="AG63" s="2502"/>
      <c r="AH63" s="2502"/>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03">
        <f>IF(Application!Z204="(select)",0,((T23*T27)+Y28))</f>
        <v>55007468</v>
      </c>
      <c r="Z64" s="2504"/>
      <c r="AA64" s="2504"/>
      <c r="AB64" s="2504"/>
      <c r="AC64" s="2505"/>
      <c r="AD64" s="2503">
        <f>IF(AND(OR(Application!D210="At-Risk",Application!D210="At-Risk and Special Needs"),Application!M357="yes"),AD28+AI28,0)</f>
        <v>0</v>
      </c>
      <c r="AE64" s="2504"/>
      <c r="AF64" s="2504"/>
      <c r="AG64" s="2504"/>
      <c r="AH64" s="2505"/>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92">
        <f>IF(Application!AP204="yes",0.75,IF(Application!Z203="15% set-aside",0.13,IF(Application!Z203="15% set-aside with qualifying low value rehab",0.95,0.3)))</f>
        <v>0.3</v>
      </c>
      <c r="Z67" s="2492"/>
      <c r="AA67" s="2492"/>
      <c r="AB67" s="2492"/>
      <c r="AC67" s="2492"/>
      <c r="AD67" s="2492">
        <f>IF(Application!Z203="15% set-aside with qualifying low value rehab", 0.95,0.13)</f>
        <v>0.13</v>
      </c>
      <c r="AE67" s="2492"/>
      <c r="AF67" s="2492"/>
      <c r="AG67" s="2492"/>
      <c r="AH67" s="2492"/>
    </row>
    <row r="68" spans="1:36" ht="12.95" customHeight="1">
      <c r="C68" s="436"/>
      <c r="D68" s="219" t="s">
        <v>1408</v>
      </c>
      <c r="Y68" s="2493">
        <f>ROUND(Y64*Y67,0)</f>
        <v>16502240</v>
      </c>
      <c r="Z68" s="2494"/>
      <c r="AA68" s="2494"/>
      <c r="AB68" s="2494"/>
      <c r="AC68" s="2494"/>
      <c r="AD68" s="2493">
        <f>ROUND(AD64*AD67,0)</f>
        <v>0</v>
      </c>
      <c r="AE68" s="2494"/>
      <c r="AF68" s="2494"/>
      <c r="AG68" s="2494"/>
      <c r="AH68" s="2494"/>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95"/>
      <c r="AC71" s="2496"/>
      <c r="AD71" s="2496"/>
      <c r="AE71" s="2496"/>
      <c r="AF71" s="2497"/>
    </row>
    <row r="72" spans="1:36" ht="12.95" customHeight="1">
      <c r="A72" s="436"/>
      <c r="C72" s="436"/>
      <c r="D72" s="436"/>
      <c r="E72" s="2498" t="s">
        <v>1410</v>
      </c>
      <c r="F72" s="2498"/>
      <c r="G72" s="2498"/>
      <c r="H72" s="2498"/>
      <c r="I72" s="2498"/>
      <c r="J72" s="2498"/>
      <c r="K72" s="2498"/>
      <c r="L72" s="2498"/>
      <c r="M72" s="2498"/>
      <c r="N72" s="2498"/>
      <c r="O72" s="2498"/>
      <c r="P72" s="2498"/>
      <c r="Q72" s="2498"/>
      <c r="R72" s="2498"/>
      <c r="S72" s="2498"/>
      <c r="T72" s="2498"/>
      <c r="U72" s="2498"/>
      <c r="V72" s="2498"/>
      <c r="W72" s="2498"/>
      <c r="X72" s="2498"/>
      <c r="Y72" s="2498"/>
      <c r="Z72" s="2498"/>
      <c r="AA72" s="2498"/>
      <c r="AB72" s="472"/>
      <c r="AC72" s="472"/>
    </row>
    <row r="73" spans="1:36" ht="12.95" customHeight="1">
      <c r="A73" s="436"/>
      <c r="C73" s="436"/>
      <c r="D73" s="436"/>
      <c r="E73" s="2498"/>
      <c r="F73" s="2498"/>
      <c r="G73" s="2498"/>
      <c r="H73" s="2498"/>
      <c r="I73" s="2498"/>
      <c r="J73" s="2498"/>
      <c r="K73" s="2498"/>
      <c r="L73" s="2498"/>
      <c r="M73" s="2498"/>
      <c r="N73" s="2498"/>
      <c r="O73" s="2498"/>
      <c r="P73" s="2498"/>
      <c r="Q73" s="2498"/>
      <c r="R73" s="2498"/>
      <c r="S73" s="2498"/>
      <c r="T73" s="2498"/>
      <c r="U73" s="2498"/>
      <c r="V73" s="2498"/>
      <c r="W73" s="2498"/>
      <c r="X73" s="2498"/>
      <c r="Y73" s="2498"/>
      <c r="Z73" s="2498"/>
      <c r="AA73" s="2498"/>
      <c r="AB73" s="472"/>
      <c r="AC73" s="472"/>
    </row>
    <row r="74" spans="1:36" ht="12.95" customHeight="1">
      <c r="A74" s="436"/>
      <c r="C74" s="436"/>
      <c r="D74" s="436"/>
      <c r="E74" s="2498"/>
      <c r="F74" s="2498"/>
      <c r="G74" s="2498"/>
      <c r="H74" s="2498"/>
      <c r="I74" s="2498"/>
      <c r="J74" s="2498"/>
      <c r="K74" s="2498"/>
      <c r="L74" s="2498"/>
      <c r="M74" s="2498"/>
      <c r="N74" s="2498"/>
      <c r="O74" s="2498"/>
      <c r="P74" s="2498"/>
      <c r="Q74" s="2498"/>
      <c r="R74" s="2498"/>
      <c r="S74" s="2498"/>
      <c r="T74" s="2498"/>
      <c r="U74" s="2498"/>
      <c r="V74" s="2498"/>
      <c r="W74" s="2498"/>
      <c r="X74" s="2498"/>
      <c r="Y74" s="2498"/>
      <c r="Z74" s="2498"/>
      <c r="AA74" s="249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86">
        <f>ROUND(IF(ISERROR((AB59/AB71)),0,(AB59/AB71)),0)</f>
        <v>0</v>
      </c>
      <c r="AC76" s="2486"/>
      <c r="AD76" s="2486"/>
      <c r="AE76" s="2486"/>
      <c r="AF76" s="2486"/>
    </row>
    <row r="77" spans="1:36" ht="12.95" customHeight="1">
      <c r="C77" s="436"/>
      <c r="D77" s="219" t="s">
        <v>1412</v>
      </c>
      <c r="AB77" s="2487">
        <f>IF((Y68+AD68&lt;AB76),Y68+AD68,AB76)</f>
        <v>0</v>
      </c>
      <c r="AC77" s="2488"/>
      <c r="AD77" s="2488"/>
      <c r="AE77" s="2488"/>
      <c r="AF77" s="2489"/>
    </row>
    <row r="78" spans="1:36" ht="12.95" customHeight="1">
      <c r="C78" s="436"/>
      <c r="D78" s="219" t="s">
        <v>1413</v>
      </c>
      <c r="AB78" s="2490">
        <f>AB77*AB71</f>
        <v>0</v>
      </c>
      <c r="AC78" s="2490"/>
      <c r="AD78" s="2490"/>
      <c r="AE78" s="2490"/>
      <c r="AF78" s="2490"/>
    </row>
    <row r="79" spans="1:36" ht="12.95" customHeight="1">
      <c r="C79" s="436"/>
      <c r="D79" s="436"/>
      <c r="AB79" s="457"/>
      <c r="AC79" s="457"/>
      <c r="AD79" s="457"/>
      <c r="AE79" s="457"/>
      <c r="AF79" s="457"/>
    </row>
    <row r="80" spans="1:36" ht="12.95" customHeight="1">
      <c r="D80" s="436" t="s">
        <v>767</v>
      </c>
      <c r="AB80" s="2491">
        <f>AB49-(AB57+AB78)</f>
        <v>0</v>
      </c>
      <c r="AC80" s="2491"/>
      <c r="AD80" s="2491"/>
      <c r="AE80" s="2491"/>
      <c r="AF80" s="2491"/>
    </row>
    <row r="81" spans="1:78" ht="12.95" customHeight="1">
      <c r="F81" s="557"/>
      <c r="J81" s="557" t="str">
        <f>IF(AB80&gt;0,"FUNDING GAP MUST NOT EXCEED ZERO","")</f>
        <v/>
      </c>
    </row>
    <row r="82" spans="1:78" ht="12.95" customHeight="1">
      <c r="D82" s="558"/>
    </row>
    <row r="83" spans="1:78" ht="12.95" customHeight="1" thickBot="1">
      <c r="A83" s="2513"/>
      <c r="B83" s="2513"/>
      <c r="C83" s="2513"/>
      <c r="D83" s="2513"/>
      <c r="E83" s="2513"/>
      <c r="F83" s="2513"/>
      <c r="G83" s="2513"/>
      <c r="H83" s="2513"/>
      <c r="I83" s="2513"/>
      <c r="J83" s="2513"/>
      <c r="K83" s="2513"/>
      <c r="L83" s="2513"/>
      <c r="M83" s="2513"/>
      <c r="N83" s="2513"/>
      <c r="O83" s="2513"/>
      <c r="P83" s="2513"/>
      <c r="Q83" s="2513"/>
      <c r="R83" s="2513"/>
      <c r="S83" s="2513"/>
      <c r="T83" s="2513"/>
      <c r="U83" s="2513"/>
      <c r="V83" s="2513"/>
      <c r="W83" s="2513"/>
      <c r="X83" s="2513"/>
      <c r="Y83" s="2513"/>
      <c r="Z83" s="2513"/>
      <c r="AA83" s="2513"/>
      <c r="AB83" s="2513"/>
      <c r="AC83" s="2513"/>
      <c r="AD83" s="2513"/>
      <c r="AE83" s="2513"/>
      <c r="AF83" s="2513"/>
      <c r="AG83" s="2513"/>
      <c r="AH83" s="2513"/>
      <c r="AI83" s="2513"/>
      <c r="AJ83" s="2513"/>
      <c r="AK83" s="2513"/>
      <c r="AL83" s="2513"/>
      <c r="AM83" s="2513"/>
      <c r="AN83" s="2513"/>
      <c r="AO83" s="2513"/>
      <c r="AP83" s="2513"/>
      <c r="AQ83" s="2513"/>
      <c r="AR83" s="2513"/>
      <c r="AS83" s="2513"/>
      <c r="AT83" s="2513"/>
      <c r="AU83" s="2513"/>
      <c r="AV83" s="2513"/>
      <c r="AW83" s="2513"/>
      <c r="AX83" s="2513"/>
      <c r="AY83" s="2513"/>
      <c r="AZ83" s="2513"/>
      <c r="BA83" s="2513"/>
      <c r="BB83" s="2513"/>
      <c r="BC83" s="2513"/>
      <c r="BD83" s="2513"/>
      <c r="BE83" s="2513"/>
      <c r="BF83" s="2513"/>
      <c r="BG83" s="2513"/>
      <c r="BH83" s="2513"/>
      <c r="BI83" s="2513"/>
      <c r="BJ83" s="2513"/>
      <c r="BK83" s="2513"/>
      <c r="BL83" s="2513"/>
      <c r="BM83" s="2513"/>
      <c r="BN83" s="2513"/>
      <c r="BO83" s="2513"/>
      <c r="BP83" s="2513"/>
      <c r="BQ83" s="2513"/>
      <c r="BR83" s="2513"/>
      <c r="BS83" s="2513"/>
      <c r="BT83" s="2513"/>
      <c r="BU83" s="2513"/>
      <c r="BV83" s="2513"/>
      <c r="BW83" s="2513"/>
      <c r="BX83" s="2513"/>
    </row>
    <row r="84" spans="1:78" ht="12.95" customHeight="1" thickTop="1"/>
    <row r="85" spans="1:78" ht="12.95" customHeight="1">
      <c r="A85" s="436"/>
      <c r="C85" s="219"/>
    </row>
    <row r="86" spans="1:78" ht="12.95" customHeight="1">
      <c r="D86" s="219"/>
      <c r="AB86" s="2545"/>
      <c r="AC86" s="2545"/>
      <c r="AD86" s="2545"/>
      <c r="AE86" s="2545"/>
      <c r="AF86" s="2545"/>
    </row>
    <row r="87" spans="1:78" ht="12.95" customHeight="1" thickBot="1">
      <c r="D87" s="219"/>
      <c r="AB87" s="2544"/>
      <c r="AC87" s="2544"/>
      <c r="AD87" s="2544"/>
      <c r="AE87" s="2544"/>
      <c r="AF87" s="254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sqref="A1:J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2" t="s">
        <v>943</v>
      </c>
      <c r="B1" s="2552"/>
      <c r="C1" s="2552"/>
      <c r="D1" s="2552"/>
      <c r="E1" s="2552"/>
      <c r="F1" s="2552"/>
      <c r="G1" s="2552"/>
      <c r="H1" s="2552"/>
      <c r="I1" s="2552"/>
      <c r="J1" s="2552"/>
      <c r="K1" s="218"/>
      <c r="L1" s="218"/>
    </row>
    <row r="2" spans="1:12">
      <c r="A2" s="225"/>
      <c r="B2" s="225"/>
      <c r="C2" s="225"/>
      <c r="D2" s="225"/>
      <c r="E2" s="225"/>
      <c r="F2" s="225"/>
      <c r="G2" s="225"/>
      <c r="H2" s="225"/>
      <c r="I2" s="225"/>
      <c r="J2" s="225"/>
    </row>
    <row r="3" spans="1:12" ht="99.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1 Bedroom</v>
      </c>
      <c r="B4" s="1130">
        <f>Application!G714</f>
        <v>11</v>
      </c>
      <c r="C4" s="1131"/>
      <c r="D4" s="460">
        <f>Application!O714</f>
        <v>681</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22</v>
      </c>
      <c r="C5" s="1131"/>
      <c r="D5" s="460">
        <f>Application!O715</f>
        <v>1189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22</v>
      </c>
      <c r="C6" s="1131"/>
      <c r="D6" s="460">
        <f>Application!O716</f>
        <v>1443</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56</v>
      </c>
      <c r="C7" s="1131"/>
      <c r="D7" s="460">
        <f>Application!O717</f>
        <v>1697</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6</v>
      </c>
      <c r="C8" s="1131"/>
      <c r="D8" s="460">
        <f>Application!O718</f>
        <v>805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10</v>
      </c>
      <c r="C9" s="1131"/>
      <c r="D9" s="460">
        <f>Application!O719</f>
        <v>1415</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10</v>
      </c>
      <c r="C10" s="1131"/>
      <c r="D10" s="460">
        <f>Application!O720</f>
        <v>1720</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27</v>
      </c>
      <c r="C11" s="1131"/>
      <c r="D11" s="460">
        <f>Application!O721</f>
        <v>2025</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251282</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B66" sqref="B6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2514</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3068712</v>
      </c>
      <c r="G4" s="235">
        <f>E4*$C$4</f>
        <v>3145429.8</v>
      </c>
      <c r="I4" s="235">
        <f>G4*$C$4</f>
        <v>3224065.5449999995</v>
      </c>
      <c r="K4" s="235">
        <f>I4*$C$4</f>
        <v>3304667.1836249991</v>
      </c>
      <c r="M4" s="235">
        <f>K4*$C$4</f>
        <v>3387283.8632156239</v>
      </c>
      <c r="O4" s="235">
        <f>M4*$C$4</f>
        <v>3471965.9597960142</v>
      </c>
      <c r="Q4" s="235">
        <f>O4*$C$4</f>
        <v>3558765.1087909141</v>
      </c>
      <c r="S4" s="235">
        <f>Q4*$C$4</f>
        <v>3647734.2365106866</v>
      </c>
      <c r="U4" s="235">
        <f>S4*$C$4</f>
        <v>3738927.5924234535</v>
      </c>
      <c r="W4" s="235">
        <f>U4*$C$4</f>
        <v>3832400.7822340396</v>
      </c>
      <c r="Y4" s="235">
        <f>W4*$C$4</f>
        <v>3928210.80178989</v>
      </c>
      <c r="AA4" s="235">
        <f>Y4*$C$4</f>
        <v>4026416.0718346369</v>
      </c>
      <c r="AC4" s="235">
        <f>AA4*$C$4</f>
        <v>4127076.4736305024</v>
      </c>
      <c r="AE4" s="235">
        <f>AC4*$C$4</f>
        <v>4230253.3854712648</v>
      </c>
      <c r="AG4" s="235">
        <f>AE4*$C$4</f>
        <v>4336009.7201080462</v>
      </c>
    </row>
    <row r="5" spans="1:34" s="225" customFormat="1" ht="14.25">
      <c r="B5" s="225" t="s">
        <v>867</v>
      </c>
      <c r="C5" s="254">
        <f>IF(Application!$D$210="Special Needs",0.1,0.05)</f>
        <v>0.05</v>
      </c>
      <c r="E5" s="237">
        <f>-E4*$C$5</f>
        <v>-153435.6</v>
      </c>
      <c r="F5" s="237"/>
      <c r="G5" s="237">
        <f>-G4*$C$5</f>
        <v>-157271.49</v>
      </c>
      <c r="H5" s="237"/>
      <c r="I5" s="237">
        <f>-I4*$C$5</f>
        <v>-161203.27724999998</v>
      </c>
      <c r="J5" s="237"/>
      <c r="K5" s="237">
        <f>-K4*$C$5</f>
        <v>-165233.35918124998</v>
      </c>
      <c r="L5" s="237"/>
      <c r="M5" s="237">
        <f>-M4*$C$5</f>
        <v>-169364.1931607812</v>
      </c>
      <c r="N5" s="237"/>
      <c r="O5" s="237">
        <f>-O4*$C$5</f>
        <v>-173598.29798980072</v>
      </c>
      <c r="P5" s="237"/>
      <c r="Q5" s="237">
        <f>-Q4*$C$5</f>
        <v>-177938.25543954573</v>
      </c>
      <c r="R5" s="237"/>
      <c r="S5" s="237">
        <f>-S4*$C$5</f>
        <v>-182386.71182553435</v>
      </c>
      <c r="T5" s="237"/>
      <c r="U5" s="237">
        <f>-U4*$C$5</f>
        <v>-186946.37962117267</v>
      </c>
      <c r="V5" s="237"/>
      <c r="W5" s="237">
        <f>-W4*$C$5</f>
        <v>-191620.039111702</v>
      </c>
      <c r="X5" s="237"/>
      <c r="Y5" s="237">
        <f>-Y4*$C$5</f>
        <v>-196410.54008949452</v>
      </c>
      <c r="Z5" s="237"/>
      <c r="AA5" s="237">
        <f>-AA4*$C$5</f>
        <v>-201320.80359173185</v>
      </c>
      <c r="AB5" s="237"/>
      <c r="AC5" s="237">
        <f>-AC4*$C$5</f>
        <v>-206353.82368152513</v>
      </c>
      <c r="AD5" s="237"/>
      <c r="AE5" s="237">
        <f>-AE4*$C$5</f>
        <v>-211512.66927356325</v>
      </c>
      <c r="AF5" s="237"/>
      <c r="AG5" s="237">
        <f>-AG4*$C$5</f>
        <v>-216800.48600540232</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119520</v>
      </c>
      <c r="F8" s="238"/>
      <c r="G8" s="238">
        <f>E8*$C$8</f>
        <v>122507.99999999999</v>
      </c>
      <c r="H8" s="238"/>
      <c r="I8" s="238">
        <f>G8*$C$8</f>
        <v>125570.69999999997</v>
      </c>
      <c r="J8" s="238"/>
      <c r="K8" s="238">
        <f>I8*$C$8</f>
        <v>128709.96749999996</v>
      </c>
      <c r="L8" s="238"/>
      <c r="M8" s="238">
        <f>K8*$C$8</f>
        <v>131927.71668749995</v>
      </c>
      <c r="N8" s="238"/>
      <c r="O8" s="238">
        <f>M8*$C$8</f>
        <v>135225.90960468745</v>
      </c>
      <c r="P8" s="238"/>
      <c r="Q8" s="238">
        <f>O8*$C$8</f>
        <v>138606.55734480463</v>
      </c>
      <c r="R8" s="238"/>
      <c r="S8" s="238">
        <f>Q8*$C$8</f>
        <v>142071.72127842472</v>
      </c>
      <c r="T8" s="238"/>
      <c r="U8" s="238">
        <f>S8*$C$8</f>
        <v>145623.51431038533</v>
      </c>
      <c r="V8" s="238"/>
      <c r="W8" s="238">
        <f>U8*$C$8</f>
        <v>149264.10216814495</v>
      </c>
      <c r="X8" s="238"/>
      <c r="Y8" s="238">
        <f>W8*$C$8</f>
        <v>152995.70472234857</v>
      </c>
      <c r="Z8" s="238"/>
      <c r="AA8" s="238">
        <f>Y8*$C$8</f>
        <v>156820.59734040729</v>
      </c>
      <c r="AB8" s="238"/>
      <c r="AC8" s="238">
        <f>AA8*$C$8</f>
        <v>160741.11227391745</v>
      </c>
      <c r="AD8" s="238"/>
      <c r="AE8" s="238">
        <f>AC8*$C$8</f>
        <v>164759.64008076536</v>
      </c>
      <c r="AF8" s="238"/>
      <c r="AG8" s="238">
        <f>AE8*$C$8</f>
        <v>168878.63108278447</v>
      </c>
    </row>
    <row r="9" spans="1:34" s="225" customFormat="1" ht="14.25">
      <c r="B9" s="225" t="s">
        <v>867</v>
      </c>
      <c r="C9" s="254">
        <f>IF(Application!$D$210="Special Needs",0.1,0.05)</f>
        <v>0.05</v>
      </c>
      <c r="E9" s="237">
        <f>-E8*$C$9</f>
        <v>-5976</v>
      </c>
      <c r="F9" s="237"/>
      <c r="G9" s="237">
        <f>-G8*$C$9</f>
        <v>-6125.4</v>
      </c>
      <c r="H9" s="237"/>
      <c r="I9" s="237">
        <f>-I8*$C$9</f>
        <v>-6278.5349999999989</v>
      </c>
      <c r="J9" s="237"/>
      <c r="K9" s="237">
        <f>-K8*$C$9</f>
        <v>-6435.4983749999983</v>
      </c>
      <c r="L9" s="237"/>
      <c r="M9" s="237">
        <f>-M8*$C$9</f>
        <v>-6596.385834374998</v>
      </c>
      <c r="N9" s="237"/>
      <c r="O9" s="237">
        <f>-O8*$C$9</f>
        <v>-6761.2954802343729</v>
      </c>
      <c r="P9" s="237"/>
      <c r="Q9" s="237">
        <f>-Q8*$C$9</f>
        <v>-6930.3278672402321</v>
      </c>
      <c r="R9" s="237"/>
      <c r="S9" s="237">
        <f>-S8*$C$9</f>
        <v>-7103.5860639212369</v>
      </c>
      <c r="T9" s="237"/>
      <c r="U9" s="237">
        <f>-U8*$C$9</f>
        <v>-7281.1757155192672</v>
      </c>
      <c r="V9" s="237"/>
      <c r="W9" s="237">
        <f>-W8*$C$9</f>
        <v>-7463.2051084072482</v>
      </c>
      <c r="X9" s="237"/>
      <c r="Y9" s="237">
        <f>-Y8*$C$9</f>
        <v>-7649.7852361174291</v>
      </c>
      <c r="Z9" s="237"/>
      <c r="AA9" s="237">
        <f>-AA8*$C$9</f>
        <v>-7841.0298670203647</v>
      </c>
      <c r="AB9" s="237"/>
      <c r="AC9" s="237">
        <f>-AC8*$C$9</f>
        <v>-8037.055613695873</v>
      </c>
      <c r="AD9" s="237"/>
      <c r="AE9" s="237">
        <f>-AE8*$C$9</f>
        <v>-8237.9820040382674</v>
      </c>
      <c r="AF9" s="237"/>
      <c r="AG9" s="237">
        <f>-AG8*$C$9</f>
        <v>-8443.9315541392243</v>
      </c>
    </row>
    <row r="10" spans="1:34" s="225" customFormat="1" ht="14.25">
      <c r="A10" s="1196" t="s">
        <v>2519</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3028820.4</v>
      </c>
      <c r="G11" s="239">
        <f>SUM(G4:G10)</f>
        <v>3104540.9099999997</v>
      </c>
      <c r="I11" s="239">
        <f>SUM(I4:I10)</f>
        <v>3182154.4327499997</v>
      </c>
      <c r="K11" s="239">
        <f>SUM(K4:K10)</f>
        <v>3261708.293568749</v>
      </c>
      <c r="M11" s="239">
        <f>SUM(M4:M10)</f>
        <v>3343251.0009079678</v>
      </c>
      <c r="O11" s="239">
        <f>SUM(O4:O10)</f>
        <v>3426832.2759306664</v>
      </c>
      <c r="Q11" s="239">
        <f>SUM(Q4:Q10)</f>
        <v>3512503.0828289329</v>
      </c>
      <c r="S11" s="239">
        <f>SUM(S4:S10)</f>
        <v>3600315.6598996557</v>
      </c>
      <c r="U11" s="239">
        <f>SUM(U4:U10)</f>
        <v>3690323.5513971467</v>
      </c>
      <c r="W11" s="239">
        <f>SUM(W4:W10)</f>
        <v>3782581.6401820751</v>
      </c>
      <c r="Y11" s="239">
        <f>SUM(Y4:Y10)</f>
        <v>3877146.1811866267</v>
      </c>
      <c r="AA11" s="239">
        <f>SUM(AA4:AA10)</f>
        <v>3974074.8357162918</v>
      </c>
      <c r="AC11" s="239">
        <f>SUM(AC4:AC10)</f>
        <v>4073426.7066091993</v>
      </c>
      <c r="AE11" s="239">
        <f>SUM(AE4:AE10)</f>
        <v>4175262.3742744289</v>
      </c>
      <c r="AG11" s="239">
        <f>SUM(AG4:AG10)</f>
        <v>4279643.9336312888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33864</v>
      </c>
      <c r="G15" s="235">
        <f>E15*$C$14</f>
        <v>35049.24</v>
      </c>
      <c r="I15" s="235">
        <f>G15*$C$14</f>
        <v>36275.963399999993</v>
      </c>
      <c r="K15" s="235">
        <f>I15*$C$14</f>
        <v>37545.622118999992</v>
      </c>
      <c r="M15" s="235">
        <f>K15*$C$14</f>
        <v>38859.718893164987</v>
      </c>
      <c r="O15" s="235">
        <f>M15*$C$14</f>
        <v>40219.809054425757</v>
      </c>
      <c r="Q15" s="235">
        <f>O15*$C$14</f>
        <v>41627.502371330658</v>
      </c>
      <c r="S15" s="235">
        <f>Q15*$C$14</f>
        <v>43084.464954327224</v>
      </c>
      <c r="U15" s="235">
        <f>S15*$C$14</f>
        <v>44592.421227728672</v>
      </c>
      <c r="W15" s="235">
        <f>U15*$C$14</f>
        <v>46153.155970699168</v>
      </c>
      <c r="Y15" s="235">
        <f>W15*$C$14</f>
        <v>47768.516429673633</v>
      </c>
      <c r="AA15" s="235">
        <f>Y15*$C$14</f>
        <v>49440.414504712207</v>
      </c>
      <c r="AC15" s="235">
        <f>AA15*$C$14</f>
        <v>51170.829012377129</v>
      </c>
      <c r="AE15" s="235">
        <f>AC15*$C$14</f>
        <v>52961.808027810323</v>
      </c>
      <c r="AG15" s="235">
        <f>AE15*$C$14</f>
        <v>54815.471308783679</v>
      </c>
    </row>
    <row r="16" spans="1:34" s="225" customFormat="1" ht="14.25">
      <c r="A16" s="225" t="s">
        <v>346</v>
      </c>
      <c r="C16" s="249"/>
      <c r="E16" s="238">
        <f>Application!W833</f>
        <v>106009</v>
      </c>
      <c r="F16" s="238"/>
      <c r="G16" s="238">
        <f t="shared" ref="G16:AG21" si="0">E16*$C$14</f>
        <v>109719.31499999999</v>
      </c>
      <c r="H16" s="238"/>
      <c r="I16" s="238">
        <f t="shared" si="0"/>
        <v>113559.49102499998</v>
      </c>
      <c r="J16" s="238"/>
      <c r="K16" s="238">
        <f t="shared" si="0"/>
        <v>117534.07321087497</v>
      </c>
      <c r="L16" s="238"/>
      <c r="M16" s="238">
        <f t="shared" si="0"/>
        <v>121647.76577325558</v>
      </c>
      <c r="N16" s="238"/>
      <c r="O16" s="238">
        <f t="shared" si="0"/>
        <v>125905.43757531952</v>
      </c>
      <c r="P16" s="238"/>
      <c r="Q16" s="238">
        <f t="shared" si="0"/>
        <v>130312.1278904557</v>
      </c>
      <c r="R16" s="238"/>
      <c r="S16" s="238">
        <f t="shared" si="0"/>
        <v>134873.05236662165</v>
      </c>
      <c r="T16" s="238"/>
      <c r="U16" s="238">
        <f t="shared" si="0"/>
        <v>139593.60919945341</v>
      </c>
      <c r="V16" s="238"/>
      <c r="W16" s="238">
        <f t="shared" si="0"/>
        <v>144479.38552143428</v>
      </c>
      <c r="X16" s="238"/>
      <c r="Y16" s="238">
        <f t="shared" si="0"/>
        <v>149536.16401468447</v>
      </c>
      <c r="Z16" s="238"/>
      <c r="AA16" s="238">
        <f t="shared" si="0"/>
        <v>154769.92975519842</v>
      </c>
      <c r="AB16" s="238"/>
      <c r="AC16" s="238">
        <f t="shared" si="0"/>
        <v>160186.87729663035</v>
      </c>
      <c r="AD16" s="238"/>
      <c r="AE16" s="238">
        <f t="shared" si="0"/>
        <v>165793.41800201239</v>
      </c>
      <c r="AF16" s="238"/>
      <c r="AG16" s="238">
        <f t="shared" si="0"/>
        <v>171596.18763208282</v>
      </c>
    </row>
    <row r="17" spans="1:33" s="225" customFormat="1" ht="14.25">
      <c r="A17" s="225" t="s">
        <v>571</v>
      </c>
      <c r="C17" s="249"/>
      <c r="E17" s="238">
        <f>Application!W839</f>
        <v>89308</v>
      </c>
      <c r="F17" s="238"/>
      <c r="G17" s="238">
        <f t="shared" si="0"/>
        <v>92433.78</v>
      </c>
      <c r="H17" s="238"/>
      <c r="I17" s="238">
        <f t="shared" si="0"/>
        <v>95668.962299999985</v>
      </c>
      <c r="J17" s="238"/>
      <c r="K17" s="238">
        <f t="shared" si="0"/>
        <v>99017.375980499972</v>
      </c>
      <c r="L17" s="238"/>
      <c r="M17" s="238">
        <f t="shared" si="0"/>
        <v>102482.98413981746</v>
      </c>
      <c r="N17" s="238"/>
      <c r="O17" s="238">
        <f t="shared" si="0"/>
        <v>106069.88858471107</v>
      </c>
      <c r="P17" s="238"/>
      <c r="Q17" s="238">
        <f t="shared" si="0"/>
        <v>109782.33468517594</v>
      </c>
      <c r="R17" s="238"/>
      <c r="S17" s="238">
        <f t="shared" si="0"/>
        <v>113624.71639915709</v>
      </c>
      <c r="T17" s="238"/>
      <c r="U17" s="238">
        <f t="shared" si="0"/>
        <v>117601.58147312758</v>
      </c>
      <c r="V17" s="238"/>
      <c r="W17" s="238">
        <f t="shared" si="0"/>
        <v>121717.63682468703</v>
      </c>
      <c r="X17" s="238"/>
      <c r="Y17" s="238">
        <f t="shared" si="0"/>
        <v>125977.75411355107</v>
      </c>
      <c r="Z17" s="238"/>
      <c r="AA17" s="238">
        <f t="shared" si="0"/>
        <v>130386.97550752535</v>
      </c>
      <c r="AB17" s="238"/>
      <c r="AC17" s="238">
        <f t="shared" si="0"/>
        <v>134950.51965028871</v>
      </c>
      <c r="AD17" s="238"/>
      <c r="AE17" s="238">
        <f t="shared" si="0"/>
        <v>139673.7878380488</v>
      </c>
      <c r="AF17" s="238"/>
      <c r="AG17" s="238">
        <f t="shared" si="0"/>
        <v>144562.37041238049</v>
      </c>
    </row>
    <row r="18" spans="1:33" s="225" customFormat="1" ht="14.25">
      <c r="A18" s="225" t="s">
        <v>871</v>
      </c>
      <c r="C18" s="249"/>
      <c r="E18" s="238">
        <f>Application!W846</f>
        <v>338053</v>
      </c>
      <c r="F18" s="238"/>
      <c r="G18" s="238">
        <f t="shared" si="0"/>
        <v>349884.85499999998</v>
      </c>
      <c r="H18" s="238"/>
      <c r="I18" s="238">
        <f t="shared" si="0"/>
        <v>362130.82492499996</v>
      </c>
      <c r="J18" s="238"/>
      <c r="K18" s="238">
        <f t="shared" si="0"/>
        <v>374805.40379737492</v>
      </c>
      <c r="L18" s="238"/>
      <c r="M18" s="238">
        <f t="shared" si="0"/>
        <v>387923.59293028299</v>
      </c>
      <c r="N18" s="238"/>
      <c r="O18" s="238">
        <f t="shared" si="0"/>
        <v>401500.91868284286</v>
      </c>
      <c r="P18" s="238"/>
      <c r="Q18" s="238">
        <f t="shared" si="0"/>
        <v>415553.45083674236</v>
      </c>
      <c r="R18" s="238"/>
      <c r="S18" s="238">
        <f t="shared" si="0"/>
        <v>430097.82161602832</v>
      </c>
      <c r="T18" s="238"/>
      <c r="U18" s="238">
        <f t="shared" si="0"/>
        <v>445151.24537258927</v>
      </c>
      <c r="V18" s="238"/>
      <c r="W18" s="238">
        <f t="shared" si="0"/>
        <v>460731.53896062984</v>
      </c>
      <c r="X18" s="238"/>
      <c r="Y18" s="238">
        <f t="shared" si="0"/>
        <v>476857.14282425185</v>
      </c>
      <c r="Z18" s="238"/>
      <c r="AA18" s="238">
        <f t="shared" si="0"/>
        <v>493547.14282310061</v>
      </c>
      <c r="AB18" s="238"/>
      <c r="AC18" s="238">
        <f t="shared" si="0"/>
        <v>510821.29282190907</v>
      </c>
      <c r="AD18" s="238"/>
      <c r="AE18" s="238">
        <f t="shared" si="0"/>
        <v>528700.0380706758</v>
      </c>
      <c r="AF18" s="238"/>
      <c r="AG18" s="238">
        <f t="shared" si="0"/>
        <v>547204.53940314939</v>
      </c>
    </row>
    <row r="19" spans="1:33" s="225" customFormat="1" ht="14.25">
      <c r="A19" s="225" t="s">
        <v>156</v>
      </c>
      <c r="C19" s="249"/>
      <c r="E19" s="238">
        <f>Application!W847</f>
        <v>49800</v>
      </c>
      <c r="F19" s="238"/>
      <c r="G19" s="238">
        <f t="shared" si="0"/>
        <v>51542.999999999993</v>
      </c>
      <c r="H19" s="238"/>
      <c r="I19" s="238">
        <f t="shared" si="0"/>
        <v>53347.00499999999</v>
      </c>
      <c r="J19" s="238"/>
      <c r="K19" s="238">
        <f t="shared" si="0"/>
        <v>55214.150174999988</v>
      </c>
      <c r="L19" s="238"/>
      <c r="M19" s="238">
        <f t="shared" si="0"/>
        <v>57146.645431124984</v>
      </c>
      <c r="N19" s="238"/>
      <c r="O19" s="238">
        <f t="shared" si="0"/>
        <v>59146.778021214355</v>
      </c>
      <c r="P19" s="238"/>
      <c r="Q19" s="238">
        <f t="shared" si="0"/>
        <v>61216.915251956852</v>
      </c>
      <c r="R19" s="238"/>
      <c r="S19" s="238">
        <f t="shared" si="0"/>
        <v>63359.50728577534</v>
      </c>
      <c r="T19" s="238"/>
      <c r="U19" s="238">
        <f t="shared" si="0"/>
        <v>65577.090040777475</v>
      </c>
      <c r="V19" s="238"/>
      <c r="W19" s="238">
        <f t="shared" si="0"/>
        <v>67872.28819220468</v>
      </c>
      <c r="X19" s="238"/>
      <c r="Y19" s="238">
        <f t="shared" si="0"/>
        <v>70247.818278931838</v>
      </c>
      <c r="Z19" s="238"/>
      <c r="AA19" s="238">
        <f t="shared" si="0"/>
        <v>72706.491918694446</v>
      </c>
      <c r="AB19" s="238"/>
      <c r="AC19" s="238">
        <f t="shared" si="0"/>
        <v>75251.219135848747</v>
      </c>
      <c r="AD19" s="238"/>
      <c r="AE19" s="238">
        <f t="shared" si="0"/>
        <v>77885.011805603441</v>
      </c>
      <c r="AF19" s="238"/>
      <c r="AG19" s="238">
        <f t="shared" si="0"/>
        <v>80610.98721879955</v>
      </c>
    </row>
    <row r="20" spans="1:33" s="225" customFormat="1" ht="14.25">
      <c r="A20" s="225" t="s">
        <v>392</v>
      </c>
      <c r="C20" s="249"/>
      <c r="E20" s="238">
        <f>Application!W856</f>
        <v>32370</v>
      </c>
      <c r="F20" s="238"/>
      <c r="G20" s="238">
        <f t="shared" si="0"/>
        <v>33502.949999999997</v>
      </c>
      <c r="H20" s="238"/>
      <c r="I20" s="238">
        <f t="shared" si="0"/>
        <v>34675.553249999997</v>
      </c>
      <c r="J20" s="238"/>
      <c r="K20" s="238">
        <f t="shared" si="0"/>
        <v>35889.197613749995</v>
      </c>
      <c r="L20" s="238"/>
      <c r="M20" s="238">
        <f t="shared" si="0"/>
        <v>37145.319530231245</v>
      </c>
      <c r="N20" s="238"/>
      <c r="O20" s="238">
        <f t="shared" si="0"/>
        <v>38445.405713789332</v>
      </c>
      <c r="P20" s="238"/>
      <c r="Q20" s="238">
        <f t="shared" si="0"/>
        <v>39790.99491377196</v>
      </c>
      <c r="R20" s="238"/>
      <c r="S20" s="238">
        <f t="shared" si="0"/>
        <v>41183.679735753976</v>
      </c>
      <c r="T20" s="238"/>
      <c r="U20" s="238">
        <f t="shared" si="0"/>
        <v>42625.108526505363</v>
      </c>
      <c r="V20" s="238"/>
      <c r="W20" s="238">
        <f t="shared" si="0"/>
        <v>44116.987324933049</v>
      </c>
      <c r="X20" s="238"/>
      <c r="Y20" s="238">
        <f t="shared" si="0"/>
        <v>45661.081881305705</v>
      </c>
      <c r="Z20" s="238"/>
      <c r="AA20" s="238">
        <f t="shared" si="0"/>
        <v>47259.219747151401</v>
      </c>
      <c r="AB20" s="238"/>
      <c r="AC20" s="238">
        <f t="shared" si="0"/>
        <v>48913.292438301694</v>
      </c>
      <c r="AD20" s="238"/>
      <c r="AE20" s="238">
        <f t="shared" si="0"/>
        <v>50625.257673642249</v>
      </c>
      <c r="AF20" s="238"/>
      <c r="AG20" s="238">
        <f t="shared" si="0"/>
        <v>52397.141692219724</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649404</v>
      </c>
      <c r="G22" s="239">
        <f>SUM(G15:G21)</f>
        <v>672133.1399999999</v>
      </c>
      <c r="I22" s="239">
        <f>SUM(I15:I21)</f>
        <v>695657.79989999998</v>
      </c>
      <c r="K22" s="239">
        <f>SUM(K15:K21)</f>
        <v>720005.82289649989</v>
      </c>
      <c r="M22" s="239">
        <f>SUM(M15:M21)</f>
        <v>745206.02669787733</v>
      </c>
      <c r="O22" s="239">
        <f>SUM(O15:O21)</f>
        <v>771288.23763230292</v>
      </c>
      <c r="Q22" s="239">
        <f>SUM(Q15:Q21)</f>
        <v>798283.32594943361</v>
      </c>
      <c r="S22" s="239">
        <f>SUM(S15:S21)</f>
        <v>826223.24235766358</v>
      </c>
      <c r="U22" s="239">
        <f>SUM(U15:U21)</f>
        <v>855141.05584018189</v>
      </c>
      <c r="W22" s="239">
        <f>SUM(W15:W21)</f>
        <v>885070.99279458798</v>
      </c>
      <c r="Y22" s="239">
        <f>SUM(Y15:Y21)</f>
        <v>916048.4775423985</v>
      </c>
      <c r="AA22" s="239">
        <f>SUM(AA15:AA21)</f>
        <v>948110.17425638239</v>
      </c>
      <c r="AC22" s="239">
        <f>SUM(AC15:AC21)</f>
        <v>981294.0303553557</v>
      </c>
      <c r="AE22" s="239">
        <f>SUM(AE15:AE21)</f>
        <v>1015639.3214177929</v>
      </c>
      <c r="AG22" s="239">
        <f>SUM(AG15:AG21)</f>
        <v>1051186.6976674157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1260">
        <v>1.02</v>
      </c>
      <c r="E24" s="947">
        <v>744000</v>
      </c>
      <c r="F24" s="238"/>
      <c r="G24" s="238">
        <f>E24*$C$24</f>
        <v>758880</v>
      </c>
      <c r="H24" s="238"/>
      <c r="I24" s="238">
        <f>G24*$C$24</f>
        <v>774057.6</v>
      </c>
      <c r="J24" s="238"/>
      <c r="K24" s="238">
        <f>I24*$C$24</f>
        <v>789538.75199999998</v>
      </c>
      <c r="L24" s="238"/>
      <c r="M24" s="238">
        <f>K24*$C$24</f>
        <v>805329.52703999996</v>
      </c>
      <c r="N24" s="238"/>
      <c r="O24" s="238">
        <f>M24*$C$24</f>
        <v>821436.11758079997</v>
      </c>
      <c r="P24" s="238"/>
      <c r="Q24" s="238">
        <f>O24*$C$24</f>
        <v>837864.83993241598</v>
      </c>
      <c r="R24" s="238"/>
      <c r="S24" s="238">
        <f>Q24*$C$24</f>
        <v>854622.1367310643</v>
      </c>
      <c r="T24" s="238"/>
      <c r="U24" s="238">
        <f>S24*$C$24</f>
        <v>871714.57946568565</v>
      </c>
      <c r="V24" s="238"/>
      <c r="W24" s="238">
        <f>U24*$C$24</f>
        <v>889148.87105499941</v>
      </c>
      <c r="X24" s="238"/>
      <c r="Y24" s="238">
        <f>W24*$C$24</f>
        <v>906931.84847609943</v>
      </c>
      <c r="Z24" s="238"/>
      <c r="AA24" s="238">
        <f>Y24*$C$24</f>
        <v>925070.48544562142</v>
      </c>
      <c r="AB24" s="238"/>
      <c r="AC24" s="238">
        <f>AA24*$C$24</f>
        <v>943571.89515453391</v>
      </c>
      <c r="AD24" s="238"/>
      <c r="AE24" s="238">
        <f>AC24*$C$24</f>
        <v>962443.33305762464</v>
      </c>
      <c r="AF24" s="238"/>
      <c r="AG24" s="238">
        <f>AE24*$C$24</f>
        <v>981692.19971877709</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22500</v>
      </c>
      <c r="F27" s="238"/>
      <c r="G27" s="238">
        <f>E27*$C$27</f>
        <v>23287.5</v>
      </c>
      <c r="H27" s="238"/>
      <c r="I27" s="238">
        <f>G27*$C$27</f>
        <v>24102.562499999996</v>
      </c>
      <c r="J27" s="238"/>
      <c r="K27" s="238">
        <f>I27*$C$27</f>
        <v>24946.152187499993</v>
      </c>
      <c r="L27" s="238"/>
      <c r="M27" s="238">
        <f>K27*$C$27</f>
        <v>25819.267514062489</v>
      </c>
      <c r="N27" s="238"/>
      <c r="O27" s="238">
        <f>M27*$C$27</f>
        <v>26722.941877054673</v>
      </c>
      <c r="P27" s="238"/>
      <c r="Q27" s="238">
        <f>O27*$C$27</f>
        <v>27658.244842751585</v>
      </c>
      <c r="R27" s="238"/>
      <c r="S27" s="238">
        <f>Q27*$C$27</f>
        <v>28626.283412247889</v>
      </c>
      <c r="T27" s="238"/>
      <c r="U27" s="238">
        <f>S27*$C$27</f>
        <v>29628.203331676563</v>
      </c>
      <c r="V27" s="238"/>
      <c r="W27" s="238">
        <f>U27*$C$27</f>
        <v>30665.190448285241</v>
      </c>
      <c r="X27" s="238"/>
      <c r="Y27" s="238">
        <f>W27*$C$27</f>
        <v>31738.472113975222</v>
      </c>
      <c r="Z27" s="238"/>
      <c r="AA27" s="238">
        <f>Y27*$C$27</f>
        <v>32849.318637964352</v>
      </c>
      <c r="AB27" s="238"/>
      <c r="AC27" s="238">
        <f>AA27*$C$27</f>
        <v>33999.044790293105</v>
      </c>
      <c r="AD27" s="238"/>
      <c r="AE27" s="238">
        <f>AC27*$C$27</f>
        <v>35189.011357953357</v>
      </c>
      <c r="AF27" s="238"/>
      <c r="AG27" s="238">
        <f>AE27*$C$27</f>
        <v>36420.626755481724</v>
      </c>
    </row>
    <row r="28" spans="1:33" s="225" customFormat="1" ht="14.25">
      <c r="A28" s="225" t="s">
        <v>875</v>
      </c>
      <c r="C28" s="253"/>
      <c r="E28" s="238">
        <f>Application!AC873</f>
        <v>41500</v>
      </c>
      <c r="F28" s="238"/>
      <c r="G28" s="238">
        <f>$E$28</f>
        <v>41500</v>
      </c>
      <c r="H28" s="238"/>
      <c r="I28" s="238">
        <f>$E$28</f>
        <v>41500</v>
      </c>
      <c r="J28" s="238"/>
      <c r="K28" s="238">
        <f>$E$28</f>
        <v>41500</v>
      </c>
      <c r="L28" s="238"/>
      <c r="M28" s="238">
        <f>$E$28</f>
        <v>41500</v>
      </c>
      <c r="N28" s="238"/>
      <c r="O28" s="238">
        <f>$E$28</f>
        <v>41500</v>
      </c>
      <c r="P28" s="238"/>
      <c r="Q28" s="238">
        <f>$E$28</f>
        <v>41500</v>
      </c>
      <c r="R28" s="238"/>
      <c r="S28" s="238">
        <f>$E$28</f>
        <v>41500</v>
      </c>
      <c r="T28" s="238"/>
      <c r="U28" s="238">
        <f>$E$28</f>
        <v>41500</v>
      </c>
      <c r="V28" s="238"/>
      <c r="W28" s="238">
        <f>$E$28</f>
        <v>41500</v>
      </c>
      <c r="X28" s="238"/>
      <c r="Y28" s="238">
        <f>$E$28</f>
        <v>41500</v>
      </c>
      <c r="Z28" s="238"/>
      <c r="AA28" s="238">
        <f>$E$28</f>
        <v>41500</v>
      </c>
      <c r="AB28" s="238"/>
      <c r="AC28" s="238">
        <f>$E$28</f>
        <v>41500</v>
      </c>
      <c r="AD28" s="238"/>
      <c r="AE28" s="238">
        <f>$E$28</f>
        <v>41500</v>
      </c>
      <c r="AF28" s="238"/>
      <c r="AG28" s="238">
        <f>$E$28</f>
        <v>41500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16766</v>
      </c>
      <c r="F31" s="238"/>
      <c r="G31" s="238">
        <f>E31*$C$31</f>
        <v>17101.32</v>
      </c>
      <c r="H31" s="238"/>
      <c r="I31" s="238">
        <f>G31*$C$31</f>
        <v>17443.346399999999</v>
      </c>
      <c r="J31" s="238"/>
      <c r="K31" s="238">
        <f>I31*$C$31</f>
        <v>17792.213327999998</v>
      </c>
      <c r="L31" s="238"/>
      <c r="M31" s="238">
        <f>K31*$C$31</f>
        <v>18148.057594559999</v>
      </c>
      <c r="N31" s="238"/>
      <c r="O31" s="238">
        <f>M31*$C$31</f>
        <v>18511.018746451198</v>
      </c>
      <c r="P31" s="238"/>
      <c r="Q31" s="238">
        <f>O31*$C$31</f>
        <v>18881.239121380222</v>
      </c>
      <c r="R31" s="238"/>
      <c r="S31" s="238">
        <f>Q31*$C$31</f>
        <v>19258.863903807825</v>
      </c>
      <c r="T31" s="238"/>
      <c r="U31" s="238">
        <f>S31*$C$31</f>
        <v>19644.041181883982</v>
      </c>
      <c r="V31" s="238"/>
      <c r="W31" s="238">
        <f>U31*$C$31</f>
        <v>20036.922005521661</v>
      </c>
      <c r="X31" s="238"/>
      <c r="Y31" s="238">
        <f>W31*$C$31</f>
        <v>20437.660445632093</v>
      </c>
      <c r="Z31" s="238"/>
      <c r="AA31" s="238">
        <f>Y31*$C$31</f>
        <v>20846.413654544736</v>
      </c>
      <c r="AB31" s="238"/>
      <c r="AC31" s="238">
        <f>AA31*$C$31</f>
        <v>21263.341927635633</v>
      </c>
      <c r="AD31" s="238"/>
      <c r="AE31" s="238">
        <f>AC31*$C$31</f>
        <v>21688.608766188347</v>
      </c>
      <c r="AF31" s="238"/>
      <c r="AG31" s="238">
        <f>AE31*$C$31</f>
        <v>22122.380941512114</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1474170</v>
      </c>
      <c r="G35" s="239">
        <f>SUM(G22:G33)</f>
        <v>1512901.96</v>
      </c>
      <c r="I35" s="239">
        <f>SUM(I22:I33)</f>
        <v>1552761.3088</v>
      </c>
      <c r="K35" s="239">
        <f>SUM(K22:K33)</f>
        <v>1593782.9404119998</v>
      </c>
      <c r="M35" s="239">
        <f>SUM(M22:M33)</f>
        <v>1636002.8788465001</v>
      </c>
      <c r="O35" s="239">
        <f>SUM(O22:O33)</f>
        <v>1679458.3158366089</v>
      </c>
      <c r="Q35" s="239">
        <f>SUM(Q22:Q33)</f>
        <v>1724187.6498459815</v>
      </c>
      <c r="S35" s="239">
        <f>SUM(S22:S33)</f>
        <v>1770230.5264047836</v>
      </c>
      <c r="U35" s="239">
        <f>SUM(U22:U33)</f>
        <v>1817627.8798194281</v>
      </c>
      <c r="W35" s="239">
        <f>SUM(W22:W33)</f>
        <v>1866421.9763033942</v>
      </c>
      <c r="Y35" s="239">
        <f>SUM(Y22:Y33)</f>
        <v>1916656.4585781053</v>
      </c>
      <c r="AA35" s="239">
        <f>SUM(AA22:AA33)</f>
        <v>1968376.3919945129</v>
      </c>
      <c r="AC35" s="239">
        <f>SUM(AC22:AC33)</f>
        <v>2021628.3122278184</v>
      </c>
      <c r="AE35" s="239">
        <f>SUM(AE22:AE33)</f>
        <v>2076460.2745995591</v>
      </c>
      <c r="AG35" s="239">
        <f>SUM(AG22:AG33)</f>
        <v>2132921.9050831869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1554650.4</v>
      </c>
      <c r="G37" s="239">
        <f>G11-G35</f>
        <v>1591638.9499999997</v>
      </c>
      <c r="I37" s="239">
        <f>I11-I35</f>
        <v>1629393.1239499997</v>
      </c>
      <c r="K37" s="239">
        <f>K11-K35</f>
        <v>1667925.3531567492</v>
      </c>
      <c r="M37" s="239">
        <f>M11-M35</f>
        <v>1707248.1220614677</v>
      </c>
      <c r="O37" s="239">
        <f>O11-O35</f>
        <v>1747373.9600940575</v>
      </c>
      <c r="Q37" s="239">
        <f>Q11-Q35</f>
        <v>1788315.4329829514</v>
      </c>
      <c r="S37" s="239">
        <f>S11-S35</f>
        <v>1830085.1334948721</v>
      </c>
      <c r="U37" s="239">
        <f>U11-U35</f>
        <v>1872695.6715777186</v>
      </c>
      <c r="W37" s="239">
        <f>W11-W35</f>
        <v>1916159.6638786809</v>
      </c>
      <c r="Y37" s="239">
        <f>Y11-Y35</f>
        <v>1960489.7226085213</v>
      </c>
      <c r="AA37" s="239">
        <f>AA11-AA35</f>
        <v>2005698.4437217789</v>
      </c>
      <c r="AC37" s="239">
        <f>AC11-AC35</f>
        <v>2051798.3943813809</v>
      </c>
      <c r="AE37" s="239">
        <f>AE11-AE35</f>
        <v>2098802.0996748698</v>
      </c>
      <c r="AG37" s="239">
        <f>AG11-AG35</f>
        <v>2146722.0285481019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N.A.</v>
      </c>
      <c r="B40" s="242"/>
      <c r="C40" s="236"/>
      <c r="E40" s="238">
        <f>Application!AF623</f>
        <v>1342793</v>
      </c>
      <c r="F40" s="238"/>
      <c r="G40" s="238">
        <f>$E$40</f>
        <v>1342793</v>
      </c>
      <c r="H40" s="238"/>
      <c r="I40" s="238">
        <f>$E$40</f>
        <v>1342793</v>
      </c>
      <c r="J40" s="238"/>
      <c r="K40" s="238">
        <f>$E$40</f>
        <v>1342793</v>
      </c>
      <c r="L40" s="238"/>
      <c r="M40" s="238">
        <f>$E$40</f>
        <v>1342793</v>
      </c>
      <c r="N40" s="238"/>
      <c r="O40" s="238">
        <f>$E$40</f>
        <v>1342793</v>
      </c>
      <c r="P40" s="238"/>
      <c r="Q40" s="238">
        <f>$E$40</f>
        <v>1342793</v>
      </c>
      <c r="R40" s="238"/>
      <c r="S40" s="238">
        <f>$E$40</f>
        <v>1342793</v>
      </c>
      <c r="T40" s="238"/>
      <c r="U40" s="238">
        <f>$E$40</f>
        <v>1342793</v>
      </c>
      <c r="V40" s="238"/>
      <c r="W40" s="238">
        <f>$E$40</f>
        <v>1342793</v>
      </c>
      <c r="X40" s="238"/>
      <c r="Y40" s="238">
        <f>$E$40</f>
        <v>1342793</v>
      </c>
      <c r="Z40" s="238"/>
      <c r="AA40" s="238">
        <f>$E$40</f>
        <v>1342793</v>
      </c>
      <c r="AB40" s="238"/>
      <c r="AC40" s="238">
        <f>$E$40</f>
        <v>1342793</v>
      </c>
      <c r="AD40" s="238"/>
      <c r="AE40" s="238">
        <f>$E$40</f>
        <v>1342793</v>
      </c>
      <c r="AF40" s="238"/>
      <c r="AG40" s="238">
        <f>$E$40</f>
        <v>1342793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1342793</v>
      </c>
      <c r="G43" s="239">
        <f>SUM(G40:G42)</f>
        <v>1342793</v>
      </c>
      <c r="I43" s="239">
        <f>SUM(I40:I42)</f>
        <v>1342793</v>
      </c>
      <c r="K43" s="239">
        <f>SUM(K40:K42)</f>
        <v>1342793</v>
      </c>
      <c r="M43" s="239">
        <f>SUM(M40:M42)</f>
        <v>1342793</v>
      </c>
      <c r="O43" s="239">
        <f>SUM(O40:O42)</f>
        <v>1342793</v>
      </c>
      <c r="Q43" s="239">
        <f>SUM(Q40:Q42)</f>
        <v>1342793</v>
      </c>
      <c r="S43" s="239">
        <f>SUM(S40:S42)</f>
        <v>1342793</v>
      </c>
      <c r="U43" s="239">
        <f>SUM(U40:U42)</f>
        <v>1342793</v>
      </c>
      <c r="W43" s="239">
        <f>SUM(W40:W42)</f>
        <v>1342793</v>
      </c>
      <c r="Y43" s="239">
        <f>SUM(Y40:Y42)</f>
        <v>1342793</v>
      </c>
      <c r="AA43" s="239">
        <f>SUM(AA40:AA42)</f>
        <v>1342793</v>
      </c>
      <c r="AC43" s="239">
        <f>SUM(AC40:AC42)</f>
        <v>1342793</v>
      </c>
      <c r="AE43" s="239">
        <f>SUM(AE40:AE42)</f>
        <v>1342793</v>
      </c>
      <c r="AG43" s="239">
        <f>SUM(AG40:AG42)</f>
        <v>1342793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211857.39999999991</v>
      </c>
      <c r="G45" s="239">
        <f>G37-G43</f>
        <v>248845.94999999972</v>
      </c>
      <c r="I45" s="239">
        <f>I37-I43</f>
        <v>286600.12394999969</v>
      </c>
      <c r="K45" s="239">
        <f>K37-K43</f>
        <v>325132.35315674916</v>
      </c>
      <c r="M45" s="239">
        <f>M37-M43</f>
        <v>364455.12206146773</v>
      </c>
      <c r="O45" s="239">
        <f>O37-O43</f>
        <v>404580.96009405749</v>
      </c>
      <c r="Q45" s="239">
        <f>Q37-Q43</f>
        <v>445522.4329829514</v>
      </c>
      <c r="S45" s="239">
        <f>S37-S43</f>
        <v>487292.13349487213</v>
      </c>
      <c r="U45" s="239">
        <f>U37-U43</f>
        <v>529902.67157771857</v>
      </c>
      <c r="W45" s="239">
        <f>W37-W43</f>
        <v>573366.66387868091</v>
      </c>
      <c r="Y45" s="239">
        <f>Y37-Y43</f>
        <v>617696.72260852135</v>
      </c>
      <c r="AA45" s="239">
        <f>AA37-AA43</f>
        <v>662905.44372177892</v>
      </c>
      <c r="AC45" s="239">
        <f>AC37-AC43</f>
        <v>709005.39438138087</v>
      </c>
      <c r="AE45" s="239">
        <f>AE37-AE43</f>
        <v>756009.09967486979</v>
      </c>
      <c r="AG45" s="239">
        <f>AG37-AG43</f>
        <v>803929.02854810189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6.644980666400685E-2</v>
      </c>
      <c r="G47" s="243">
        <f>G45/(G4+G6+G8)</f>
        <v>7.6147700852812972E-2</v>
      </c>
      <c r="I47" s="243">
        <f>I45/(I4+I6+I8)</f>
        <v>8.5561566387337598E-2</v>
      </c>
      <c r="K47" s="243">
        <f>K45/(K4+K6+K8)</f>
        <v>9.4697535064044602E-2</v>
      </c>
      <c r="M47" s="243">
        <f>M45/(M4+M6+M8)</f>
        <v>0.10356158298146438</v>
      </c>
      <c r="O47" s="243">
        <f>O45/(O4+O6+O8)</f>
        <v>0.11215953426987363</v>
      </c>
      <c r="Q47" s="243">
        <f>Q45/(Q4+Q6+Q8)</f>
        <v>0.12049706472938544</v>
      </c>
      <c r="S47" s="243">
        <f>S45/(S4+S6+S8)</f>
        <v>0.12857970537867525</v>
      </c>
      <c r="U47" s="243">
        <f>U45/(U4+U6+U8)</f>
        <v>0.13641284591651695</v>
      </c>
      <c r="W47" s="243">
        <f>W45/(W4+W6+W8)</f>
        <v>0.14400173809824965</v>
      </c>
      <c r="Y47" s="243">
        <f>Y45/(Y4+Y6+Y8)</f>
        <v>0.15135149902924155</v>
      </c>
      <c r="AA47" s="243">
        <f>AA45/(AA4+AA6+AA8)</f>
        <v>0.15846711437737213</v>
      </c>
      <c r="AC47" s="243">
        <f>AC45/(AC4+AC6+AC8)</f>
        <v>0.16535344150649822</v>
      </c>
      <c r="AE47" s="243">
        <f>AE45/(AE4+AE6+AE8)</f>
        <v>0.17201521253282567</v>
      </c>
      <c r="AG47" s="243">
        <f>AG45/(AG4+AG6+AG8)</f>
        <v>0.17845703730606105</v>
      </c>
    </row>
    <row r="48" spans="1:33" s="243" customFormat="1" ht="14.25">
      <c r="A48" s="243" t="s">
        <v>881</v>
      </c>
      <c r="C48" s="236"/>
      <c r="E48" s="243">
        <f>E45/E43</f>
        <v>0.15777368514730111</v>
      </c>
      <c r="G48" s="243">
        <f>G45/G43</f>
        <v>0.18531966580105774</v>
      </c>
      <c r="I48" s="243">
        <f>I45/I43</f>
        <v>0.21343581918434165</v>
      </c>
      <c r="K48" s="243">
        <f>K45/K43</f>
        <v>0.24213140309545042</v>
      </c>
      <c r="M48" s="243">
        <f>M45/M43</f>
        <v>0.2714157149027942</v>
      </c>
      <c r="O48" s="243">
        <f>O45/O43</f>
        <v>0.30129808547859388</v>
      </c>
      <c r="Q48" s="243">
        <f>Q45/Q43</f>
        <v>0.33178787272718235</v>
      </c>
      <c r="S48" s="243">
        <f>S45/S43</f>
        <v>0.36289445468875109</v>
      </c>
      <c r="U48" s="243">
        <f>U45/U43</f>
        <v>0.39462722219859547</v>
      </c>
      <c r="W48" s="243">
        <f>W45/W43</f>
        <v>0.42699557108108316</v>
      </c>
      <c r="Y48" s="243">
        <f>Y45/Y43</f>
        <v>0.46000889385670118</v>
      </c>
      <c r="AA48" s="243">
        <f>AA45/AA43</f>
        <v>0.49367657093966005</v>
      </c>
      <c r="AC48" s="243">
        <f>AC45/AC43</f>
        <v>0.52800796130258409</v>
      </c>
      <c r="AE48" s="243">
        <f>AE45/AE43</f>
        <v>0.56301239258386793</v>
      </c>
      <c r="AG48" s="243">
        <f>AG45/AG43</f>
        <v>0.59869915061226997</v>
      </c>
    </row>
    <row r="49" spans="1:35" s="244" customFormat="1" ht="14.25">
      <c r="A49" s="244" t="s">
        <v>879</v>
      </c>
      <c r="C49" s="245"/>
      <c r="E49" s="244">
        <f>E37/E43</f>
        <v>1.1577736851473011</v>
      </c>
      <c r="G49" s="244">
        <f>G37/G43</f>
        <v>1.1853196658010576</v>
      </c>
      <c r="I49" s="244">
        <f>I37/I43</f>
        <v>1.2134358191843417</v>
      </c>
      <c r="K49" s="244">
        <f>K37/K43</f>
        <v>1.2421314030954504</v>
      </c>
      <c r="M49" s="244">
        <f>M37/M43</f>
        <v>1.2714157149027943</v>
      </c>
      <c r="O49" s="244">
        <f>O37/O43</f>
        <v>1.3012980854785938</v>
      </c>
      <c r="Q49" s="244">
        <f>Q37/Q43</f>
        <v>1.3317878727271824</v>
      </c>
      <c r="S49" s="244">
        <f>S37/S43</f>
        <v>1.3628944546887511</v>
      </c>
      <c r="U49" s="244">
        <f>U37/U43</f>
        <v>1.3946272221985954</v>
      </c>
      <c r="W49" s="244">
        <f>W37/W43</f>
        <v>1.4269955710810831</v>
      </c>
      <c r="Y49" s="244">
        <f>Y37/Y43</f>
        <v>1.4600088938567011</v>
      </c>
      <c r="AA49" s="244">
        <f>AA37/AA43</f>
        <v>1.49367657093966</v>
      </c>
      <c r="AC49" s="244">
        <f>AC37/AC43</f>
        <v>1.5280079613025841</v>
      </c>
      <c r="AE49" s="244">
        <f>AE37/AE43</f>
        <v>1.5630123925838679</v>
      </c>
      <c r="AG49" s="244">
        <f>AG37/AG43</f>
        <v>1.5986991506122701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5" t="s">
        <v>1328</v>
      </c>
      <c r="B52" s="2555"/>
      <c r="C52" s="255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211857.39999999991</v>
      </c>
      <c r="G60" s="999">
        <f>G45-G58</f>
        <v>248845.94999999972</v>
      </c>
      <c r="I60" s="999">
        <f>I45-I58</f>
        <v>286600.12394999969</v>
      </c>
      <c r="K60" s="999">
        <f>K45-K58</f>
        <v>325132.35315674916</v>
      </c>
      <c r="M60" s="999">
        <f>M45-M58</f>
        <v>364455.12206146773</v>
      </c>
      <c r="O60" s="999">
        <f>O45-O58</f>
        <v>404580.96009405749</v>
      </c>
      <c r="Q60" s="999">
        <f>Q45-Q58</f>
        <v>445522.4329829514</v>
      </c>
      <c r="S60" s="999">
        <f>S45-S58</f>
        <v>487292.13349487213</v>
      </c>
      <c r="U60" s="999">
        <f>U45-U58</f>
        <v>529902.67157771857</v>
      </c>
      <c r="W60" s="999">
        <f>W45-W58</f>
        <v>573366.66387868091</v>
      </c>
      <c r="Y60" s="999">
        <f>Y45-Y58</f>
        <v>617696.72260852135</v>
      </c>
      <c r="AA60" s="999">
        <f>AA45-AA58</f>
        <v>662905.44372177892</v>
      </c>
      <c r="AC60" s="999">
        <f>AC45-AC58</f>
        <v>709005.39438138087</v>
      </c>
      <c r="AE60" s="999">
        <f>AE45-AE58</f>
        <v>756009.09967486979</v>
      </c>
      <c r="AG60" s="999">
        <f>AG45-AG58</f>
        <v>803929.02854810189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105928.69999999995</v>
      </c>
      <c r="G62" s="999">
        <f>G60*$C$62</f>
        <v>124422.97499999986</v>
      </c>
      <c r="I62" s="999">
        <f>I60*$C$62</f>
        <v>143300.06197499984</v>
      </c>
      <c r="K62" s="999">
        <f>K60*$C$62</f>
        <v>162566.17657837458</v>
      </c>
      <c r="M62" s="999">
        <f>M60*$C$62</f>
        <v>182227.56103073386</v>
      </c>
      <c r="O62" s="999">
        <f>O60*$C$62</f>
        <v>202290.48004702874</v>
      </c>
      <c r="Q62" s="999">
        <f>Q60*$C$62</f>
        <v>222761.2164914757</v>
      </c>
      <c r="S62" s="999">
        <f>S60*$C$62</f>
        <v>243646.06674743607</v>
      </c>
      <c r="U62" s="999">
        <f>U60*$C$62</f>
        <v>264951.33578885929</v>
      </c>
      <c r="W62" s="999">
        <f>W60*$C$62</f>
        <v>286683.33193934045</v>
      </c>
      <c r="Y62" s="999">
        <f>Y60*$C$62</f>
        <v>308848.36130426067</v>
      </c>
      <c r="AA62" s="999">
        <f>AA60*$C$62</f>
        <v>331452.72186088946</v>
      </c>
      <c r="AC62" s="999">
        <f>AC60*$C$62</f>
        <v>354502.69719069044</v>
      </c>
      <c r="AE62" s="999">
        <f>AE60*$C$62</f>
        <v>378004.5498374349</v>
      </c>
      <c r="AG62" s="999">
        <f>AG60*$C$62</f>
        <v>401964.51427405095</v>
      </c>
    </row>
    <row r="63" spans="1:35" s="999" customFormat="1">
      <c r="A63" s="2555" t="s">
        <v>1328</v>
      </c>
      <c r="B63" s="2555"/>
      <c r="C63" s="255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52964.349999999977</v>
      </c>
      <c r="G66" s="997">
        <f>G60*$C$65</f>
        <v>62211.48749999993</v>
      </c>
      <c r="I66" s="997">
        <f>I60*$C$65</f>
        <v>71650.030987499922</v>
      </c>
      <c r="K66" s="997">
        <f>K60*$C$65</f>
        <v>81283.08828918729</v>
      </c>
      <c r="M66" s="997">
        <f>M60*$C$65</f>
        <v>91113.780515366932</v>
      </c>
      <c r="O66" s="997">
        <f>O60*$C$65</f>
        <v>101145.24002351437</v>
      </c>
      <c r="Q66" s="997">
        <f>Q60*$C$65</f>
        <v>111380.60824573785</v>
      </c>
      <c r="S66" s="997">
        <f>S60*$C$65</f>
        <v>121823.03337371803</v>
      </c>
      <c r="U66" s="997">
        <f>U60*$C$65</f>
        <v>132475.66789442964</v>
      </c>
      <c r="W66" s="997">
        <f>W60*$C$65</f>
        <v>143341.66596967023</v>
      </c>
      <c r="Y66" s="997">
        <f>Y60*$C$65</f>
        <v>154424.18065213034</v>
      </c>
      <c r="AA66" s="997">
        <f>AA60*$C$65</f>
        <v>165726.36093044473</v>
      </c>
      <c r="AC66" s="997">
        <f>AC60*$C$65</f>
        <v>177251.34859534522</v>
      </c>
      <c r="AE66" s="997">
        <f>AE60*$C$65</f>
        <v>189002.27491871745</v>
      </c>
      <c r="AG66" s="997">
        <f>AG60*$C$65</f>
        <v>200982.25713702547</v>
      </c>
    </row>
    <row r="67" spans="1:35" s="997" customFormat="1">
      <c r="A67" s="1002"/>
      <c r="B67" s="1002"/>
      <c r="C67" s="1007"/>
      <c r="E67" s="1001">
        <f>$E60*$C$65</f>
        <v>52964.349999999977</v>
      </c>
      <c r="G67" s="997">
        <f>G60*$C$65</f>
        <v>62211.48749999993</v>
      </c>
      <c r="I67" s="997">
        <f>I60*$C$65</f>
        <v>71650.030987499922</v>
      </c>
      <c r="K67" s="997">
        <f>K60*$C$65</f>
        <v>81283.08828918729</v>
      </c>
      <c r="M67" s="997">
        <f>M60*$C$65</f>
        <v>91113.780515366932</v>
      </c>
      <c r="O67" s="997">
        <f>O60*$C$65</f>
        <v>101145.24002351437</v>
      </c>
      <c r="Q67" s="997">
        <f>Q60*$C$65</f>
        <v>111380.60824573785</v>
      </c>
      <c r="S67" s="997">
        <f>S60*$C$65</f>
        <v>121823.03337371803</v>
      </c>
      <c r="U67" s="997">
        <f>U60*$C$65</f>
        <v>132475.66789442964</v>
      </c>
      <c r="W67" s="997">
        <f>W60*$C$65</f>
        <v>143341.66596967023</v>
      </c>
      <c r="Y67" s="997">
        <f>Y60*$C$65</f>
        <v>154424.18065213034</v>
      </c>
      <c r="AA67" s="997">
        <f>AA60*$C$65</f>
        <v>165726.36093044473</v>
      </c>
      <c r="AC67" s="997">
        <f>AC60*$C$65</f>
        <v>177251.34859534522</v>
      </c>
      <c r="AE67" s="997">
        <f>AE60*$C$65</f>
        <v>189002.27491871745</v>
      </c>
      <c r="AG67" s="997">
        <f>AG60*$C$65</f>
        <v>200982.25713702547</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105928.69999999995</v>
      </c>
      <c r="G70" s="997">
        <f>SUM(G66:G69)</f>
        <v>124422.97499999986</v>
      </c>
      <c r="I70" s="997">
        <f>SUM(I66:I69)</f>
        <v>143300.06197499984</v>
      </c>
      <c r="K70" s="997">
        <f>SUM(K66:K69)</f>
        <v>162566.17657837458</v>
      </c>
      <c r="M70" s="997">
        <f>SUM(M66:M69)</f>
        <v>182227.56103073386</v>
      </c>
      <c r="O70" s="997">
        <f>SUM(O66:O69)</f>
        <v>202290.48004702874</v>
      </c>
      <c r="Q70" s="997">
        <f>SUM(Q66:Q69)</f>
        <v>222761.2164914757</v>
      </c>
      <c r="S70" s="997">
        <f>SUM(S66:S69)</f>
        <v>243646.06674743607</v>
      </c>
      <c r="U70" s="997">
        <f>SUM(U66:U69)</f>
        <v>264951.33578885929</v>
      </c>
      <c r="W70" s="997">
        <f>SUM(W66:W69)</f>
        <v>286683.33193934045</v>
      </c>
      <c r="Y70" s="997">
        <f>SUM(Y66:Y69)</f>
        <v>308848.36130426067</v>
      </c>
      <c r="AA70" s="997">
        <f>SUM(AA66:AA69)</f>
        <v>331452.72186088946</v>
      </c>
      <c r="AC70" s="997">
        <f>SUM(AC66:AC69)</f>
        <v>354502.69719069044</v>
      </c>
      <c r="AE70" s="997">
        <f>SUM(AE66:AE69)</f>
        <v>378004.5498374349</v>
      </c>
      <c r="AG70" s="997">
        <f>SUM(AG66:AG69)</f>
        <v>401964.51427405095</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53" t="s">
        <v>1982</v>
      </c>
      <c r="B77" s="2554"/>
      <c r="C77" s="2554"/>
      <c r="D77" s="2554"/>
      <c r="E77" s="2554"/>
      <c r="F77" s="2554"/>
      <c r="G77" s="2554"/>
      <c r="H77" s="2554"/>
      <c r="I77" s="2554"/>
      <c r="J77" s="2554"/>
      <c r="K77" s="2554"/>
      <c r="L77" s="2554"/>
      <c r="M77" s="2554"/>
      <c r="N77" s="2554"/>
      <c r="O77" s="2554"/>
      <c r="P77" s="2554"/>
      <c r="Q77" s="2554"/>
      <c r="R77" s="2554"/>
      <c r="S77" s="2554"/>
      <c r="T77" s="2554"/>
      <c r="U77" s="2554"/>
      <c r="V77" s="2554"/>
      <c r="W77" s="2554"/>
      <c r="X77" s="2554"/>
      <c r="Y77" s="2554"/>
      <c r="Z77" s="2554"/>
      <c r="AA77" s="2554"/>
      <c r="AB77" s="2554"/>
      <c r="AC77" s="2554"/>
      <c r="AD77" s="2554"/>
      <c r="AE77" s="2554"/>
      <c r="AF77" s="2554"/>
      <c r="AG77" s="255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0</v>
      </c>
      <c r="C9" s="290">
        <f>SUM(C5:C8)</f>
        <v>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115800</v>
      </c>
      <c r="C11" s="286">
        <f>'Sources and Uses Budget'!$C10</f>
        <v>115800</v>
      </c>
      <c r="D11" s="290">
        <f t="shared" si="0"/>
        <v>0</v>
      </c>
      <c r="E11" s="288"/>
      <c r="F11" s="287"/>
      <c r="G11" s="384"/>
    </row>
    <row r="12" spans="1:7" s="381" customFormat="1">
      <c r="A12" s="397" t="s">
        <v>606</v>
      </c>
      <c r="B12" s="290">
        <f>SUM(B10:B11)</f>
        <v>115800</v>
      </c>
      <c r="C12" s="290">
        <f>SUM(C10:C11)</f>
        <v>115800</v>
      </c>
      <c r="D12" s="290">
        <f t="shared" si="0"/>
        <v>0</v>
      </c>
      <c r="E12" s="288"/>
      <c r="F12" s="287"/>
      <c r="G12" s="384"/>
    </row>
    <row r="13" spans="1:7" s="381" customFormat="1">
      <c r="A13" s="397" t="s">
        <v>85</v>
      </c>
      <c r="B13" s="290">
        <f>SUM(B9+B12)</f>
        <v>115800</v>
      </c>
      <c r="C13" s="290">
        <f>SUM(C9+C12)</f>
        <v>115800</v>
      </c>
      <c r="D13" s="290">
        <f t="shared" si="0"/>
        <v>0</v>
      </c>
      <c r="E13" s="288"/>
      <c r="F13" s="287"/>
      <c r="G13" s="384"/>
    </row>
    <row r="14" spans="1:7" s="381" customFormat="1">
      <c r="A14" s="398" t="s">
        <v>936</v>
      </c>
      <c r="B14" s="286">
        <f>'Sources and Uses Budget'!$C13</f>
        <v>1008694</v>
      </c>
      <c r="C14" s="286">
        <f>'Sources and Uses Budget'!$C13</f>
        <v>1008694</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4554837</v>
      </c>
      <c r="C30" s="286">
        <f>'Sources and Uses Budget'!$C29</f>
        <v>4554837</v>
      </c>
      <c r="D30" s="290">
        <f t="shared" si="0"/>
        <v>0</v>
      </c>
      <c r="E30" s="288"/>
      <c r="F30" s="287"/>
      <c r="G30" s="384"/>
    </row>
    <row r="31" spans="1:7" s="381" customFormat="1">
      <c r="A31" s="145" t="s">
        <v>609</v>
      </c>
      <c r="B31" s="286">
        <f>'Sources and Uses Budget'!$C30</f>
        <v>23889792</v>
      </c>
      <c r="C31" s="286">
        <f>'Sources and Uses Budget'!$C30</f>
        <v>23889792</v>
      </c>
      <c r="D31" s="290">
        <f t="shared" si="0"/>
        <v>0</v>
      </c>
      <c r="E31" s="288"/>
      <c r="F31" s="287"/>
      <c r="G31" s="384"/>
    </row>
    <row r="32" spans="1:7" s="381" customFormat="1">
      <c r="A32" s="145" t="s">
        <v>610</v>
      </c>
      <c r="B32" s="286">
        <f>'Sources and Uses Budget'!$C31</f>
        <v>1254000</v>
      </c>
      <c r="C32" s="286">
        <f>'Sources and Uses Budget'!$C31</f>
        <v>1254000</v>
      </c>
      <c r="D32" s="290">
        <f t="shared" si="0"/>
        <v>0</v>
      </c>
      <c r="E32" s="288"/>
      <c r="F32" s="287"/>
      <c r="G32" s="384"/>
    </row>
    <row r="33" spans="1:7" s="381" customFormat="1">
      <c r="A33" s="145" t="s">
        <v>138</v>
      </c>
      <c r="B33" s="286">
        <f>'Sources and Uses Budget'!$C32</f>
        <v>1432480</v>
      </c>
      <c r="C33" s="286">
        <f>'Sources and Uses Budget'!$C32</f>
        <v>1432480</v>
      </c>
      <c r="D33" s="290">
        <f t="shared" si="0"/>
        <v>0</v>
      </c>
      <c r="E33" s="288"/>
      <c r="F33" s="287"/>
      <c r="G33" s="384"/>
    </row>
    <row r="34" spans="1:7" s="381" customFormat="1">
      <c r="A34" s="145" t="s">
        <v>139</v>
      </c>
      <c r="B34" s="286">
        <f>'Sources and Uses Budget'!$C33</f>
        <v>1432480</v>
      </c>
      <c r="C34" s="286">
        <f>'Sources and Uses Budget'!$C33</f>
        <v>1432480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843129</v>
      </c>
      <c r="C36" s="286">
        <f>'Sources and Uses Budget'!$C35</f>
        <v>843129</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33406718</v>
      </c>
      <c r="C39" s="290">
        <f>SUM(C30:C38)</f>
        <v>33406718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1794403</v>
      </c>
      <c r="C41" s="286">
        <f>'Sources and Uses Budget'!$C40</f>
        <v>1794403</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1794403</v>
      </c>
      <c r="C43" s="290">
        <f>SUM(C41:C42)</f>
        <v>1794403</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2210293</v>
      </c>
      <c r="C46" s="286">
        <f>'Sources and Uses Budget'!$C45</f>
        <v>2210293</v>
      </c>
      <c r="D46" s="290">
        <f t="shared" si="0"/>
        <v>0</v>
      </c>
      <c r="E46" s="288"/>
      <c r="F46" s="287"/>
      <c r="G46" s="384"/>
    </row>
    <row r="47" spans="1:7" s="381" customFormat="1">
      <c r="A47" s="145" t="s">
        <v>152</v>
      </c>
      <c r="B47" s="286">
        <f>'Sources and Uses Budget'!$C46</f>
        <v>1308228</v>
      </c>
      <c r="C47" s="286">
        <f>'Sources and Uses Budget'!$C46</f>
        <v>1308228</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110000</v>
      </c>
      <c r="C51" s="286">
        <f>'Sources and Uses Budget'!$C50</f>
        <v>110000</v>
      </c>
      <c r="D51" s="290">
        <f t="shared" si="0"/>
        <v>0</v>
      </c>
      <c r="E51" s="288"/>
      <c r="F51" s="287"/>
      <c r="G51" s="384"/>
    </row>
    <row r="52" spans="1:7" s="381" customFormat="1">
      <c r="A52" s="304" t="s">
        <v>155</v>
      </c>
      <c r="B52" s="286">
        <f>'Sources and Uses Budget'!$C51</f>
        <v>48203</v>
      </c>
      <c r="C52" s="286">
        <f>'Sources and Uses Budget'!$C51</f>
        <v>48203</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(Construction Inspection)</v>
      </c>
      <c r="B54" s="286">
        <f>'Sources and Uses Budget'!$C53</f>
        <v>28500</v>
      </c>
      <c r="C54" s="286">
        <f>'Sources and Uses Budget'!$C53</f>
        <v>28500</v>
      </c>
      <c r="D54" s="290">
        <f t="shared" si="0"/>
        <v>0</v>
      </c>
      <c r="E54" s="288"/>
      <c r="F54" s="287"/>
      <c r="G54" s="384"/>
    </row>
    <row r="55" spans="1:7" s="382" customFormat="1">
      <c r="A55" s="291" t="s">
        <v>158</v>
      </c>
      <c r="B55" s="293">
        <f>SUM(B46:B54)</f>
        <v>3705224</v>
      </c>
      <c r="C55" s="293">
        <f>SUM(C46:C54)</f>
        <v>3705224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1066772</v>
      </c>
      <c r="C57" s="286">
        <f>'Sources and Uses Budget'!$C56</f>
        <v>1066772</v>
      </c>
      <c r="D57" s="290">
        <f t="shared" si="0"/>
        <v>0</v>
      </c>
      <c r="E57" s="288"/>
      <c r="F57" s="287"/>
      <c r="G57" s="384"/>
    </row>
    <row r="58" spans="1:7" s="381" customFormat="1" ht="12" customHeight="1">
      <c r="A58" s="289" t="s">
        <v>153</v>
      </c>
      <c r="B58" s="286">
        <f>'Sources and Uses Budget'!$C57</f>
        <v>164500</v>
      </c>
      <c r="C58" s="286">
        <f>'Sources and Uses Budget'!$C57</f>
        <v>164500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(Int prior to Conversion)</v>
      </c>
      <c r="B62" s="286">
        <f>'Sources and Uses Budget'!$C61</f>
        <v>1774634</v>
      </c>
      <c r="C62" s="286">
        <f>'Sources and Uses Budget'!$C61</f>
        <v>1774634</v>
      </c>
      <c r="D62" s="290">
        <f t="shared" si="0"/>
        <v>0</v>
      </c>
      <c r="E62" s="288"/>
      <c r="F62" s="287"/>
      <c r="G62" s="384"/>
    </row>
    <row r="63" spans="1:7" s="381" customFormat="1" ht="13.7" customHeight="1">
      <c r="A63" s="291" t="s">
        <v>303</v>
      </c>
      <c r="B63" s="290">
        <f>SUM(B57:B62)</f>
        <v>3005906</v>
      </c>
      <c r="C63" s="290">
        <f>SUM(C57:C62)</f>
        <v>3005906</v>
      </c>
      <c r="D63" s="290">
        <f t="shared" si="0"/>
        <v>0</v>
      </c>
      <c r="E63" s="288"/>
      <c r="F63" s="287"/>
      <c r="G63" s="384"/>
    </row>
    <row r="64" spans="1:7" s="381" customFormat="1">
      <c r="A64" s="294" t="s">
        <v>304</v>
      </c>
      <c r="B64" s="290">
        <f>SUM(B9+B12+B14+B15+B17+B26+B28+B39+B43+B44+B55+B63)</f>
        <v>43036745</v>
      </c>
      <c r="C64" s="290">
        <f>SUM(C9+C12+C14+C15+C17+C26+C28+C39+C43+C44+C55+C63)</f>
        <v>43036745</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85000</v>
      </c>
      <c r="C66" s="286">
        <f>'Sources and Uses Budget'!$C65</f>
        <v>85000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1826</v>
      </c>
      <c r="B71" s="290">
        <f>SUM(B66:B70)</f>
        <v>85000</v>
      </c>
      <c r="C71" s="290">
        <f>SUM(C66:C70)</f>
        <v>85000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704241</v>
      </c>
      <c r="C76" s="286">
        <f>'Sources and Uses Budget'!$C75</f>
        <v>704241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704241</v>
      </c>
      <c r="C78" s="290">
        <f>SUM(C73:C77)</f>
        <v>704241</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2450955</v>
      </c>
      <c r="C80" s="286">
        <f>'Sources and Uses Budget'!$C79</f>
        <v>2450955</v>
      </c>
      <c r="D80" s="290">
        <f t="shared" si="1"/>
        <v>0</v>
      </c>
      <c r="E80" s="288"/>
      <c r="F80" s="287"/>
      <c r="G80" s="384"/>
    </row>
    <row r="81" spans="1:7" s="381" customFormat="1">
      <c r="A81" s="545" t="s">
        <v>58</v>
      </c>
      <c r="B81" s="286">
        <f>'Sources and Uses Budget'!$C80</f>
        <v>401583</v>
      </c>
      <c r="C81" s="286">
        <f>'Sources and Uses Budget'!$C80</f>
        <v>401583</v>
      </c>
      <c r="D81" s="290">
        <f>C81-B81</f>
        <v>0</v>
      </c>
      <c r="E81" s="288"/>
      <c r="F81" s="287"/>
      <c r="G81" s="384"/>
    </row>
    <row r="82" spans="1:7" s="381" customFormat="1">
      <c r="A82" s="291" t="s">
        <v>1353</v>
      </c>
      <c r="B82" s="290">
        <f>SUM(B80:B81)</f>
        <v>2852538</v>
      </c>
      <c r="C82" s="290">
        <f>SUM(C80:C81)</f>
        <v>2852538</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90243</v>
      </c>
      <c r="C84" s="286">
        <f>'Sources and Uses Budget'!$C83</f>
        <v>90243</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3860052</v>
      </c>
      <c r="C86" s="286">
        <f>'Sources and Uses Budget'!$C85</f>
        <v>3860052</v>
      </c>
      <c r="D86" s="290">
        <f t="shared" si="1"/>
        <v>0</v>
      </c>
      <c r="E86" s="288"/>
      <c r="F86" s="287"/>
      <c r="G86" s="384"/>
    </row>
    <row r="87" spans="1:7" s="381" customFormat="1">
      <c r="A87" s="289" t="s">
        <v>794</v>
      </c>
      <c r="B87" s="286">
        <f>'Sources and Uses Budget'!$C86</f>
        <v>594268</v>
      </c>
      <c r="C87" s="286">
        <f>'Sources and Uses Budget'!$C86</f>
        <v>594268</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147500</v>
      </c>
      <c r="C89" s="286">
        <f>'Sources and Uses Budget'!$C88</f>
        <v>147500</v>
      </c>
      <c r="D89" s="290">
        <f t="shared" si="1"/>
        <v>0</v>
      </c>
      <c r="E89" s="288"/>
      <c r="F89" s="287"/>
      <c r="G89" s="384"/>
    </row>
    <row r="90" spans="1:7" s="381" customFormat="1">
      <c r="A90" s="289" t="s">
        <v>797</v>
      </c>
      <c r="B90" s="286">
        <f>'Sources and Uses Budget'!$C89</f>
        <v>230750</v>
      </c>
      <c r="C90" s="286">
        <f>'Sources and Uses Budget'!$C89</f>
        <v>230750</v>
      </c>
      <c r="D90" s="290">
        <f t="shared" si="1"/>
        <v>0</v>
      </c>
      <c r="E90" s="288"/>
      <c r="F90" s="287"/>
      <c r="G90" s="384"/>
    </row>
    <row r="91" spans="1:7" s="381" customFormat="1">
      <c r="A91" s="289" t="s">
        <v>798</v>
      </c>
      <c r="B91" s="286">
        <f>'Sources and Uses Budget'!$C90</f>
        <v>31500</v>
      </c>
      <c r="C91" s="286">
        <f>'Sources and Uses Budget'!$C90</f>
        <v>31500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254828</v>
      </c>
      <c r="C94" s="286">
        <f>'Sources and Uses Budget'!$C93</f>
        <v>254828</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5244141</v>
      </c>
      <c r="C97" s="290">
        <f>SUM(C84:C96)</f>
        <v>5244141</v>
      </c>
      <c r="D97" s="290">
        <f t="shared" si="1"/>
        <v>0</v>
      </c>
      <c r="E97" s="288"/>
      <c r="F97" s="287"/>
      <c r="G97" s="384"/>
    </row>
    <row r="98" spans="1:7" s="381" customFormat="1">
      <c r="A98" s="291" t="s">
        <v>800</v>
      </c>
      <c r="B98" s="290">
        <f>SUM(B64+B71+B78+B82+B97)</f>
        <v>51922665</v>
      </c>
      <c r="C98" s="290">
        <f>SUM(C64+C71+C78+C82+C97)</f>
        <v>51922665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7174887</v>
      </c>
      <c r="C100" s="286">
        <f>'Sources and Uses Budget'!$C99</f>
        <v>7174887</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7174887</v>
      </c>
      <c r="C105" s="290">
        <f>SUM(C100:C104)</f>
        <v>7174887</v>
      </c>
      <c r="D105" s="290">
        <f t="shared" si="1"/>
        <v>0</v>
      </c>
      <c r="E105" s="288"/>
      <c r="F105" s="287"/>
      <c r="G105" s="384"/>
    </row>
    <row r="106" spans="1:7" s="381" customFormat="1">
      <c r="A106" s="291" t="s">
        <v>805</v>
      </c>
      <c r="B106" s="293">
        <f>SUM(B98+B105)</f>
        <v>59097552</v>
      </c>
      <c r="C106" s="293">
        <f>SUM(C98+C105)</f>
        <v>59097552</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1106</v>
      </c>
      <c r="B2" s="1297"/>
      <c r="C2" s="1271"/>
      <c r="D2" s="1271"/>
      <c r="E2" s="1271"/>
      <c r="F2" s="1271"/>
      <c r="G2" s="1271"/>
    </row>
    <row r="3" spans="1:9" s="173" customFormat="1">
      <c r="A3" s="1297" t="s">
        <v>1043</v>
      </c>
      <c r="B3" s="1297"/>
      <c r="C3" s="1271"/>
      <c r="D3" s="1271"/>
      <c r="E3" s="1271"/>
      <c r="F3" s="1271"/>
      <c r="G3" s="1271"/>
      <c r="I3" t="s">
        <v>309</v>
      </c>
    </row>
    <row r="4" spans="1:9">
      <c r="I4" s="3" t="s">
        <v>1107</v>
      </c>
    </row>
    <row r="5" spans="1:9">
      <c r="A5" s="1299" t="s">
        <v>1044</v>
      </c>
      <c r="B5" s="1299"/>
      <c r="C5" s="1271"/>
      <c r="D5" s="1271"/>
      <c r="E5" s="1271"/>
      <c r="F5" s="1271"/>
      <c r="G5" s="1271"/>
      <c r="I5" s="3" t="s">
        <v>1108</v>
      </c>
    </row>
    <row r="6" spans="1:9">
      <c r="A6" s="1299" t="s">
        <v>846</v>
      </c>
      <c r="B6" s="1299"/>
      <c r="C6" s="1271"/>
      <c r="D6" s="1271"/>
      <c r="E6" s="1271"/>
      <c r="F6" s="1271"/>
      <c r="G6" s="1271"/>
      <c r="I6" t="s">
        <v>601</v>
      </c>
    </row>
    <row r="7" spans="1:9" ht="11.85" customHeight="1"/>
    <row r="8" spans="1:9">
      <c r="A8" s="1297" t="s">
        <v>1203</v>
      </c>
      <c r="B8" s="1297"/>
      <c r="C8" s="1298"/>
      <c r="D8" s="1298"/>
      <c r="E8" s="1298"/>
      <c r="F8" s="1298"/>
      <c r="G8" s="1298"/>
    </row>
    <row r="9" spans="1:9">
      <c r="A9" s="1297" t="s">
        <v>1204</v>
      </c>
      <c r="B9" s="1297"/>
      <c r="C9" s="1298"/>
      <c r="D9" s="1298"/>
      <c r="E9" s="1298"/>
      <c r="F9" s="1298"/>
      <c r="G9" s="1298"/>
    </row>
    <row r="10" spans="1:9">
      <c r="A10" s="174"/>
      <c r="B10" s="174"/>
      <c r="C10" s="172"/>
      <c r="D10" s="172"/>
      <c r="E10" s="172"/>
      <c r="F10" s="172"/>
    </row>
    <row r="11" spans="1:9">
      <c r="A11" s="1278" t="s">
        <v>1206</v>
      </c>
      <c r="B11" s="1278"/>
      <c r="C11" s="1278"/>
      <c r="D11" s="1278"/>
      <c r="E11" s="1278"/>
      <c r="F11" s="1278"/>
      <c r="G11" s="1278"/>
    </row>
    <row r="12" spans="1:9">
      <c r="A12" s="172"/>
      <c r="B12" s="172"/>
      <c r="E12" s="2"/>
    </row>
    <row r="13" spans="1:9" ht="13.15" customHeight="1">
      <c r="C13" s="172"/>
      <c r="D13" s="1311" t="s">
        <v>1205</v>
      </c>
      <c r="E13" s="1311"/>
      <c r="F13" s="1311"/>
    </row>
    <row r="14" spans="1:9">
      <c r="C14" s="172"/>
      <c r="D14" s="1311"/>
      <c r="E14" s="1311"/>
      <c r="F14" s="1311"/>
    </row>
    <row r="15" spans="1:9">
      <c r="A15" s="175"/>
      <c r="B15" s="175"/>
      <c r="C15" s="175"/>
      <c r="D15" s="1274" t="s">
        <v>1188</v>
      </c>
      <c r="E15" s="1274"/>
      <c r="F15" s="1274"/>
    </row>
    <row r="16" spans="1:9">
      <c r="A16" s="175"/>
      <c r="B16" s="175"/>
      <c r="C16" s="175"/>
      <c r="D16" s="218"/>
    </row>
    <row r="17" spans="1:6" ht="14.25">
      <c r="A17" s="176"/>
      <c r="B17" s="469" t="s">
        <v>309</v>
      </c>
      <c r="C17" s="175"/>
      <c r="D17" s="1263" t="s">
        <v>1189</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309</v>
      </c>
      <c r="D21" s="1306" t="s">
        <v>1190</v>
      </c>
      <c r="E21" s="1306"/>
      <c r="F21" s="1306"/>
    </row>
    <row r="22" spans="1:6" ht="14.25">
      <c r="A22" s="176"/>
      <c r="B22" s="176"/>
      <c r="D22" s="35"/>
    </row>
    <row r="23" spans="1:6" ht="14.25">
      <c r="A23" s="176"/>
      <c r="B23" s="469" t="s">
        <v>309</v>
      </c>
      <c r="D23" s="1263" t="s">
        <v>1191</v>
      </c>
      <c r="E23" s="1263"/>
      <c r="F23" s="1263"/>
    </row>
    <row r="24" spans="1:6" ht="14.25">
      <c r="A24" s="176"/>
      <c r="B24" s="176"/>
      <c r="D24" s="1263"/>
      <c r="E24" s="1263"/>
      <c r="F24" s="1263"/>
    </row>
    <row r="25" spans="1:6"/>
    <row r="26" spans="1:6" ht="14.25">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ht="14.25">
      <c r="A34" s="176"/>
      <c r="B34" s="176"/>
      <c r="D34" s="220"/>
    </row>
    <row r="35" spans="1:6" ht="14.45" customHeight="1">
      <c r="A35" s="176"/>
      <c r="B35" s="469" t="s">
        <v>309</v>
      </c>
      <c r="D35" s="1263" t="s">
        <v>1194</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309</v>
      </c>
      <c r="D39" s="1263" t="s">
        <v>1195</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309</v>
      </c>
      <c r="D45" s="1263" t="s">
        <v>1196</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309</v>
      </c>
      <c r="D50" s="1263" t="s">
        <v>1197</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309</v>
      </c>
      <c r="C54" s="386"/>
      <c r="D54" s="1263" t="s">
        <v>1198</v>
      </c>
      <c r="E54" s="1263"/>
      <c r="F54" s="1263"/>
      <c r="G54" s="3"/>
    </row>
    <row r="55" spans="1:7" ht="14.25">
      <c r="A55" s="176"/>
      <c r="B55" s="176"/>
      <c r="C55" s="386"/>
      <c r="D55" s="1263"/>
      <c r="E55" s="1263"/>
      <c r="F55" s="1263"/>
      <c r="G55" s="3"/>
    </row>
    <row r="56" spans="1:7">
      <c r="D56" s="220"/>
    </row>
    <row r="57" spans="1:7" ht="14.25">
      <c r="A57" s="176"/>
      <c r="B57" s="469" t="s">
        <v>309</v>
      </c>
      <c r="D57" s="1263" t="s">
        <v>1199</v>
      </c>
      <c r="E57" s="1263"/>
      <c r="F57" s="1263"/>
    </row>
    <row r="58" spans="1:7">
      <c r="D58" s="1263"/>
      <c r="E58" s="1263"/>
      <c r="F58" s="1263"/>
    </row>
    <row r="59" spans="1:7">
      <c r="D59" s="1263"/>
      <c r="E59" s="1263"/>
      <c r="F59" s="1263"/>
    </row>
    <row r="60" spans="1:7">
      <c r="D60" s="3"/>
    </row>
    <row r="61" spans="1:7" ht="14.25">
      <c r="A61" s="176"/>
      <c r="B61" s="469" t="s">
        <v>309</v>
      </c>
      <c r="D61" s="1263" t="s">
        <v>1200</v>
      </c>
      <c r="E61" s="1263"/>
      <c r="F61" s="1263"/>
    </row>
    <row r="62" spans="1:7">
      <c r="D62" s="1263"/>
      <c r="E62" s="1263"/>
      <c r="F62" s="1263"/>
    </row>
    <row r="63" spans="1:7"/>
    <row r="64" spans="1:7" ht="14.25">
      <c r="A64" s="176"/>
      <c r="B64" s="469" t="s">
        <v>309</v>
      </c>
      <c r="D64" s="1263" t="s">
        <v>1201</v>
      </c>
      <c r="E64" s="1263"/>
      <c r="F64" s="1263"/>
    </row>
    <row r="65" spans="1:7">
      <c r="D65" s="1263"/>
      <c r="E65" s="1263"/>
      <c r="F65" s="1263"/>
    </row>
    <row r="66" spans="1:7">
      <c r="D66" s="1263"/>
      <c r="E66" s="1263"/>
      <c r="F66" s="1263"/>
    </row>
    <row r="67" spans="1:7">
      <c r="D67"/>
    </row>
    <row r="68" spans="1:7" ht="14.25">
      <c r="A68" s="176"/>
      <c r="B68" s="469" t="s">
        <v>309</v>
      </c>
      <c r="D68" s="1263" t="s">
        <v>1202</v>
      </c>
      <c r="E68" s="1263"/>
      <c r="F68" s="1263"/>
    </row>
    <row r="69" spans="1:7">
      <c r="D69" s="1263"/>
      <c r="E69" s="1263"/>
      <c r="F69" s="1263"/>
    </row>
    <row r="70" spans="1:7" ht="14.25">
      <c r="A70" s="176"/>
      <c r="B70" s="176"/>
      <c r="D70" s="35"/>
    </row>
    <row r="71" spans="1:7">
      <c r="A71" s="1278" t="s">
        <v>1109</v>
      </c>
      <c r="B71" s="1278"/>
      <c r="C71" s="1278"/>
      <c r="D71" s="1278"/>
      <c r="E71" s="1278"/>
      <c r="F71" s="1278"/>
      <c r="G71" s="1278"/>
    </row>
    <row r="72" spans="1:7"/>
    <row r="73" spans="1:7">
      <c r="C73" s="177"/>
      <c r="D73" s="1296" t="s">
        <v>1207</v>
      </c>
      <c r="E73" s="1296"/>
      <c r="F73" s="1296"/>
    </row>
    <row r="74" spans="1:7">
      <c r="A74" s="35"/>
      <c r="B74" s="35"/>
      <c r="D74" s="1263" t="s">
        <v>1234</v>
      </c>
      <c r="E74" s="1263"/>
      <c r="F74" s="1263"/>
    </row>
    <row r="75" spans="1:7">
      <c r="A75" s="35"/>
      <c r="B75" s="35"/>
    </row>
    <row r="76" spans="1:7" ht="14.25">
      <c r="A76" s="176"/>
      <c r="B76" s="469" t="s">
        <v>309</v>
      </c>
      <c r="D76" s="1263" t="s">
        <v>1208</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309</v>
      </c>
      <c r="D83" s="1272" t="s">
        <v>1307</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9" t="s">
        <v>309</v>
      </c>
      <c r="D97" s="1263" t="s">
        <v>1209</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309</v>
      </c>
      <c r="C106" s="179"/>
      <c r="D106" s="1300" t="s">
        <v>1210</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25">
      <c r="A114" s="176"/>
      <c r="B114" s="469" t="s">
        <v>309</v>
      </c>
      <c r="C114"/>
      <c r="D114" s="1301" t="s">
        <v>1211</v>
      </c>
      <c r="E114" s="1301"/>
      <c r="F114" s="1301"/>
      <c r="G114"/>
    </row>
    <row r="115" spans="1:7" ht="14.25">
      <c r="A115" s="176"/>
      <c r="B115" s="176"/>
      <c r="C115"/>
      <c r="D115" s="1301"/>
      <c r="E115" s="1301"/>
      <c r="F115" s="1301"/>
      <c r="G115"/>
    </row>
    <row r="116" spans="1:7"/>
    <row r="117" spans="1:7" ht="14.25">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309</v>
      </c>
      <c r="D123" s="1263" t="s">
        <v>1213</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1321</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72" t="s">
        <v>1214</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309</v>
      </c>
      <c r="C159" s="218"/>
      <c r="D159" s="1272" t="s">
        <v>1215</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309</v>
      </c>
      <c r="D164" s="1277" t="s">
        <v>1216</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1110</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c r="A172" s="1278" t="s">
        <v>1111</v>
      </c>
      <c r="B172" s="1278"/>
      <c r="C172" s="1278"/>
      <c r="D172" s="1278"/>
      <c r="E172" s="1278"/>
      <c r="F172" s="1278"/>
      <c r="G172" s="1278"/>
    </row>
    <row r="173" spans="1:7" ht="12" customHeight="1">
      <c r="A173" s="2"/>
      <c r="B173" s="2"/>
      <c r="E173" s="2"/>
    </row>
    <row r="174" spans="1:7" ht="13.15" customHeight="1">
      <c r="A174" s="2"/>
      <c r="B174" s="2"/>
      <c r="D174" s="1292" t="s">
        <v>1219</v>
      </c>
      <c r="E174" s="1292"/>
      <c r="F174" s="1292"/>
    </row>
    <row r="175" spans="1:7">
      <c r="A175" s="2"/>
      <c r="B175" s="2"/>
      <c r="D175" s="1292"/>
      <c r="E175" s="1292"/>
      <c r="F175" s="1292"/>
    </row>
    <row r="176" spans="1:7">
      <c r="A176" s="2"/>
      <c r="B176" s="2"/>
      <c r="D176" s="1293" t="s">
        <v>1220</v>
      </c>
      <c r="E176" s="1293"/>
      <c r="F176" s="1293"/>
    </row>
    <row r="177" spans="1:7" ht="12" customHeight="1">
      <c r="A177" s="2"/>
      <c r="B177" s="2"/>
      <c r="E177" s="2"/>
    </row>
    <row r="178" spans="1:7" ht="14.25">
      <c r="A178" s="176"/>
      <c r="B178" s="469" t="s">
        <v>309</v>
      </c>
      <c r="D178" s="1290" t="s">
        <v>1218</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1127</v>
      </c>
      <c r="E183" s="1294"/>
      <c r="F183" s="1294"/>
    </row>
    <row r="184" spans="1:7">
      <c r="D184" s="1294"/>
      <c r="E184" s="1294"/>
      <c r="F184" s="1294"/>
    </row>
    <row r="185" spans="1:7">
      <c r="D185" s="476"/>
      <c r="E185" s="476"/>
      <c r="F185" s="476"/>
    </row>
    <row r="186" spans="1:7" ht="14.25">
      <c r="A186" s="176"/>
      <c r="B186" s="469" t="s">
        <v>309</v>
      </c>
      <c r="C186" s="386"/>
      <c r="D186" s="1263" t="s">
        <v>1217</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78" t="s">
        <v>1112</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1241</v>
      </c>
      <c r="E194" s="1282"/>
      <c r="F194" s="1282"/>
    </row>
    <row r="195" spans="1:6" ht="12" customHeight="1">
      <c r="A195" s="13"/>
      <c r="B195" s="13"/>
      <c r="C195" s="13"/>
    </row>
    <row r="196" spans="1:6" ht="13.15" customHeight="1">
      <c r="A196" s="13"/>
      <c r="C196" s="13"/>
      <c r="D196" s="1279" t="s">
        <v>556</v>
      </c>
      <c r="E196" s="1279"/>
      <c r="F196" s="1279"/>
    </row>
    <row r="197" spans="1:6" ht="14.25">
      <c r="A197" s="176"/>
      <c r="B197" s="469" t="s">
        <v>309</v>
      </c>
      <c r="D197" s="1263" t="s">
        <v>1235</v>
      </c>
      <c r="E197" s="1263"/>
      <c r="F197" s="1263"/>
    </row>
    <row r="198" spans="1:6" ht="14.25">
      <c r="A198" s="176"/>
      <c r="B198" s="176"/>
      <c r="D198" s="1263"/>
      <c r="E198" s="1263"/>
      <c r="F198" s="1263"/>
    </row>
    <row r="199" spans="1:6"/>
    <row r="200" spans="1:6" ht="14.25">
      <c r="A200" s="176"/>
      <c r="B200" s="469" t="s">
        <v>309</v>
      </c>
      <c r="D200" s="1263" t="s">
        <v>1236</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1237</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309</v>
      </c>
      <c r="D210" s="1263" t="s">
        <v>1238</v>
      </c>
      <c r="E210" s="1263"/>
      <c r="F210" s="1263"/>
    </row>
    <row r="211" spans="1:7" ht="14.25">
      <c r="A211" s="176"/>
      <c r="B211" s="176"/>
      <c r="D211" s="1263"/>
      <c r="E211" s="1263"/>
      <c r="F211" s="1263"/>
    </row>
    <row r="212" spans="1:7" ht="14.25">
      <c r="A212" s="176"/>
      <c r="B212" s="176"/>
      <c r="D212" s="1295" t="s">
        <v>928</v>
      </c>
      <c r="E212" s="1295"/>
      <c r="F212" s="1295"/>
    </row>
    <row r="213" spans="1:7" ht="14.25">
      <c r="A213" s="176"/>
      <c r="B213" s="176"/>
      <c r="D213" s="35"/>
      <c r="E213" s="35"/>
      <c r="F213" s="35"/>
    </row>
    <row r="214" spans="1:7" ht="14.45" customHeight="1">
      <c r="A214" s="176"/>
      <c r="B214" s="469" t="s">
        <v>309</v>
      </c>
      <c r="D214" s="1263" t="s">
        <v>1240</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309</v>
      </c>
      <c r="D220" s="1263" t="s">
        <v>1239</v>
      </c>
      <c r="E220" s="1263"/>
      <c r="F220" s="1263"/>
    </row>
    <row r="221" spans="1:7" ht="14.25">
      <c r="A221" s="176"/>
      <c r="B221" s="176"/>
      <c r="D221" s="1263"/>
      <c r="E221" s="1263"/>
      <c r="F221" s="1263"/>
    </row>
    <row r="222" spans="1:7">
      <c r="D222" s="19"/>
    </row>
    <row r="223" spans="1:7">
      <c r="A223" s="1278" t="s">
        <v>1113</v>
      </c>
      <c r="B223" s="1278"/>
      <c r="C223" s="1278"/>
      <c r="D223" s="1278"/>
      <c r="E223" s="1278"/>
      <c r="F223" s="1278"/>
      <c r="G223" s="1278"/>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281" t="s">
        <v>1243</v>
      </c>
      <c r="E228" s="1281"/>
      <c r="F228" s="1281"/>
    </row>
    <row r="229" spans="1:6" ht="14.25">
      <c r="A229" s="176"/>
      <c r="B229" s="176"/>
      <c r="D229" s="1281"/>
      <c r="E229" s="1281"/>
      <c r="F229" s="1281"/>
    </row>
    <row r="230" spans="1:6">
      <c r="D230" s="35"/>
      <c r="E230" s="35"/>
      <c r="F230" s="35"/>
    </row>
    <row r="231" spans="1:6" ht="14.45" customHeight="1">
      <c r="A231" s="176"/>
      <c r="B231" s="469" t="s">
        <v>309</v>
      </c>
      <c r="D231" s="1263" t="s">
        <v>1244</v>
      </c>
      <c r="E231" s="1263"/>
      <c r="F231" s="1263"/>
    </row>
    <row r="232" spans="1:6">
      <c r="D232" s="1263"/>
      <c r="E232" s="1263"/>
      <c r="F232" s="1263"/>
    </row>
    <row r="233" spans="1:6">
      <c r="D233" s="1282" t="s">
        <v>919</v>
      </c>
      <c r="E233" s="1282"/>
      <c r="F233" s="1282"/>
    </row>
    <row r="234" spans="1:6">
      <c r="D234" s="35"/>
      <c r="E234" s="35"/>
      <c r="F234" s="35"/>
    </row>
    <row r="235" spans="1:6" ht="14.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c r="A245" s="1278" t="s">
        <v>1114</v>
      </c>
      <c r="B245" s="1278"/>
      <c r="C245" s="1278"/>
      <c r="D245" s="1278"/>
      <c r="E245" s="1278"/>
      <c r="F245" s="1278"/>
      <c r="G245" s="1278"/>
    </row>
    <row r="246" spans="1:7">
      <c r="D246" s="178"/>
      <c r="E246" s="35"/>
      <c r="F246" s="35"/>
    </row>
    <row r="247" spans="1:7">
      <c r="C247" s="172"/>
      <c r="D247" s="1296" t="s">
        <v>1247</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3" t="s">
        <v>1249</v>
      </c>
      <c r="E253" s="1263"/>
      <c r="F253" s="1263"/>
    </row>
    <row r="254" spans="1:7" ht="14.25">
      <c r="A254" s="176"/>
      <c r="B254" s="176"/>
      <c r="D254" s="1263"/>
      <c r="E254" s="1263"/>
      <c r="F254" s="1263"/>
    </row>
    <row r="255" spans="1:7">
      <c r="D255" s="35"/>
      <c r="E255" s="35"/>
      <c r="F255" s="35"/>
    </row>
    <row r="256" spans="1:7" ht="14.25">
      <c r="A256" s="176"/>
      <c r="B256" s="469" t="s">
        <v>309</v>
      </c>
      <c r="D256" s="1263" t="s">
        <v>1250</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309</v>
      </c>
      <c r="D260" s="1263" t="s">
        <v>1251</v>
      </c>
      <c r="E260" s="1263"/>
      <c r="F260" s="1263"/>
    </row>
    <row r="261" spans="1:7" ht="14.25">
      <c r="A261" s="176"/>
      <c r="B261" s="176"/>
      <c r="D261" s="1263"/>
      <c r="E261" s="1263"/>
      <c r="F261" s="1263"/>
    </row>
    <row r="262" spans="1:7">
      <c r="A262" s="13"/>
      <c r="B262" s="13"/>
      <c r="E262" s="35"/>
      <c r="F262" s="35"/>
    </row>
    <row r="263" spans="1:7">
      <c r="A263" s="1278" t="s">
        <v>1115</v>
      </c>
      <c r="B263" s="1278"/>
      <c r="C263" s="1278"/>
      <c r="D263" s="1278"/>
      <c r="E263" s="1278"/>
      <c r="F263" s="1278"/>
      <c r="G263" s="1278"/>
    </row>
    <row r="264" spans="1:7">
      <c r="A264" s="13"/>
      <c r="B264" s="13"/>
      <c r="D264" s="35"/>
      <c r="E264" s="35"/>
      <c r="F264" s="35"/>
    </row>
    <row r="265" spans="1:7">
      <c r="C265" s="13"/>
      <c r="D265" s="1279" t="s">
        <v>692</v>
      </c>
      <c r="E265" s="1279"/>
      <c r="F265" s="1279"/>
    </row>
    <row r="266" spans="1:7">
      <c r="C266" s="13"/>
      <c r="D266" s="1274" t="s">
        <v>1252</v>
      </c>
      <c r="E266" s="1274"/>
      <c r="F266" s="1274"/>
    </row>
    <row r="267" spans="1:7">
      <c r="C267" s="13"/>
      <c r="D267" s="173"/>
    </row>
    <row r="268" spans="1:7">
      <c r="B268" s="469" t="s">
        <v>309</v>
      </c>
      <c r="D268" s="1274" t="s">
        <v>1253</v>
      </c>
      <c r="E268" s="1274"/>
      <c r="F268" s="1274"/>
    </row>
    <row r="269" spans="1:7" ht="14.25">
      <c r="A269" s="176"/>
      <c r="B269" s="176"/>
      <c r="D269" s="342"/>
      <c r="E269" s="343"/>
      <c r="F269" s="343"/>
    </row>
    <row r="270" spans="1:7" ht="13.15" customHeight="1">
      <c r="B270" s="469" t="s">
        <v>309</v>
      </c>
      <c r="D270" s="1283" t="s">
        <v>1254</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42"/>
      <c r="E275" s="343"/>
      <c r="F275" s="343"/>
    </row>
    <row r="276" spans="1:6" ht="13.15" customHeight="1">
      <c r="B276" s="469" t="s">
        <v>309</v>
      </c>
      <c r="D276" s="1283" t="s">
        <v>1255</v>
      </c>
      <c r="E276" s="1283"/>
      <c r="F276" s="1283"/>
    </row>
    <row r="277" spans="1:6">
      <c r="D277" s="1283"/>
      <c r="E277" s="1283"/>
      <c r="F277" s="1283"/>
    </row>
    <row r="278" spans="1:6" ht="14.25">
      <c r="A278" s="176"/>
      <c r="B278" s="176"/>
      <c r="D278" s="342"/>
      <c r="E278" s="343"/>
      <c r="F278" s="343"/>
    </row>
    <row r="279" spans="1:6">
      <c r="B279" s="469" t="s">
        <v>309</v>
      </c>
      <c r="D279" s="1274" t="s">
        <v>1256</v>
      </c>
      <c r="E279" s="1274"/>
      <c r="F279" s="1274"/>
    </row>
    <row r="280" spans="1:6">
      <c r="E280" s="35"/>
      <c r="F280" s="35"/>
    </row>
    <row r="281" spans="1:6" ht="14.25">
      <c r="A281" s="176"/>
      <c r="B281" s="469" t="s">
        <v>309</v>
      </c>
      <c r="D281" s="1263" t="s">
        <v>1257</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1020</v>
      </c>
      <c r="E314" s="1286"/>
      <c r="F314" s="1286"/>
      <c r="G314"/>
    </row>
    <row r="315" spans="1:7" ht="13.5" thickTop="1">
      <c r="D315" s="1287" t="s">
        <v>1260</v>
      </c>
      <c r="E315" s="1287"/>
      <c r="F315" s="1287"/>
      <c r="G315"/>
    </row>
    <row r="316" spans="1:7">
      <c r="A316" s="218"/>
      <c r="B316" s="218"/>
      <c r="C316" s="218"/>
      <c r="D316" s="220"/>
      <c r="E316" s="220"/>
      <c r="F316" s="35"/>
      <c r="G316"/>
    </row>
    <row r="317" spans="1:7" ht="14.25">
      <c r="A317" s="176"/>
      <c r="B317" s="469" t="s">
        <v>309</v>
      </c>
      <c r="C317" s="218"/>
      <c r="D317" s="1276" t="s">
        <v>1261</v>
      </c>
      <c r="E317" s="1276"/>
      <c r="F317" s="1276"/>
      <c r="G317"/>
    </row>
    <row r="318" spans="1:7">
      <c r="A318" s="218"/>
      <c r="B318" s="218"/>
      <c r="C318" s="218"/>
      <c r="D318" s="220"/>
      <c r="E318" s="220"/>
      <c r="F318" s="35"/>
      <c r="G318"/>
    </row>
    <row r="319" spans="1:7">
      <c r="A319" s="218"/>
      <c r="B319" s="469" t="s">
        <v>309</v>
      </c>
      <c r="C319" s="218"/>
      <c r="D319" s="1272" t="s">
        <v>1262</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9" t="s">
        <v>309</v>
      </c>
      <c r="C331" s="218"/>
      <c r="D331" s="1272" t="s">
        <v>1263</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1264</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15" customHeight="1">
      <c r="A345" s="218"/>
      <c r="B345" s="218"/>
      <c r="C345" s="218"/>
      <c r="D345" s="1272" t="s">
        <v>1265</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1266</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9" t="s">
        <v>309</v>
      </c>
      <c r="C367" s="218"/>
      <c r="D367" s="1272" t="s">
        <v>1267</v>
      </c>
      <c r="E367" s="1272"/>
      <c r="F367" s="1272"/>
      <c r="G367"/>
    </row>
    <row r="368" spans="1:7" ht="14.25">
      <c r="A368" s="347"/>
      <c r="B368" s="347"/>
      <c r="C368" s="218"/>
      <c r="D368" s="1272"/>
      <c r="E368" s="1272"/>
      <c r="F368" s="1272"/>
      <c r="G368"/>
    </row>
    <row r="369" spans="1:7" ht="14.25">
      <c r="A369" s="347"/>
      <c r="B369" s="347"/>
      <c r="C369" s="218"/>
      <c r="D369" s="1272"/>
      <c r="E369" s="1272"/>
      <c r="F369" s="1272"/>
      <c r="G369"/>
    </row>
    <row r="370" spans="1:7" ht="14.25">
      <c r="A370" s="347"/>
      <c r="B370" s="347"/>
      <c r="C370" s="218"/>
      <c r="D370" s="1272"/>
      <c r="E370" s="1272"/>
      <c r="F370" s="1272"/>
      <c r="G370"/>
    </row>
    <row r="371" spans="1:7" ht="14.25">
      <c r="A371" s="347"/>
      <c r="B371" s="347"/>
      <c r="C371" s="218"/>
      <c r="D371" s="1272"/>
      <c r="E371" s="1272"/>
      <c r="F371" s="1272"/>
      <c r="G371"/>
    </row>
    <row r="372" spans="1:7">
      <c r="D372" s="35"/>
      <c r="E372" s="35"/>
      <c r="F372" s="35"/>
      <c r="G372"/>
    </row>
    <row r="373" spans="1:7" ht="14.25">
      <c r="A373" s="176"/>
      <c r="B373" s="469" t="s">
        <v>309</v>
      </c>
      <c r="C373" s="179"/>
      <c r="D373" s="1263" t="s">
        <v>1268</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309</v>
      </c>
      <c r="C405" s="179"/>
      <c r="D405" s="1274" t="s">
        <v>1269</v>
      </c>
      <c r="E405" s="1274"/>
      <c r="F405" s="1274"/>
    </row>
    <row r="406" spans="1:7">
      <c r="D406" s="1284" t="s">
        <v>1040</v>
      </c>
      <c r="E406" s="1284"/>
      <c r="F406" s="1284"/>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309</v>
      </c>
      <c r="C416" s="176"/>
      <c r="D416" s="1263" t="s">
        <v>1272</v>
      </c>
      <c r="E416" s="1263"/>
      <c r="F416" s="1263"/>
      <c r="G416"/>
    </row>
    <row r="417" spans="1:7">
      <c r="D417" s="1263"/>
      <c r="E417" s="1263"/>
      <c r="F417" s="1263"/>
      <c r="G417"/>
    </row>
    <row r="418" spans="1:7">
      <c r="D418" s="35"/>
      <c r="E418" s="35"/>
      <c r="F418" s="35"/>
      <c r="G418"/>
    </row>
    <row r="419" spans="1:7" ht="14.25">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1275</v>
      </c>
      <c r="E440" s="1274"/>
      <c r="F440" s="1274"/>
    </row>
    <row r="441" spans="1:7">
      <c r="A441" s="35"/>
      <c r="B441" s="35"/>
    </row>
    <row r="442" spans="1:7">
      <c r="A442" s="1278" t="s">
        <v>1116</v>
      </c>
      <c r="B442" s="1278"/>
      <c r="C442" s="1278"/>
      <c r="D442" s="1278"/>
      <c r="E442" s="1278"/>
      <c r="F442" s="1278"/>
      <c r="G442" s="1278"/>
    </row>
    <row r="443" spans="1:7">
      <c r="A443" s="35"/>
      <c r="B443" s="35"/>
    </row>
    <row r="444" spans="1:7">
      <c r="D444" s="1275" t="s">
        <v>913</v>
      </c>
      <c r="E444" s="1275"/>
      <c r="F444" s="1275"/>
    </row>
    <row r="445" spans="1:7" ht="14.25">
      <c r="A445" s="176"/>
      <c r="B445" s="176"/>
      <c r="D445" s="1276" t="s">
        <v>1276</v>
      </c>
      <c r="E445" s="1276"/>
      <c r="F445" s="1276"/>
    </row>
    <row r="446" spans="1:7" ht="14.25">
      <c r="A446" s="176"/>
      <c r="B446" s="176"/>
      <c r="D446" s="482"/>
      <c r="E446" s="3"/>
      <c r="F446" s="3"/>
    </row>
    <row r="447" spans="1:7" ht="14.25">
      <c r="A447" s="176"/>
      <c r="B447" s="469" t="s">
        <v>309</v>
      </c>
      <c r="D447" s="1272" t="s">
        <v>1277</v>
      </c>
      <c r="E447" s="1272"/>
      <c r="F447" s="1272"/>
    </row>
    <row r="448" spans="1:7" ht="14.25">
      <c r="A448" s="176"/>
      <c r="B448" s="176"/>
      <c r="D448" s="1272"/>
      <c r="E448" s="1272"/>
      <c r="F448" s="1272"/>
    </row>
    <row r="449" spans="1:7" ht="14.25">
      <c r="A449" s="176"/>
      <c r="B449" s="176"/>
      <c r="D449" s="118"/>
      <c r="E449" s="3"/>
      <c r="F449" s="3"/>
    </row>
    <row r="450" spans="1:7">
      <c r="B450" s="469" t="s">
        <v>309</v>
      </c>
      <c r="D450" s="1277" t="s">
        <v>1278</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9" t="s">
        <v>309</v>
      </c>
      <c r="D455" s="1263" t="s">
        <v>1279</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309</v>
      </c>
      <c r="D459" s="1274" t="s">
        <v>1280</v>
      </c>
      <c r="E459" s="1274"/>
      <c r="F459" s="1274"/>
      <c r="G459"/>
    </row>
    <row r="460" spans="1:7" ht="14.25">
      <c r="A460" s="176"/>
      <c r="B460" s="176"/>
      <c r="D460" s="118"/>
      <c r="E460" s="3"/>
      <c r="F460" s="3"/>
      <c r="G460"/>
    </row>
    <row r="461" spans="1:7" ht="14.25">
      <c r="A461" s="176"/>
      <c r="B461" s="469" t="s">
        <v>309</v>
      </c>
      <c r="D461" s="1263" t="s">
        <v>1281</v>
      </c>
      <c r="E461" s="1263"/>
      <c r="F461" s="1263"/>
      <c r="G461"/>
    </row>
    <row r="462" spans="1:7" ht="14.25">
      <c r="A462" s="176"/>
      <c r="D462" s="1263"/>
      <c r="E462" s="1263"/>
      <c r="F462" s="1263"/>
      <c r="G462"/>
    </row>
    <row r="463" spans="1:7">
      <c r="A463" s="13"/>
      <c r="B463" s="13"/>
      <c r="D463" s="482"/>
      <c r="E463" s="3"/>
      <c r="F463" s="3"/>
      <c r="G463"/>
    </row>
    <row r="464" spans="1:7">
      <c r="A464" s="13"/>
      <c r="B464" s="469" t="s">
        <v>309</v>
      </c>
      <c r="D464" s="1274" t="s">
        <v>1282</v>
      </c>
      <c r="E464" s="1274"/>
      <c r="F464" s="1274"/>
      <c r="G464"/>
    </row>
    <row r="465" spans="1:7" ht="14.25">
      <c r="A465" s="176"/>
      <c r="B465" s="176"/>
      <c r="D465" s="35"/>
    </row>
    <row r="466" spans="1:7">
      <c r="A466" s="1278" t="s">
        <v>1117</v>
      </c>
      <c r="B466" s="1278"/>
      <c r="C466" s="1278"/>
      <c r="D466" s="1278"/>
      <c r="E466" s="1278"/>
      <c r="F466" s="1278"/>
      <c r="G466" s="1278"/>
    </row>
    <row r="467" spans="1:7" ht="12" customHeight="1">
      <c r="A467" s="176"/>
      <c r="B467" s="176"/>
      <c r="D467" s="35"/>
    </row>
    <row r="468" spans="1:7">
      <c r="C468" s="172"/>
      <c r="D468" s="1279" t="s">
        <v>818</v>
      </c>
      <c r="E468" s="1279"/>
      <c r="F468" s="1279"/>
    </row>
    <row r="469" spans="1:7" ht="13.15" customHeight="1">
      <c r="A469" s="175"/>
      <c r="B469" s="175"/>
      <c r="C469" s="175"/>
      <c r="D469" s="1280" t="s">
        <v>1160</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5" customHeight="1">
      <c r="A475" s="176"/>
      <c r="B475" s="469" t="s">
        <v>309</v>
      </c>
      <c r="C475" s="175"/>
      <c r="D475" s="1294" t="s">
        <v>1151</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9" t="s">
        <v>309</v>
      </c>
      <c r="C481" s="175"/>
      <c r="D481" s="1294" t="s">
        <v>1154</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9" t="s">
        <v>309</v>
      </c>
      <c r="C486" s="175"/>
      <c r="D486" s="1294" t="s">
        <v>1152</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5" customHeight="1">
      <c r="A490" s="176"/>
      <c r="B490" s="469" t="s">
        <v>309</v>
      </c>
      <c r="C490" s="175"/>
      <c r="D490" s="1294" t="s">
        <v>1153</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15" customHeight="1">
      <c r="A500" s="175"/>
      <c r="B500" s="469" t="s">
        <v>309</v>
      </c>
      <c r="C500" s="175"/>
      <c r="D500" s="1272" t="s">
        <v>1297</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5" customHeight="1">
      <c r="A506" s="176"/>
      <c r="B506" s="469" t="s">
        <v>309</v>
      </c>
      <c r="D506" s="1294" t="s">
        <v>1155</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1118</v>
      </c>
      <c r="B510" s="1278"/>
      <c r="C510" s="1278"/>
      <c r="D510" s="1278"/>
      <c r="E510" s="1278"/>
      <c r="F510" s="1278"/>
      <c r="G510" s="1278"/>
    </row>
    <row r="511" spans="1:7">
      <c r="A511" s="35"/>
      <c r="B511" s="35"/>
      <c r="C511" s="179"/>
      <c r="F511" s="57"/>
    </row>
    <row r="512" spans="1:7">
      <c r="B512" s="1295" t="s">
        <v>450</v>
      </c>
      <c r="C512" s="1295"/>
      <c r="D512" s="1295"/>
      <c r="E512" s="1295"/>
      <c r="F512" s="1295"/>
    </row>
    <row r="513" spans="1:7">
      <c r="A513" s="35"/>
      <c r="B513" s="35"/>
      <c r="C513" s="179"/>
      <c r="D513" s="35"/>
      <c r="F513" s="35"/>
    </row>
    <row r="514" spans="1:7">
      <c r="A514" s="1309" t="s">
        <v>1119</v>
      </c>
      <c r="B514" s="1309"/>
      <c r="C514" s="1309"/>
      <c r="D514" s="1309"/>
      <c r="E514" s="1309"/>
      <c r="F514" s="1309"/>
      <c r="G514" s="1309"/>
    </row>
    <row r="515" spans="1:7">
      <c r="A515" s="35"/>
      <c r="B515" s="35"/>
      <c r="C515" s="179"/>
      <c r="D515" s="35"/>
      <c r="F515" s="35"/>
    </row>
    <row r="516" spans="1:7">
      <c r="C516" s="179"/>
      <c r="D516" s="1279" t="s">
        <v>693</v>
      </c>
      <c r="E516" s="1279"/>
      <c r="F516" s="1279"/>
    </row>
    <row r="517" spans="1:7">
      <c r="C517" s="179"/>
      <c r="D517" s="1274" t="s">
        <v>1176</v>
      </c>
      <c r="E517" s="1274"/>
      <c r="F517" s="1274"/>
    </row>
    <row r="518" spans="1:7">
      <c r="C518" s="179"/>
      <c r="D518" s="118"/>
      <c r="E518" s="118"/>
      <c r="F518" s="118"/>
    </row>
    <row r="519" spans="1:7" ht="13.15" customHeight="1">
      <c r="A519" s="176"/>
      <c r="B519" s="469" t="s">
        <v>309</v>
      </c>
      <c r="C519" s="179"/>
      <c r="D519" s="1274" t="s">
        <v>914</v>
      </c>
      <c r="E519" s="1274"/>
      <c r="F519" s="1274"/>
      <c r="G519"/>
    </row>
    <row r="520" spans="1:7" ht="13.15" customHeight="1">
      <c r="A520" s="179"/>
      <c r="B520" s="179"/>
      <c r="C520" s="179"/>
      <c r="D520" s="118"/>
      <c r="E520"/>
      <c r="F520"/>
      <c r="G520"/>
    </row>
    <row r="521" spans="1:7" ht="14.25">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309</v>
      </c>
      <c r="C543" s="179"/>
      <c r="D543" s="1274" t="s">
        <v>1183</v>
      </c>
      <c r="E543" s="1274"/>
      <c r="F543" s="1274"/>
    </row>
    <row r="544" spans="1:7">
      <c r="A544" s="13"/>
      <c r="B544" s="13"/>
      <c r="C544" s="179"/>
      <c r="D544" s="1274" t="s">
        <v>847</v>
      </c>
      <c r="E544" s="1274"/>
      <c r="F544" s="1274"/>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74" t="s">
        <v>1185</v>
      </c>
      <c r="E547" s="1274"/>
      <c r="F547" s="1274"/>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309</v>
      </c>
      <c r="C552" s="179"/>
      <c r="D552" s="1263" t="s">
        <v>1187</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1120</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1136</v>
      </c>
      <c r="E560" s="1277"/>
      <c r="F560" s="1277"/>
    </row>
    <row r="561" spans="1:6">
      <c r="A561"/>
      <c r="B561"/>
      <c r="C561" s="175"/>
      <c r="D561" s="255"/>
    </row>
    <row r="562" spans="1:6">
      <c r="A562" s="175"/>
      <c r="B562" s="469" t="s">
        <v>309</v>
      </c>
      <c r="D562" s="1277" t="s">
        <v>920</v>
      </c>
      <c r="E562" s="1277"/>
      <c r="F562" s="1277"/>
    </row>
    <row r="563" spans="1:6">
      <c r="A563" s="13"/>
      <c r="B563" s="13"/>
      <c r="D563" s="218"/>
    </row>
    <row r="564" spans="1:6">
      <c r="A564" s="13"/>
      <c r="B564" s="469" t="s">
        <v>309</v>
      </c>
      <c r="D564" s="1277" t="s">
        <v>1137</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1138</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1139</v>
      </c>
      <c r="E573" s="1277"/>
      <c r="F573" s="1277"/>
    </row>
    <row r="574" spans="1:6">
      <c r="A574" s="13"/>
      <c r="B574" s="13"/>
      <c r="D574" s="1277"/>
      <c r="E574" s="1277"/>
      <c r="F574" s="1277"/>
    </row>
    <row r="575" spans="1:6">
      <c r="A575" s="13"/>
      <c r="B575" s="13"/>
      <c r="D575" s="255"/>
    </row>
    <row r="576" spans="1:6">
      <c r="A576" s="13"/>
      <c r="B576" s="469" t="s">
        <v>309</v>
      </c>
      <c r="D576" s="1277" t="s">
        <v>1140</v>
      </c>
      <c r="E576" s="1277"/>
      <c r="F576" s="1277"/>
    </row>
    <row r="577" spans="1:7">
      <c r="A577" s="13"/>
      <c r="B577" s="13"/>
      <c r="D577" s="1277"/>
      <c r="E577" s="1277"/>
      <c r="F577" s="1277"/>
    </row>
    <row r="578" spans="1:7">
      <c r="A578" s="13"/>
      <c r="B578" s="13"/>
      <c r="D578" s="255"/>
    </row>
    <row r="579" spans="1:7" ht="14.25">
      <c r="A579" s="176"/>
      <c r="B579" s="469" t="s">
        <v>309</v>
      </c>
      <c r="D579" s="1277" t="s">
        <v>915</v>
      </c>
      <c r="E579" s="1277"/>
      <c r="F579" s="1277"/>
    </row>
    <row r="580" spans="1:7" ht="14.25">
      <c r="A580" s="176"/>
      <c r="B580" s="176"/>
      <c r="D580" s="255"/>
    </row>
    <row r="581" spans="1:7" ht="14.25">
      <c r="A581" s="176"/>
      <c r="B581" s="469" t="s">
        <v>309</v>
      </c>
      <c r="D581" s="1277" t="s">
        <v>1141</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1121</v>
      </c>
      <c r="B588" s="1278"/>
      <c r="C588" s="1278"/>
      <c r="D588" s="1278"/>
      <c r="E588" s="1278"/>
      <c r="F588" s="1278"/>
      <c r="G588" s="1278"/>
    </row>
    <row r="589" spans="1:7"/>
    <row r="590" spans="1:7">
      <c r="D590" s="1289" t="s">
        <v>1221</v>
      </c>
      <c r="E590" s="1289"/>
      <c r="F590" s="1289"/>
    </row>
    <row r="591" spans="1:7">
      <c r="D591" s="1312" t="s">
        <v>1222</v>
      </c>
      <c r="E591" s="1312"/>
      <c r="F591" s="1312"/>
    </row>
    <row r="592" spans="1:7">
      <c r="D592" s="479"/>
      <c r="E592" s="434"/>
      <c r="F592" s="434"/>
    </row>
    <row r="593" spans="1:7" ht="14.25">
      <c r="A593" s="176"/>
      <c r="B593" s="469" t="s">
        <v>309</v>
      </c>
      <c r="D593" s="1290" t="s">
        <v>1223</v>
      </c>
      <c r="E593" s="1290"/>
      <c r="F593" s="1290"/>
    </row>
    <row r="594" spans="1:7">
      <c r="D594" s="1290"/>
      <c r="E594" s="1290"/>
      <c r="F594" s="1290"/>
    </row>
    <row r="595" spans="1:7">
      <c r="D595" s="1290"/>
      <c r="E595" s="1290"/>
      <c r="F595" s="1290"/>
    </row>
    <row r="596" spans="1:7"/>
    <row r="597" spans="1:7">
      <c r="A597" s="1278" t="s">
        <v>1122</v>
      </c>
      <c r="B597" s="1278"/>
      <c r="C597" s="1278"/>
      <c r="D597" s="1278"/>
      <c r="E597" s="1278"/>
      <c r="F597" s="1278"/>
      <c r="G597" s="1278"/>
    </row>
    <row r="598" spans="1:7">
      <c r="A598" s="35"/>
      <c r="B598" s="35"/>
    </row>
    <row r="599" spans="1:7">
      <c r="A599" s="172"/>
      <c r="B599" s="172"/>
      <c r="C599" s="172"/>
      <c r="D599" s="1313" t="s">
        <v>1224</v>
      </c>
      <c r="E599" s="1313"/>
      <c r="F599" s="1313"/>
    </row>
    <row r="600" spans="1:7">
      <c r="A600" s="172"/>
      <c r="B600" s="172"/>
      <c r="C600" s="172"/>
      <c r="D600" s="1313"/>
      <c r="E600" s="1313"/>
      <c r="F600" s="1313"/>
    </row>
    <row r="601" spans="1:7">
      <c r="C601" s="175"/>
      <c r="D601" s="1312" t="s">
        <v>1225</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1226</v>
      </c>
      <c r="E605" s="1288"/>
      <c r="F605" s="1288"/>
    </row>
    <row r="606" spans="1:7">
      <c r="D606" s="1288"/>
      <c r="E606" s="1288"/>
      <c r="F606" s="1288"/>
    </row>
    <row r="607" spans="1:7">
      <c r="D607"/>
    </row>
    <row r="608" spans="1:7">
      <c r="B608" s="469" t="s">
        <v>309</v>
      </c>
      <c r="D608" s="1288" t="s">
        <v>1227</v>
      </c>
      <c r="E608" s="1288"/>
      <c r="F608" s="1288"/>
    </row>
    <row r="609" spans="1:7">
      <c r="C609" s="180"/>
      <c r="D609" s="1288"/>
      <c r="E609" s="1288"/>
      <c r="F609" s="1288"/>
    </row>
    <row r="610" spans="1:7">
      <c r="C610" s="180"/>
    </row>
    <row r="611" spans="1:7">
      <c r="B611" s="469" t="s">
        <v>309</v>
      </c>
      <c r="C611" s="180"/>
      <c r="D611" s="1288" t="s">
        <v>1228</v>
      </c>
      <c r="E611" s="1288"/>
      <c r="F611" s="1288"/>
    </row>
    <row r="612" spans="1:7">
      <c r="C612" s="180"/>
      <c r="D612" s="1288"/>
      <c r="E612" s="1288"/>
      <c r="F612" s="1288"/>
    </row>
    <row r="613" spans="1:7">
      <c r="C613" s="180"/>
    </row>
    <row r="614" spans="1:7">
      <c r="A614" s="1278" t="s">
        <v>1123</v>
      </c>
      <c r="B614" s="1278"/>
      <c r="C614" s="1278"/>
      <c r="D614" s="1278"/>
      <c r="E614" s="1278"/>
      <c r="F614" s="1278"/>
      <c r="G614" s="1278"/>
    </row>
    <row r="615" spans="1:7">
      <c r="A615" s="172"/>
      <c r="B615" s="172"/>
      <c r="C615" s="172"/>
    </row>
    <row r="616" spans="1:7">
      <c r="C616" s="13"/>
      <c r="D616" s="1289" t="s">
        <v>1229</v>
      </c>
      <c r="E616" s="1289"/>
      <c r="F616" s="1289"/>
    </row>
    <row r="617" spans="1:7">
      <c r="A617" s="13"/>
      <c r="B617" s="13"/>
      <c r="D617" s="2"/>
    </row>
    <row r="618" spans="1:7" ht="14.25">
      <c r="A618" s="176"/>
      <c r="B618" s="469" t="s">
        <v>309</v>
      </c>
      <c r="D618" s="1290" t="s">
        <v>1230</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25">
      <c r="A625" s="176"/>
      <c r="B625" s="469" t="s">
        <v>309</v>
      </c>
      <c r="D625" s="1290" t="s">
        <v>1231</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9" t="s">
        <v>309</v>
      </c>
      <c r="C628" s="179"/>
      <c r="D628" s="1290" t="s">
        <v>1232</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1233</v>
      </c>
      <c r="E633" s="1291"/>
      <c r="F633" s="1291"/>
    </row>
    <row r="634" spans="1:7">
      <c r="A634" s="179"/>
      <c r="B634" s="179"/>
      <c r="C634" s="179"/>
      <c r="D634" s="481"/>
      <c r="E634" s="481"/>
      <c r="F634" s="481"/>
    </row>
    <row r="635" spans="1:7">
      <c r="A635" s="1278" t="s">
        <v>1124</v>
      </c>
      <c r="B635" s="1278"/>
      <c r="C635" s="1278"/>
      <c r="D635" s="1278"/>
      <c r="E635" s="1278"/>
      <c r="F635" s="1278"/>
      <c r="G635" s="1278"/>
    </row>
    <row r="636" spans="1:7">
      <c r="A636" s="35"/>
      <c r="B636" s="35"/>
      <c r="C636" s="179"/>
      <c r="D636" s="35"/>
      <c r="E636" s="35"/>
      <c r="F636" s="35"/>
    </row>
    <row r="637" spans="1:7">
      <c r="C637" s="172"/>
      <c r="D637" s="1279" t="s">
        <v>1283</v>
      </c>
      <c r="E637" s="1279"/>
      <c r="F637" s="1279"/>
    </row>
    <row r="638" spans="1:7">
      <c r="A638" s="175"/>
      <c r="B638" s="175"/>
      <c r="C638" s="175"/>
      <c r="D638" s="1274" t="s">
        <v>1284</v>
      </c>
      <c r="E638" s="1274"/>
      <c r="F638" s="1274"/>
    </row>
    <row r="639" spans="1:7">
      <c r="A639" s="175"/>
      <c r="B639" s="175"/>
      <c r="C639" s="175"/>
      <c r="D639" s="118"/>
      <c r="E639" s="118"/>
      <c r="F639" s="118"/>
    </row>
    <row r="640" spans="1:7" ht="14.45" customHeight="1">
      <c r="A640" s="176"/>
      <c r="B640" s="469" t="s">
        <v>309</v>
      </c>
      <c r="C640" s="179"/>
      <c r="D640" s="1263" t="s">
        <v>1285</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309</v>
      </c>
      <c r="C646" s="179"/>
      <c r="D646" s="1302" t="s">
        <v>1135</v>
      </c>
      <c r="E646" s="1302"/>
      <c r="F646" s="1302"/>
    </row>
    <row r="647" spans="1:11" ht="14.25">
      <c r="A647" s="176"/>
      <c r="B647" s="176"/>
      <c r="C647" s="179"/>
      <c r="D647" s="1303" t="s">
        <v>1286</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1287</v>
      </c>
      <c r="E652" s="1304"/>
      <c r="F652" s="1304"/>
    </row>
    <row r="653" spans="1:11">
      <c r="A653" s="179"/>
      <c r="B653" s="179"/>
      <c r="C653" s="179"/>
      <c r="D653" s="35"/>
      <c r="E653" s="35"/>
      <c r="F653" s="35"/>
    </row>
    <row r="654" spans="1:11">
      <c r="A654" s="1278" t="s">
        <v>1125</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1161</v>
      </c>
      <c r="E658" s="1274"/>
      <c r="F658" s="1274"/>
      <c r="H658" s="181"/>
      <c r="I658" s="181"/>
      <c r="J658" s="181"/>
      <c r="K658" s="181"/>
    </row>
    <row r="659" spans="1:11">
      <c r="A659" s="175"/>
      <c r="B659" s="175"/>
      <c r="C659" s="175"/>
      <c r="H659" s="181"/>
      <c r="I659" s="181"/>
      <c r="J659" s="181"/>
      <c r="K659" s="181"/>
    </row>
    <row r="660" spans="1:11" ht="14.25">
      <c r="A660" s="176"/>
      <c r="B660" s="469" t="s">
        <v>309</v>
      </c>
      <c r="C660" s="175"/>
      <c r="D660" s="1274" t="s">
        <v>916</v>
      </c>
      <c r="E660" s="1274"/>
      <c r="F660" s="1274"/>
      <c r="H660" s="181"/>
      <c r="I660" s="181"/>
      <c r="J660" s="181"/>
      <c r="K660" s="181"/>
    </row>
    <row r="661" spans="1:11">
      <c r="A661" s="175"/>
      <c r="B661" s="175"/>
      <c r="C661" s="175"/>
      <c r="D661" s="1274" t="s">
        <v>927</v>
      </c>
      <c r="E661" s="1274"/>
      <c r="F661" s="1274"/>
      <c r="H661" s="181"/>
      <c r="I661" s="181"/>
      <c r="J661" s="181"/>
      <c r="K661" s="181"/>
    </row>
    <row r="662" spans="1:11">
      <c r="A662" s="175"/>
      <c r="B662" s="175"/>
      <c r="C662" s="175"/>
      <c r="D662" s="3"/>
      <c r="E662" s="1273" t="s">
        <v>1162</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3" t="s">
        <v>1163</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309</v>
      </c>
      <c r="C669" s="175"/>
      <c r="D669" s="1274" t="s">
        <v>955</v>
      </c>
      <c r="E669" s="1274"/>
      <c r="F669" s="1274"/>
      <c r="H669" s="181"/>
      <c r="I669" s="181"/>
      <c r="J669" s="181"/>
      <c r="K669" s="181"/>
    </row>
    <row r="670" spans="1:11" ht="14.25">
      <c r="A670" s="176"/>
      <c r="B670" s="176"/>
      <c r="C670" s="175"/>
      <c r="D670" s="1274" t="s">
        <v>927</v>
      </c>
      <c r="E670" s="1274"/>
      <c r="F670" s="1274"/>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3" t="s">
        <v>1174</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3" t="s">
        <v>1165</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3" t="s">
        <v>1175</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1172</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1173</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1166</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1167</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309</v>
      </c>
      <c r="C712" s="175"/>
      <c r="D712" s="1263" t="s">
        <v>1168</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309</v>
      </c>
      <c r="C717" s="175"/>
      <c r="D717" s="1263" t="s">
        <v>1301</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1169</v>
      </c>
      <c r="E724" s="1307"/>
      <c r="F724" s="1307"/>
      <c r="H724" s="181"/>
      <c r="I724" s="181"/>
      <c r="J724" s="181"/>
      <c r="K724" s="181"/>
    </row>
    <row r="725" spans="1:11">
      <c r="A725" s="175"/>
      <c r="B725" s="175"/>
      <c r="C725" s="175"/>
      <c r="D725" s="370"/>
      <c r="H725" s="181"/>
      <c r="I725" s="181"/>
      <c r="J725" s="181"/>
      <c r="K725" s="181"/>
    </row>
    <row r="726" spans="1:11">
      <c r="A726" s="1309" t="s">
        <v>1126</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15" customHeight="1">
      <c r="C728" s="175"/>
      <c r="D728" s="1296" t="s">
        <v>1142</v>
      </c>
      <c r="E728" s="1296"/>
      <c r="F728" s="1296"/>
      <c r="G728" s="183"/>
      <c r="H728" s="181"/>
      <c r="I728" s="181"/>
      <c r="J728" s="181"/>
      <c r="K728" s="181"/>
    </row>
    <row r="729" spans="1:11">
      <c r="A729" s="175"/>
      <c r="B729" s="175"/>
      <c r="C729" s="175"/>
      <c r="D729" s="1306" t="s">
        <v>1143</v>
      </c>
      <c r="E729" s="1306"/>
      <c r="F729" s="1306"/>
      <c r="G729" s="183"/>
      <c r="H729" s="181"/>
      <c r="I729" s="181"/>
      <c r="J729" s="181"/>
      <c r="K729" s="181"/>
    </row>
    <row r="730" spans="1:11">
      <c r="A730" s="175"/>
      <c r="B730" s="175"/>
      <c r="C730" s="175"/>
      <c r="G730" s="183"/>
      <c r="H730" s="181"/>
      <c r="I730" s="181"/>
      <c r="J730" s="181"/>
      <c r="K730" s="181"/>
    </row>
    <row r="731" spans="1:11" ht="14.25">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309</v>
      </c>
      <c r="C743" s="273"/>
      <c r="D743" s="1303" t="s">
        <v>1146</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25">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1149</v>
      </c>
      <c r="B754" s="1278"/>
      <c r="C754" s="1278"/>
      <c r="D754" s="1278"/>
      <c r="E754" s="1278"/>
      <c r="F754" s="1278"/>
      <c r="G754" s="1278"/>
    </row>
    <row r="755" spans="1:11">
      <c r="A755" s="175"/>
      <c r="B755" s="175"/>
      <c r="C755" s="175"/>
      <c r="D755" s="184"/>
      <c r="F755" s="35"/>
      <c r="G755" s="183"/>
    </row>
    <row r="756" spans="1:11">
      <c r="D756" s="1310" t="s">
        <v>1133</v>
      </c>
      <c r="E756" s="1310"/>
      <c r="F756" s="1310"/>
      <c r="G756" s="183"/>
    </row>
    <row r="757" spans="1:11">
      <c r="A757" s="346"/>
      <c r="B757" s="346"/>
      <c r="C757" s="346"/>
      <c r="D757" s="1293" t="s">
        <v>1150</v>
      </c>
      <c r="E757" s="1293"/>
      <c r="F757" s="1293"/>
      <c r="G757" s="183"/>
    </row>
    <row r="758" spans="1:11">
      <c r="D758" s="434"/>
      <c r="E758" s="434"/>
      <c r="F758" s="434"/>
      <c r="G758" s="183"/>
    </row>
    <row r="759" spans="1:11" ht="14.25">
      <c r="A759" s="176"/>
      <c r="B759" s="469" t="s">
        <v>309</v>
      </c>
      <c r="D759" s="1293" t="s">
        <v>1027</v>
      </c>
      <c r="E759" s="1293"/>
      <c r="F759" s="1293"/>
      <c r="G759" s="183"/>
    </row>
    <row r="760" spans="1:11">
      <c r="D760" s="434"/>
      <c r="E760" s="1305" t="s">
        <v>1134</v>
      </c>
      <c r="F760" s="1305"/>
      <c r="G760" s="183"/>
    </row>
    <row r="761" spans="1:11">
      <c r="A761" s="172"/>
      <c r="B761" s="172"/>
      <c r="C761" s="172"/>
      <c r="D761" s="35"/>
      <c r="G761" s="183"/>
    </row>
    <row r="762" spans="1:11">
      <c r="A762" s="1308" t="s">
        <v>451</v>
      </c>
      <c r="B762" s="1308"/>
      <c r="C762" s="1308"/>
      <c r="D762" s="1308"/>
      <c r="E762" s="1308"/>
      <c r="F762" s="1308"/>
      <c r="G762" s="1308"/>
    </row>
    <row r="763" spans="1:11">
      <c r="A763" s="172"/>
      <c r="B763" s="172"/>
      <c r="C763" s="179"/>
      <c r="D763" s="183"/>
      <c r="E763" s="183"/>
      <c r="F763" s="183"/>
      <c r="G763" s="183"/>
    </row>
    <row r="764" spans="1:11">
      <c r="A764" s="35"/>
      <c r="B764" s="1306" t="s">
        <v>1026</v>
      </c>
      <c r="C764" s="1306"/>
      <c r="D764" s="1306"/>
      <c r="E764" s="1306"/>
      <c r="F764" s="1306"/>
      <c r="G764" s="183"/>
    </row>
    <row r="765" spans="1:11">
      <c r="A765" s="13"/>
      <c r="B765" s="13"/>
      <c r="G765" s="183"/>
    </row>
    <row r="766" spans="1:11">
      <c r="A766" s="1308" t="s">
        <v>452</v>
      </c>
      <c r="B766" s="1308"/>
      <c r="C766" s="1308"/>
      <c r="D766" s="1308"/>
      <c r="E766" s="1308"/>
      <c r="F766" s="1308"/>
      <c r="G766" s="1308"/>
    </row>
    <row r="767" spans="1:11">
      <c r="A767" s="172"/>
      <c r="B767" s="172"/>
      <c r="C767" s="172"/>
      <c r="D767" s="178"/>
      <c r="G767" s="183"/>
    </row>
    <row r="768" spans="1:11">
      <c r="A768" s="35"/>
      <c r="B768" s="1274" t="s">
        <v>450</v>
      </c>
      <c r="C768" s="1274"/>
      <c r="D768" s="1274"/>
      <c r="E768" s="1274"/>
      <c r="F768" s="1274"/>
      <c r="G768" s="183"/>
    </row>
    <row r="769" spans="1:7" ht="14.25">
      <c r="A769" s="176"/>
      <c r="B769" s="176"/>
      <c r="D769" s="35"/>
      <c r="E769" s="35"/>
      <c r="F769" s="183"/>
      <c r="G769" s="183"/>
    </row>
    <row r="770" spans="1:7">
      <c r="A770" s="1308" t="s">
        <v>453</v>
      </c>
      <c r="B770" s="1308"/>
      <c r="C770" s="1308"/>
      <c r="D770" s="1308"/>
      <c r="E770" s="1308"/>
      <c r="F770" s="1308"/>
      <c r="G770" s="1308"/>
    </row>
    <row r="771" spans="1:7">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c r="A777" s="179"/>
      <c r="B777" s="179"/>
      <c r="C777" s="179"/>
      <c r="D777" s="174"/>
      <c r="F777" s="183"/>
    </row>
    <row r="778" spans="1:7">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c r="A781" s="179"/>
      <c r="B781" s="179"/>
      <c r="C781" s="179"/>
      <c r="D781" s="174"/>
      <c r="F781" s="183"/>
    </row>
    <row r="782" spans="1:7">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c r="A789" s="35"/>
      <c r="B789" s="35"/>
      <c r="D789" s="174"/>
    </row>
    <row r="790" spans="1:7">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2445</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1333</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1334</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2136</v>
      </c>
      <c r="B72" s="1317"/>
      <c r="C72" s="1317"/>
      <c r="D72" s="1317"/>
      <c r="E72" s="1317"/>
      <c r="F72" s="1317"/>
      <c r="G72" s="1317"/>
      <c r="H72" s="1317"/>
      <c r="I72" s="1317"/>
    </row>
    <row r="73" spans="1:9" ht="12.75">
      <c r="A73" s="1269" t="s">
        <v>2443</v>
      </c>
      <c r="B73" s="1269"/>
      <c r="C73" s="1269"/>
      <c r="D73" s="1269"/>
      <c r="E73" s="1269"/>
    </row>
    <row r="74" spans="1:9" ht="12.75">
      <c r="A74" s="1269" t="s">
        <v>2444</v>
      </c>
      <c r="B74" s="1269"/>
      <c r="C74" s="1269"/>
      <c r="D74" s="1269"/>
      <c r="E74" s="1269"/>
    </row>
    <row r="75" spans="1:9" ht="12.75">
      <c r="A75" s="1269" t="s">
        <v>2137</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8" zoomScaleNormal="100" zoomScaleSheetLayoutView="100" workbookViewId="0">
      <selection activeCell="B571" sqref="B57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8" t="s">
        <v>2611</v>
      </c>
      <c r="B2" s="1338"/>
      <c r="C2" s="1338"/>
      <c r="D2" s="1338"/>
      <c r="E2" s="1338"/>
      <c r="F2" s="1338"/>
      <c r="G2" s="1338"/>
      <c r="H2" s="1338"/>
      <c r="I2" s="1338"/>
    </row>
    <row r="3" spans="1:13">
      <c r="A3" s="1334" t="s">
        <v>2003</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1203</v>
      </c>
      <c r="B6" s="1338"/>
      <c r="C6" s="1339"/>
      <c r="D6" s="1339"/>
      <c r="E6" s="1339"/>
      <c r="F6" s="1339"/>
      <c r="G6" s="1339"/>
      <c r="I6" s="525" t="s">
        <v>2146</v>
      </c>
    </row>
    <row r="7" spans="1:13">
      <c r="A7" s="1338" t="s">
        <v>1204</v>
      </c>
      <c r="B7" s="1338"/>
      <c r="C7" s="1339"/>
      <c r="D7" s="1339"/>
      <c r="E7" s="1339"/>
      <c r="F7" s="1339"/>
      <c r="G7" s="1339"/>
      <c r="I7" s="525" t="s">
        <v>2147</v>
      </c>
    </row>
    <row r="8" spans="1:13">
      <c r="A8" s="516"/>
      <c r="B8" s="516"/>
      <c r="C8" s="517"/>
      <c r="D8" s="517"/>
      <c r="E8" s="517"/>
      <c r="F8" s="517"/>
    </row>
    <row r="9" spans="1:13">
      <c r="A9" s="1278" t="s">
        <v>1206</v>
      </c>
      <c r="B9" s="1278"/>
      <c r="C9" s="1278"/>
      <c r="D9" s="1278"/>
      <c r="E9" s="1278"/>
      <c r="F9" s="1278"/>
      <c r="G9" s="1278"/>
      <c r="H9" s="1071"/>
      <c r="I9" s="1072"/>
    </row>
    <row r="10" spans="1:13">
      <c r="A10" s="517"/>
      <c r="B10" s="517"/>
      <c r="E10" s="436"/>
    </row>
    <row r="11" spans="1:13" ht="13.7" customHeight="1">
      <c r="C11" s="517"/>
      <c r="D11" s="1340" t="s">
        <v>1205</v>
      </c>
      <c r="E11" s="1340"/>
      <c r="F11" s="1340"/>
    </row>
    <row r="12" spans="1:13">
      <c r="C12" s="517"/>
      <c r="D12" s="1340"/>
      <c r="E12" s="1340"/>
      <c r="F12" s="1340"/>
    </row>
    <row r="13" spans="1:13">
      <c r="A13" s="518"/>
      <c r="B13" s="518"/>
      <c r="C13" s="518"/>
      <c r="D13" s="1291" t="s">
        <v>1188</v>
      </c>
      <c r="E13" s="1291"/>
      <c r="F13" s="1291"/>
      <c r="M13" s="96"/>
    </row>
    <row r="14" spans="1:13">
      <c r="A14" s="518"/>
      <c r="B14" s="518"/>
      <c r="C14" s="518"/>
      <c r="D14" s="511"/>
      <c r="L14" s="336"/>
    </row>
    <row r="15" spans="1:13" ht="14.25">
      <c r="A15" s="519"/>
      <c r="B15" s="520" t="s">
        <v>2636</v>
      </c>
      <c r="C15" s="518"/>
      <c r="D15" s="1290" t="s">
        <v>2304</v>
      </c>
      <c r="E15" s="1290"/>
      <c r="F15" s="1290"/>
      <c r="I15" s="436" t="s">
        <v>2148</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2302</v>
      </c>
      <c r="F18" s="480"/>
    </row>
    <row r="19" spans="1:9">
      <c r="A19" s="518"/>
      <c r="B19" s="518"/>
      <c r="C19" s="518"/>
    </row>
    <row r="20" spans="1:9" ht="14.25">
      <c r="A20" s="519"/>
      <c r="B20" s="520" t="s">
        <v>2735</v>
      </c>
      <c r="D20" s="1290" t="s">
        <v>2305</v>
      </c>
      <c r="E20" s="1290"/>
      <c r="F20" s="1290"/>
      <c r="I20" s="436" t="s">
        <v>2149</v>
      </c>
    </row>
    <row r="21" spans="1:9" ht="14.25">
      <c r="A21" s="519"/>
      <c r="D21" s="1290"/>
      <c r="E21" s="1290"/>
      <c r="F21" s="1290"/>
    </row>
    <row r="22" spans="1:9" ht="14.25">
      <c r="A22" s="519"/>
      <c r="D22" s="424"/>
      <c r="E22" s="96" t="s">
        <v>2301</v>
      </c>
      <c r="F22" s="424"/>
    </row>
    <row r="23" spans="1:9" ht="14.25">
      <c r="A23" s="519"/>
      <c r="B23" s="519"/>
      <c r="D23" s="481"/>
    </row>
    <row r="24" spans="1:9" ht="14.25">
      <c r="A24" s="519"/>
      <c r="B24" s="520" t="s">
        <v>2636</v>
      </c>
      <c r="D24" s="1290" t="s">
        <v>1191</v>
      </c>
      <c r="E24" s="1290"/>
      <c r="F24" s="1290"/>
      <c r="I24" s="436" t="s">
        <v>2149</v>
      </c>
    </row>
    <row r="25" spans="1:9" ht="14.25">
      <c r="A25" s="519"/>
      <c r="B25" s="519"/>
      <c r="D25" s="1290"/>
      <c r="E25" s="1290"/>
      <c r="F25" s="1290"/>
    </row>
    <row r="26" spans="1:9"/>
    <row r="27" spans="1:9" ht="14.25">
      <c r="A27" s="519"/>
      <c r="B27" s="520" t="s">
        <v>2735</v>
      </c>
      <c r="D27" s="1290" t="s">
        <v>2446</v>
      </c>
      <c r="E27" s="1290"/>
      <c r="F27" s="1290"/>
      <c r="I27" s="436" t="s">
        <v>2152</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2636</v>
      </c>
      <c r="D33" s="1290" t="s">
        <v>2447</v>
      </c>
      <c r="E33" s="1290"/>
      <c r="F33" s="1290"/>
      <c r="I33" s="436" t="s">
        <v>2148</v>
      </c>
    </row>
    <row r="34" spans="1:9">
      <c r="D34" s="1290"/>
      <c r="E34" s="1290"/>
      <c r="F34" s="1290"/>
    </row>
    <row r="35" spans="1:9" ht="14.25">
      <c r="A35" s="519"/>
      <c r="B35" s="519"/>
      <c r="D35" s="482"/>
    </row>
    <row r="36" spans="1:9" ht="14.45" customHeight="1">
      <c r="A36" s="519"/>
      <c r="B36" s="520" t="s">
        <v>2636</v>
      </c>
      <c r="D36" s="1290" t="s">
        <v>1358</v>
      </c>
      <c r="E36" s="1290"/>
      <c r="F36" s="1290"/>
      <c r="I36" s="436" t="s">
        <v>2219</v>
      </c>
    </row>
    <row r="37" spans="1:9" ht="14.25">
      <c r="A37" s="519"/>
      <c r="B37" s="519"/>
      <c r="D37" s="1290"/>
      <c r="E37" s="1290"/>
      <c r="F37" s="1290"/>
    </row>
    <row r="38" spans="1:9" ht="14.25">
      <c r="A38" s="519"/>
      <c r="B38" s="519"/>
      <c r="D38" s="1290"/>
      <c r="E38" s="1290"/>
      <c r="F38" s="1290"/>
    </row>
    <row r="39" spans="1:9" ht="14.25">
      <c r="A39" s="519"/>
      <c r="B39" s="519"/>
      <c r="D39" s="1290"/>
      <c r="E39" s="1290"/>
      <c r="F39" s="1290"/>
    </row>
    <row r="40" spans="1:9" ht="14.25">
      <c r="A40" s="519"/>
      <c r="B40" s="519"/>
    </row>
    <row r="41" spans="1:9" ht="14.25">
      <c r="A41" s="519"/>
      <c r="B41" s="520" t="s">
        <v>2636</v>
      </c>
      <c r="D41" s="1290" t="s">
        <v>1195</v>
      </c>
      <c r="E41" s="1290"/>
      <c r="F41" s="1290"/>
    </row>
    <row r="42" spans="1:9" ht="14.25">
      <c r="A42" s="519"/>
      <c r="B42" s="519"/>
      <c r="D42" s="1290"/>
      <c r="E42" s="1290"/>
      <c r="F42" s="1290"/>
    </row>
    <row r="43" spans="1:9" ht="14.25">
      <c r="A43" s="519"/>
      <c r="B43" s="519"/>
      <c r="D43" s="1290"/>
      <c r="E43" s="1290"/>
      <c r="F43" s="1290"/>
    </row>
    <row r="44" spans="1:9" ht="14.25">
      <c r="A44" s="519"/>
      <c r="B44" s="519"/>
      <c r="D44" s="1290"/>
      <c r="E44" s="1290"/>
      <c r="F44" s="1290"/>
    </row>
    <row r="45" spans="1:9" ht="14.25">
      <c r="A45" s="519"/>
      <c r="B45" s="519"/>
      <c r="D45" s="1290"/>
      <c r="E45" s="1290"/>
      <c r="F45" s="1290"/>
    </row>
    <row r="46" spans="1:9" ht="14.25">
      <c r="A46" s="519"/>
      <c r="B46" s="519"/>
      <c r="D46" s="480"/>
      <c r="E46" s="480"/>
      <c r="F46" s="480"/>
    </row>
    <row r="47" spans="1:9" ht="14.25">
      <c r="A47" s="519"/>
      <c r="B47" s="520" t="s">
        <v>2636</v>
      </c>
      <c r="D47" s="1290" t="s">
        <v>1196</v>
      </c>
      <c r="E47" s="1290"/>
      <c r="F47" s="1290"/>
      <c r="I47" s="436" t="s">
        <v>2219</v>
      </c>
    </row>
    <row r="48" spans="1:9" ht="14.25">
      <c r="A48" s="519"/>
      <c r="B48" s="519"/>
      <c r="D48" s="1290"/>
      <c r="E48" s="1290"/>
      <c r="F48" s="1290"/>
    </row>
    <row r="49" spans="1:9" ht="14.25">
      <c r="A49" s="519"/>
      <c r="B49" s="519"/>
      <c r="D49" s="1290"/>
      <c r="E49" s="1290"/>
      <c r="F49" s="1290"/>
    </row>
    <row r="50" spans="1:9" ht="23.25" customHeight="1">
      <c r="A50" s="519"/>
      <c r="B50" s="519"/>
      <c r="D50" s="1290"/>
      <c r="E50" s="1290"/>
      <c r="F50" s="1290"/>
    </row>
    <row r="51" spans="1:9" ht="14.25">
      <c r="A51" s="519"/>
      <c r="B51" s="519"/>
      <c r="D51" s="481"/>
    </row>
    <row r="52" spans="1:9" ht="14.45" customHeight="1">
      <c r="A52" s="519"/>
      <c r="B52" s="520" t="s">
        <v>2636</v>
      </c>
      <c r="D52" s="1290" t="s">
        <v>1197</v>
      </c>
      <c r="E52" s="1290"/>
      <c r="F52" s="1290"/>
      <c r="I52" s="436" t="s">
        <v>2219</v>
      </c>
    </row>
    <row r="53" spans="1:9" ht="14.25">
      <c r="A53" s="519"/>
      <c r="B53" s="519"/>
      <c r="D53" s="1290"/>
      <c r="E53" s="1290"/>
      <c r="F53" s="1290"/>
    </row>
    <row r="54" spans="1:9" ht="14.25">
      <c r="A54" s="519"/>
      <c r="B54" s="519"/>
      <c r="D54" s="1290"/>
      <c r="E54" s="1290"/>
      <c r="F54" s="1290"/>
    </row>
    <row r="55" spans="1:9" ht="14.25">
      <c r="A55" s="519"/>
      <c r="B55" s="519"/>
    </row>
    <row r="56" spans="1:9" ht="14.25">
      <c r="A56" s="519"/>
      <c r="B56" s="520" t="s">
        <v>2735</v>
      </c>
      <c r="D56" s="1336" t="s">
        <v>1198</v>
      </c>
      <c r="E56" s="1336"/>
      <c r="F56" s="1336"/>
    </row>
    <row r="57" spans="1:9" ht="14.25">
      <c r="A57" s="519"/>
      <c r="B57" s="519"/>
      <c r="D57" s="1336"/>
      <c r="E57" s="1336"/>
      <c r="F57" s="1336"/>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2636</v>
      </c>
      <c r="D61" s="1290" t="s">
        <v>1199</v>
      </c>
      <c r="E61" s="1290"/>
      <c r="F61" s="1290"/>
      <c r="I61" s="436" t="s">
        <v>2150</v>
      </c>
    </row>
    <row r="62" spans="1:9">
      <c r="D62" s="1290"/>
      <c r="E62" s="1290"/>
      <c r="F62" s="1290"/>
    </row>
    <row r="63" spans="1:9">
      <c r="D63" s="1290"/>
      <c r="E63" s="1290"/>
      <c r="F63" s="1290"/>
    </row>
    <row r="64" spans="1:9"/>
    <row r="65" spans="1:9" ht="14.25">
      <c r="A65" s="519"/>
      <c r="B65" s="520" t="s">
        <v>2636</v>
      </c>
      <c r="D65" s="1290" t="s">
        <v>1200</v>
      </c>
      <c r="E65" s="1290"/>
      <c r="F65" s="1290"/>
      <c r="I65" s="436" t="s">
        <v>2151</v>
      </c>
    </row>
    <row r="66" spans="1:9">
      <c r="D66" s="1290"/>
      <c r="E66" s="1290"/>
      <c r="F66" s="1290"/>
    </row>
    <row r="67" spans="1:9"/>
    <row r="68" spans="1:9" ht="14.25">
      <c r="A68" s="519"/>
      <c r="B68" s="520" t="s">
        <v>2636</v>
      </c>
      <c r="D68" s="1290" t="s">
        <v>1201</v>
      </c>
      <c r="E68" s="1290"/>
      <c r="F68" s="1290"/>
    </row>
    <row r="69" spans="1:9">
      <c r="D69" s="1290"/>
      <c r="E69" s="1290"/>
      <c r="F69" s="1290"/>
      <c r="I69" s="436" t="s">
        <v>2152</v>
      </c>
    </row>
    <row r="70" spans="1:9">
      <c r="D70" s="1290"/>
      <c r="E70" s="1290"/>
      <c r="F70" s="1290"/>
    </row>
    <row r="71" spans="1:9"/>
    <row r="72" spans="1:9" ht="14.25">
      <c r="A72" s="519"/>
      <c r="B72" s="520" t="s">
        <v>2636</v>
      </c>
      <c r="D72" s="1290" t="s">
        <v>1202</v>
      </c>
      <c r="E72" s="1290"/>
      <c r="F72" s="1290"/>
      <c r="I72" s="436" t="s">
        <v>2152</v>
      </c>
    </row>
    <row r="73" spans="1:9">
      <c r="D73" s="1290"/>
      <c r="E73" s="1290"/>
      <c r="F73" s="1290"/>
    </row>
    <row r="74" spans="1:9" ht="14.25">
      <c r="A74" s="519"/>
      <c r="B74" s="519"/>
      <c r="D74" s="481"/>
    </row>
    <row r="75" spans="1:9">
      <c r="A75" s="1278" t="s">
        <v>1109</v>
      </c>
      <c r="B75" s="1278"/>
      <c r="C75" s="1278"/>
      <c r="D75" s="1278"/>
      <c r="E75" s="1278"/>
      <c r="F75" s="1278"/>
      <c r="G75" s="1278"/>
      <c r="H75" s="1071"/>
      <c r="I75" s="1072"/>
    </row>
    <row r="76" spans="1:9"/>
    <row r="77" spans="1:9">
      <c r="C77" s="521"/>
      <c r="D77" s="1292" t="s">
        <v>1207</v>
      </c>
      <c r="E77" s="1292"/>
      <c r="F77" s="1292"/>
    </row>
    <row r="78" spans="1:9">
      <c r="A78" s="481"/>
      <c r="B78" s="481"/>
      <c r="D78" s="1290" t="s">
        <v>1234</v>
      </c>
      <c r="E78" s="1290"/>
      <c r="F78" s="1290"/>
    </row>
    <row r="79" spans="1:9">
      <c r="A79" s="481"/>
      <c r="B79" s="481"/>
    </row>
    <row r="80" spans="1:9" ht="13.7" customHeight="1">
      <c r="A80" s="519"/>
      <c r="B80" s="520" t="s">
        <v>2735</v>
      </c>
      <c r="D80" s="1290" t="s">
        <v>1402</v>
      </c>
      <c r="E80" s="1290"/>
      <c r="F80" s="1290"/>
      <c r="I80" s="436" t="s">
        <v>2153</v>
      </c>
    </row>
    <row r="81" spans="1:9" ht="14.25">
      <c r="A81" s="519"/>
      <c r="B81" s="519"/>
      <c r="D81" s="1290"/>
      <c r="E81" s="1290"/>
      <c r="F81" s="1290"/>
    </row>
    <row r="82" spans="1:9" ht="14.25">
      <c r="A82" s="519"/>
      <c r="B82" s="519"/>
      <c r="D82" s="1290"/>
      <c r="E82" s="1290"/>
      <c r="F82" s="1290"/>
    </row>
    <row r="83" spans="1:9" ht="14.25">
      <c r="A83" s="519"/>
      <c r="B83" s="519"/>
      <c r="D83" s="1290"/>
      <c r="E83" s="1290"/>
      <c r="F83" s="1290"/>
    </row>
    <row r="84" spans="1:9" ht="14.25">
      <c r="A84" s="519"/>
      <c r="B84" s="519"/>
      <c r="D84" s="1290"/>
      <c r="E84" s="1290"/>
      <c r="F84" s="1290"/>
    </row>
    <row r="85" spans="1:9" ht="14.25">
      <c r="A85" s="519"/>
      <c r="B85" s="519"/>
      <c r="D85" s="1290"/>
      <c r="E85" s="1290"/>
      <c r="F85" s="1290"/>
    </row>
    <row r="86" spans="1:9" ht="14.25">
      <c r="A86" s="519"/>
      <c r="B86" s="519"/>
      <c r="D86" s="1290"/>
      <c r="E86" s="1290"/>
      <c r="F86" s="1290"/>
    </row>
    <row r="87" spans="1:9" ht="14.25">
      <c r="A87" s="519"/>
      <c r="B87" s="519"/>
      <c r="D87" s="1290"/>
      <c r="E87" s="1290"/>
      <c r="F87" s="1290"/>
    </row>
    <row r="88" spans="1:9" ht="14.25">
      <c r="A88" s="519"/>
      <c r="B88" s="519"/>
      <c r="D88" s="417"/>
      <c r="E88" s="417"/>
      <c r="F88" s="417"/>
    </row>
    <row r="89" spans="1:9" ht="15" customHeight="1">
      <c r="A89" s="519"/>
      <c r="B89" s="520" t="s">
        <v>2735</v>
      </c>
      <c r="D89" s="1290" t="s">
        <v>2004</v>
      </c>
      <c r="E89" s="1290"/>
      <c r="F89" s="1290"/>
      <c r="I89" s="436" t="s">
        <v>2154</v>
      </c>
    </row>
    <row r="90" spans="1:9" ht="14.25">
      <c r="A90" s="519"/>
      <c r="B90" s="519"/>
      <c r="D90" s="1290"/>
      <c r="E90" s="1290"/>
      <c r="F90" s="1290"/>
    </row>
    <row r="91" spans="1:9" ht="14.25">
      <c r="A91" s="519"/>
      <c r="B91" s="519"/>
      <c r="D91" s="480"/>
      <c r="E91" s="480"/>
      <c r="F91" s="480"/>
    </row>
    <row r="92" spans="1:9" ht="14.25">
      <c r="A92" s="519"/>
      <c r="B92" s="520" t="s">
        <v>2735</v>
      </c>
      <c r="D92" s="1290" t="s">
        <v>2007</v>
      </c>
      <c r="E92" s="1290"/>
      <c r="F92" s="1290"/>
      <c r="I92" s="436" t="s">
        <v>2155</v>
      </c>
    </row>
    <row r="93" spans="1:9" ht="14.25">
      <c r="A93" s="519"/>
      <c r="B93" s="519"/>
      <c r="D93" s="1290"/>
      <c r="E93" s="1290"/>
      <c r="F93" s="1290"/>
    </row>
    <row r="94" spans="1:9" ht="14.25">
      <c r="A94" s="519"/>
      <c r="B94" s="519"/>
      <c r="D94" s="1290"/>
      <c r="E94" s="1290"/>
      <c r="F94" s="1290"/>
    </row>
    <row r="95" spans="1:9" ht="14.25">
      <c r="A95" s="519"/>
      <c r="B95" s="519"/>
      <c r="D95" s="480"/>
      <c r="E95" s="480"/>
      <c r="F95" s="480"/>
    </row>
    <row r="96" spans="1:9" ht="14.25">
      <c r="A96" s="519"/>
      <c r="B96" s="520" t="s">
        <v>2735</v>
      </c>
      <c r="D96" s="1290" t="s">
        <v>2006</v>
      </c>
      <c r="E96" s="1290"/>
      <c r="F96" s="1290"/>
      <c r="I96" s="436" t="s">
        <v>2200</v>
      </c>
    </row>
    <row r="97" spans="1:9" s="1024" customFormat="1" ht="14.25">
      <c r="A97" s="1022"/>
      <c r="B97" s="1022"/>
      <c r="C97" s="1023"/>
      <c r="D97" s="1290"/>
      <c r="E97" s="1290"/>
      <c r="F97" s="1290"/>
      <c r="I97" s="1063"/>
    </row>
    <row r="98" spans="1:9" ht="14.25">
      <c r="A98" s="519"/>
      <c r="B98" s="519"/>
      <c r="D98" s="424"/>
      <c r="E98" s="336" t="s">
        <v>2306</v>
      </c>
      <c r="F98" s="480"/>
    </row>
    <row r="99" spans="1:9" ht="14.25">
      <c r="A99" s="519"/>
      <c r="B99" s="519"/>
      <c r="D99" s="417"/>
      <c r="E99" s="417"/>
      <c r="F99" s="417"/>
    </row>
    <row r="100" spans="1:9" ht="14.25">
      <c r="A100" s="519"/>
      <c r="B100" s="520" t="s">
        <v>2636</v>
      </c>
      <c r="D100" s="1290" t="s">
        <v>2005</v>
      </c>
      <c r="E100" s="1290"/>
      <c r="F100" s="1290"/>
      <c r="I100" s="436" t="s">
        <v>2156</v>
      </c>
    </row>
    <row r="101" spans="1:9" ht="14.25">
      <c r="A101" s="519"/>
      <c r="B101" s="519"/>
      <c r="D101" s="1290"/>
      <c r="E101" s="1290"/>
      <c r="F101" s="1290"/>
    </row>
    <row r="102" spans="1:9" ht="14.25">
      <c r="A102" s="519"/>
      <c r="B102" s="519"/>
      <c r="D102" s="480"/>
      <c r="E102" s="480"/>
      <c r="F102" s="480"/>
    </row>
    <row r="103" spans="1:9" ht="14.45" customHeight="1">
      <c r="A103" s="519"/>
      <c r="B103" s="520" t="s">
        <v>2636</v>
      </c>
      <c r="D103" s="1290" t="s">
        <v>1338</v>
      </c>
      <c r="E103" s="1290"/>
      <c r="F103" s="1290"/>
      <c r="I103" s="436" t="s">
        <v>2157</v>
      </c>
    </row>
    <row r="104" spans="1:9" ht="14.25">
      <c r="A104" s="519"/>
      <c r="B104" s="519"/>
      <c r="D104" s="1290"/>
      <c r="E104" s="1290"/>
      <c r="F104" s="1290"/>
    </row>
    <row r="105" spans="1:9" ht="14.25">
      <c r="A105" s="519"/>
      <c r="B105" s="519"/>
      <c r="D105" s="1290"/>
      <c r="E105" s="1290"/>
      <c r="F105" s="1290"/>
    </row>
    <row r="106" spans="1:9" ht="14.25">
      <c r="A106" s="519"/>
      <c r="B106" s="519"/>
      <c r="D106" s="1290"/>
      <c r="E106" s="1290"/>
      <c r="F106" s="1290"/>
    </row>
    <row r="107" spans="1:9" ht="14.25">
      <c r="A107" s="519"/>
      <c r="B107" s="519"/>
      <c r="D107" s="1290"/>
      <c r="E107" s="1290"/>
      <c r="F107" s="1290"/>
    </row>
    <row r="108" spans="1:9" ht="14.25">
      <c r="A108" s="519"/>
      <c r="B108" s="519"/>
      <c r="D108" s="1290"/>
      <c r="E108" s="1290"/>
      <c r="F108" s="1290"/>
    </row>
    <row r="109" spans="1:9" ht="14.25">
      <c r="A109" s="519"/>
      <c r="B109" s="519"/>
      <c r="D109" s="1290"/>
      <c r="E109" s="1290"/>
      <c r="F109" s="1290"/>
    </row>
    <row r="110" spans="1:9" ht="14.25">
      <c r="A110" s="519"/>
      <c r="B110" s="519"/>
      <c r="D110" s="1290"/>
      <c r="E110" s="1290"/>
      <c r="F110" s="1290"/>
    </row>
    <row r="111" spans="1:9" ht="14.25">
      <c r="A111" s="519"/>
      <c r="B111" s="519"/>
      <c r="D111" s="1290"/>
      <c r="E111" s="1290"/>
      <c r="F111" s="1290"/>
    </row>
    <row r="112" spans="1:9" ht="14.25">
      <c r="A112" s="519"/>
      <c r="B112" s="519"/>
      <c r="D112" s="1290"/>
      <c r="E112" s="1290"/>
      <c r="F112" s="1290"/>
    </row>
    <row r="113" spans="1:9" ht="14.25">
      <c r="A113" s="519"/>
      <c r="B113" s="519"/>
      <c r="D113" s="1290"/>
      <c r="E113" s="1290"/>
      <c r="F113" s="1290"/>
    </row>
    <row r="114" spans="1:9" ht="14.25">
      <c r="A114" s="519"/>
      <c r="B114" s="519"/>
      <c r="D114" s="1290"/>
      <c r="E114" s="1290"/>
      <c r="F114" s="1290"/>
    </row>
    <row r="115" spans="1:9" ht="14.25">
      <c r="A115" s="519"/>
      <c r="B115" s="519"/>
      <c r="D115" s="1290"/>
      <c r="E115" s="1290"/>
      <c r="F115" s="1290"/>
    </row>
    <row r="116" spans="1:9" ht="14.25">
      <c r="A116" s="519"/>
      <c r="B116" s="519"/>
      <c r="D116" s="1290"/>
      <c r="E116" s="1290"/>
      <c r="F116" s="1290"/>
    </row>
    <row r="117" spans="1:9" ht="14.25">
      <c r="A117" s="519"/>
      <c r="B117" s="519"/>
      <c r="D117" s="1290"/>
      <c r="E117" s="1290"/>
      <c r="F117" s="1290"/>
    </row>
    <row r="118" spans="1:9" ht="14.25">
      <c r="A118" s="519"/>
      <c r="B118" s="519"/>
      <c r="D118" s="559"/>
      <c r="E118" s="559"/>
      <c r="F118" s="559"/>
    </row>
    <row r="119" spans="1:9" ht="14.25" customHeight="1">
      <c r="A119" s="519"/>
      <c r="B119" s="520" t="s">
        <v>2636</v>
      </c>
      <c r="D119" s="1301" t="s">
        <v>1209</v>
      </c>
      <c r="E119" s="1301"/>
      <c r="F119" s="1301"/>
    </row>
    <row r="120" spans="1:9" ht="14.25">
      <c r="A120" s="519"/>
      <c r="B120" s="519"/>
      <c r="D120" s="1301"/>
      <c r="E120" s="1301"/>
      <c r="F120" s="1301"/>
    </row>
    <row r="121" spans="1:9" ht="14.25">
      <c r="A121" s="519"/>
      <c r="B121" s="519"/>
      <c r="D121" s="1301"/>
      <c r="E121" s="1301"/>
      <c r="F121" s="1301"/>
    </row>
    <row r="122" spans="1:9" ht="14.25">
      <c r="A122" s="519"/>
      <c r="B122" s="519"/>
      <c r="D122" s="1301"/>
      <c r="E122" s="1301"/>
      <c r="F122" s="1301"/>
    </row>
    <row r="123" spans="1:9" ht="14.25">
      <c r="A123" s="519"/>
      <c r="B123" s="519"/>
      <c r="D123" s="1301"/>
      <c r="E123" s="1301"/>
      <c r="F123" s="1301"/>
    </row>
    <row r="124" spans="1:9" ht="14.25">
      <c r="A124" s="519"/>
      <c r="B124" s="519"/>
      <c r="D124" s="1301"/>
      <c r="E124" s="1301"/>
      <c r="F124" s="1301"/>
    </row>
    <row r="125" spans="1:9" ht="14.25">
      <c r="A125" s="519"/>
      <c r="B125" s="519"/>
      <c r="D125" s="1301"/>
      <c r="E125" s="1301"/>
      <c r="F125" s="1301"/>
    </row>
    <row r="126" spans="1:9" ht="14.25">
      <c r="A126" s="519"/>
      <c r="B126" s="519"/>
      <c r="D126" s="1301"/>
      <c r="E126" s="1301"/>
      <c r="F126" s="1301"/>
    </row>
    <row r="127" spans="1:9">
      <c r="C127" s="434"/>
      <c r="D127" s="560"/>
      <c r="E127" s="560"/>
      <c r="F127" s="560"/>
    </row>
    <row r="128" spans="1:9" ht="14.25">
      <c r="A128" s="519"/>
      <c r="B128" s="520" t="s">
        <v>2735</v>
      </c>
      <c r="C128" s="434"/>
      <c r="D128" s="1301" t="s">
        <v>2448</v>
      </c>
      <c r="E128" s="1301"/>
      <c r="F128" s="1301"/>
      <c r="I128" s="436" t="s">
        <v>2158</v>
      </c>
    </row>
    <row r="129" spans="1:9" ht="14.25">
      <c r="A129" s="519"/>
      <c r="B129" s="519"/>
      <c r="C129" s="434"/>
      <c r="D129" s="1301"/>
      <c r="E129" s="1301"/>
      <c r="F129" s="1301"/>
    </row>
    <row r="130" spans="1:9"/>
    <row r="131" spans="1:9" ht="14.25">
      <c r="A131" s="519"/>
      <c r="B131" s="520" t="s">
        <v>2735</v>
      </c>
      <c r="D131" s="1290" t="s">
        <v>1212</v>
      </c>
      <c r="E131" s="1290"/>
      <c r="F131" s="1290"/>
      <c r="I131" s="436" t="s">
        <v>2158</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9"/>
      <c r="B137" s="520" t="s">
        <v>2735</v>
      </c>
      <c r="D137" s="1290" t="s">
        <v>1213</v>
      </c>
      <c r="E137" s="1290"/>
      <c r="F137" s="1290"/>
      <c r="I137" s="436" t="s">
        <v>2159</v>
      </c>
    </row>
    <row r="138" spans="1:9" s="449" customFormat="1" ht="13.7" customHeight="1">
      <c r="A138" s="523"/>
      <c r="B138" s="523"/>
      <c r="C138" s="523"/>
      <c r="D138" s="1290"/>
      <c r="E138" s="1290"/>
      <c r="F138" s="1290"/>
      <c r="I138" s="1064"/>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2636</v>
      </c>
      <c r="D151" s="1290" t="s">
        <v>1321</v>
      </c>
      <c r="E151" s="1290"/>
      <c r="F151" s="1290"/>
      <c r="I151" s="436" t="s">
        <v>2160</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2472</v>
      </c>
      <c r="E169" s="1335"/>
      <c r="F169" s="1335"/>
      <c r="G169" s="542"/>
    </row>
    <row r="170" spans="1:9" ht="13.7" customHeight="1">
      <c r="D170" s="1276"/>
      <c r="E170" s="1276"/>
      <c r="F170" s="1276"/>
      <c r="G170" s="1276"/>
    </row>
    <row r="171" spans="1:9" ht="14.45" customHeight="1">
      <c r="A171" s="524"/>
      <c r="B171" s="520" t="s">
        <v>2636</v>
      </c>
      <c r="C171" s="511"/>
      <c r="D171" s="1272" t="s">
        <v>1368</v>
      </c>
      <c r="E171" s="1272"/>
      <c r="F171" s="1272"/>
      <c r="G171" s="511"/>
      <c r="I171" s="436" t="s">
        <v>2155</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2735</v>
      </c>
      <c r="C175" s="511"/>
      <c r="D175" s="1272" t="s">
        <v>1215</v>
      </c>
      <c r="E175" s="1272"/>
      <c r="F175" s="1272"/>
      <c r="G175" s="511"/>
      <c r="I175" s="436" t="s">
        <v>2161</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2636</v>
      </c>
      <c r="D180" s="1277" t="s">
        <v>2449</v>
      </c>
      <c r="E180" s="1277"/>
      <c r="F180" s="1277"/>
      <c r="I180" s="436" t="s">
        <v>2162</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2450</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2141</v>
      </c>
      <c r="C187" s="424"/>
      <c r="D187" s="424"/>
      <c r="E187" s="424"/>
      <c r="F187" s="424"/>
    </row>
    <row r="188" spans="1:9" ht="12" customHeight="1">
      <c r="A188" s="517"/>
      <c r="B188" s="517"/>
      <c r="C188" s="517"/>
    </row>
    <row r="189" spans="1:9">
      <c r="A189" s="1278" t="s">
        <v>1111</v>
      </c>
      <c r="B189" s="1278"/>
      <c r="C189" s="1278"/>
      <c r="D189" s="1278"/>
      <c r="E189" s="1278"/>
      <c r="F189" s="1278"/>
      <c r="G189" s="1278"/>
      <c r="H189" s="1071"/>
      <c r="I189" s="1072"/>
    </row>
    <row r="190" spans="1:9" ht="12" customHeight="1">
      <c r="A190" s="436"/>
      <c r="B190" s="436"/>
      <c r="E190" s="436"/>
    </row>
    <row r="191" spans="1:9" ht="13.7" customHeight="1">
      <c r="A191" s="436"/>
      <c r="B191" s="436"/>
      <c r="D191" s="1292" t="s">
        <v>2008</v>
      </c>
      <c r="E191" s="1292"/>
      <c r="F191" s="1292"/>
    </row>
    <row r="192" spans="1:9">
      <c r="A192" s="436"/>
      <c r="B192" s="436"/>
      <c r="D192" s="1292"/>
      <c r="E192" s="1292"/>
      <c r="F192" s="1292"/>
    </row>
    <row r="193" spans="1:9">
      <c r="A193" s="436"/>
      <c r="B193" s="436"/>
      <c r="D193" s="1293" t="s">
        <v>1339</v>
      </c>
      <c r="E193" s="1293"/>
      <c r="F193" s="1293"/>
    </row>
    <row r="194" spans="1:9">
      <c r="A194" s="436"/>
      <c r="B194" s="436"/>
      <c r="D194" s="424"/>
      <c r="E194" s="424"/>
      <c r="F194" s="424"/>
    </row>
    <row r="195" spans="1:9">
      <c r="A195" s="436"/>
      <c r="B195" s="520" t="s">
        <v>2636</v>
      </c>
      <c r="D195" s="1274" t="s">
        <v>2009</v>
      </c>
      <c r="E195" s="1274"/>
      <c r="F195" s="1274"/>
      <c r="I195" s="436" t="s">
        <v>2211</v>
      </c>
    </row>
    <row r="196" spans="1:9">
      <c r="A196" s="436"/>
      <c r="B196" s="436"/>
      <c r="D196" s="1306" t="s">
        <v>2284</v>
      </c>
      <c r="E196" s="1306"/>
      <c r="F196" s="1306"/>
    </row>
    <row r="197" spans="1:9">
      <c r="A197" s="436"/>
      <c r="B197" s="436"/>
      <c r="D197" s="96" t="s">
        <v>2010</v>
      </c>
      <c r="E197" s="1337" t="s">
        <v>2307</v>
      </c>
      <c r="F197" s="1337"/>
    </row>
    <row r="198" spans="1:9">
      <c r="A198" s="436"/>
      <c r="B198" s="436"/>
      <c r="D198" s="3"/>
      <c r="E198" s="3"/>
      <c r="F198" s="3"/>
    </row>
    <row r="199" spans="1:9">
      <c r="A199" s="436"/>
      <c r="B199" s="520" t="s">
        <v>2636</v>
      </c>
      <c r="D199" s="1306" t="s">
        <v>2011</v>
      </c>
      <c r="E199" s="1306"/>
      <c r="F199" s="1306"/>
      <c r="I199" s="436" t="s">
        <v>2212</v>
      </c>
    </row>
    <row r="200" spans="1:9">
      <c r="A200" s="436"/>
      <c r="B200" s="436"/>
      <c r="D200" s="1274" t="s">
        <v>2284</v>
      </c>
      <c r="E200" s="1274"/>
      <c r="F200" s="1274"/>
    </row>
    <row r="201" spans="1:9">
      <c r="A201" s="436"/>
      <c r="B201" s="436"/>
      <c r="D201" s="57" t="s">
        <v>2012</v>
      </c>
      <c r="E201" s="1337" t="s">
        <v>2308</v>
      </c>
      <c r="F201" s="1337"/>
    </row>
    <row r="202" spans="1:9">
      <c r="A202" s="436"/>
      <c r="B202" s="436"/>
      <c r="D202" s="3"/>
      <c r="E202" s="3"/>
      <c r="F202" s="3"/>
    </row>
    <row r="203" spans="1:9">
      <c r="A203" s="436"/>
      <c r="B203" s="520" t="s">
        <v>2636</v>
      </c>
      <c r="D203" s="1306" t="s">
        <v>2013</v>
      </c>
      <c r="E203" s="1306"/>
      <c r="F203" s="1306"/>
      <c r="I203" s="436" t="s">
        <v>2213</v>
      </c>
    </row>
    <row r="204" spans="1:9">
      <c r="A204" s="436"/>
      <c r="B204" s="436"/>
      <c r="D204" s="1274" t="s">
        <v>2284</v>
      </c>
      <c r="E204" s="1274"/>
      <c r="F204" s="1274"/>
    </row>
    <row r="205" spans="1:9">
      <c r="A205" s="436"/>
      <c r="B205" s="436"/>
      <c r="D205" s="57" t="s">
        <v>2010</v>
      </c>
      <c r="E205" s="1337" t="s">
        <v>2309</v>
      </c>
      <c r="F205" s="1337"/>
    </row>
    <row r="206" spans="1:9">
      <c r="A206" s="436"/>
      <c r="B206" s="436"/>
      <c r="D206" s="424"/>
      <c r="E206" s="424"/>
      <c r="F206" s="424"/>
    </row>
    <row r="207" spans="1:9" ht="14.25" customHeight="1">
      <c r="A207" s="519"/>
      <c r="B207" s="520" t="s">
        <v>2636</v>
      </c>
      <c r="D207" s="418" t="s">
        <v>2277</v>
      </c>
      <c r="E207" s="417"/>
      <c r="F207" s="417"/>
      <c r="I207" s="436" t="s">
        <v>2214</v>
      </c>
    </row>
    <row r="208" spans="1:9" ht="14.25">
      <c r="A208" s="519"/>
      <c r="B208" s="519"/>
      <c r="D208" s="1274" t="s">
        <v>2284</v>
      </c>
      <c r="E208" s="1274"/>
      <c r="F208" s="1274"/>
    </row>
    <row r="209" spans="1:9">
      <c r="D209" s="417"/>
      <c r="E209" s="1337" t="s">
        <v>2310</v>
      </c>
      <c r="F209" s="1337"/>
    </row>
    <row r="210" spans="1:9">
      <c r="D210" s="482"/>
    </row>
    <row r="211" spans="1:9">
      <c r="B211" s="520" t="s">
        <v>2636</v>
      </c>
      <c r="D211" s="1306" t="s">
        <v>2014</v>
      </c>
      <c r="E211" s="1306"/>
      <c r="F211" s="1306"/>
      <c r="I211" s="436" t="s">
        <v>2215</v>
      </c>
    </row>
    <row r="212" spans="1:9">
      <c r="D212" s="1274" t="s">
        <v>2284</v>
      </c>
      <c r="E212" s="1274"/>
      <c r="F212" s="1274"/>
    </row>
    <row r="213" spans="1:9">
      <c r="D213" s="57" t="s">
        <v>2010</v>
      </c>
      <c r="E213" s="1337" t="s">
        <v>2311</v>
      </c>
      <c r="F213" s="1337"/>
    </row>
    <row r="214" spans="1:9">
      <c r="D214" s="486"/>
      <c r="E214" s="486"/>
      <c r="F214" s="486"/>
    </row>
    <row r="215" spans="1:9" ht="14.25">
      <c r="A215" s="519"/>
      <c r="B215" s="520" t="s">
        <v>2636</v>
      </c>
      <c r="D215" s="1290" t="s">
        <v>1360</v>
      </c>
      <c r="E215" s="1290"/>
      <c r="F215" s="1290"/>
    </row>
    <row r="216" spans="1:9" ht="14.45" customHeight="1">
      <c r="A216" s="519"/>
      <c r="B216" s="434"/>
      <c r="D216" s="1290"/>
      <c r="E216" s="1290"/>
      <c r="F216" s="1290"/>
    </row>
    <row r="217" spans="1:9" ht="14.25">
      <c r="A217" s="519"/>
      <c r="D217" s="1290"/>
      <c r="E217" s="1290"/>
      <c r="F217" s="1290"/>
    </row>
    <row r="218" spans="1:9" ht="14.25">
      <c r="A218" s="519"/>
      <c r="D218" s="1290"/>
      <c r="E218" s="1290"/>
      <c r="F218" s="1290"/>
    </row>
    <row r="219" spans="1:9">
      <c r="D219" s="486"/>
      <c r="E219" s="486"/>
      <c r="F219" s="486"/>
    </row>
    <row r="220" spans="1:9">
      <c r="A220" s="1278" t="s">
        <v>1112</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1241</v>
      </c>
      <c r="E223" s="1291"/>
      <c r="F223" s="1291"/>
    </row>
    <row r="224" spans="1:9" ht="12" customHeight="1">
      <c r="A224" s="525"/>
      <c r="B224" s="525"/>
      <c r="C224" s="525"/>
    </row>
    <row r="225" spans="1:9" ht="13.7" customHeight="1">
      <c r="A225" s="525"/>
      <c r="C225" s="525"/>
      <c r="D225" s="1289" t="s">
        <v>556</v>
      </c>
      <c r="E225" s="1289"/>
      <c r="F225" s="1289"/>
      <c r="I225" s="436" t="s">
        <v>2163</v>
      </c>
    </row>
    <row r="226" spans="1:9" ht="14.25">
      <c r="A226" s="519"/>
      <c r="B226" s="520" t="s">
        <v>2735</v>
      </c>
      <c r="D226" s="1290" t="s">
        <v>2015</v>
      </c>
      <c r="E226" s="1290"/>
      <c r="F226" s="1290"/>
    </row>
    <row r="227" spans="1:9" ht="14.25" customHeight="1">
      <c r="A227" s="519"/>
      <c r="B227" s="519"/>
      <c r="D227" s="1290"/>
      <c r="E227" s="1290"/>
      <c r="F227" s="1290"/>
    </row>
    <row r="228" spans="1:9" ht="14.25" customHeight="1">
      <c r="A228" s="519"/>
      <c r="B228" s="519"/>
      <c r="D228" s="1290"/>
      <c r="E228" s="1290"/>
      <c r="F228" s="1290"/>
    </row>
    <row r="229" spans="1:9" ht="14.25">
      <c r="A229" s="519"/>
      <c r="B229" s="519"/>
      <c r="D229" s="1290"/>
      <c r="E229" s="1290"/>
      <c r="F229" s="1290"/>
    </row>
    <row r="230" spans="1:9" ht="14.25">
      <c r="A230" s="519"/>
      <c r="B230" s="519"/>
      <c r="D230" s="480"/>
      <c r="E230" s="480"/>
      <c r="F230" s="480"/>
    </row>
    <row r="231" spans="1:9" ht="14.25">
      <c r="A231" s="519"/>
      <c r="B231" s="520" t="s">
        <v>2735</v>
      </c>
      <c r="D231" s="1290" t="s">
        <v>2016</v>
      </c>
      <c r="E231" s="1290"/>
      <c r="F231" s="1290"/>
      <c r="I231" s="436" t="s">
        <v>2164</v>
      </c>
    </row>
    <row r="232" spans="1:9" ht="14.25">
      <c r="A232" s="519"/>
      <c r="B232" s="519"/>
      <c r="D232" s="1290"/>
      <c r="E232" s="1290"/>
      <c r="F232" s="1290"/>
    </row>
    <row r="233" spans="1:9" ht="14.25">
      <c r="A233" s="519"/>
      <c r="B233" s="519"/>
      <c r="D233" s="1290"/>
      <c r="E233" s="1290"/>
      <c r="F233" s="1290"/>
    </row>
    <row r="234" spans="1:9" ht="14.25">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25">
      <c r="A237" s="519"/>
      <c r="B237" s="519"/>
      <c r="D237" s="1290" t="s">
        <v>1237</v>
      </c>
      <c r="E237" s="1290"/>
      <c r="F237" s="1290"/>
      <c r="I237" s="436" t="s">
        <v>2163</v>
      </c>
    </row>
    <row r="238" spans="1:9" ht="14.25">
      <c r="A238" s="519"/>
      <c r="B238" s="519"/>
      <c r="D238" s="1290"/>
      <c r="E238" s="1290"/>
      <c r="F238" s="1290"/>
    </row>
    <row r="239" spans="1:9" ht="14.25">
      <c r="A239" s="519"/>
      <c r="B239" s="519"/>
      <c r="D239" s="1290"/>
      <c r="E239" s="1290"/>
      <c r="F239" s="1290"/>
    </row>
    <row r="240" spans="1:9" ht="14.25">
      <c r="A240" s="519"/>
      <c r="B240" s="519"/>
      <c r="D240" s="1290"/>
      <c r="E240" s="1290"/>
      <c r="F240" s="1290"/>
    </row>
    <row r="241" spans="1:9" ht="14.25">
      <c r="A241" s="519"/>
      <c r="B241" s="519"/>
      <c r="D241" s="1290"/>
      <c r="E241" s="1290"/>
      <c r="F241" s="1290"/>
    </row>
    <row r="242" spans="1:9" ht="14.25">
      <c r="A242" s="519"/>
      <c r="B242" s="519"/>
      <c r="D242" s="481"/>
      <c r="E242" s="481"/>
      <c r="F242" s="481"/>
    </row>
    <row r="243" spans="1:9" ht="14.25">
      <c r="A243" s="519"/>
      <c r="B243" s="520" t="s">
        <v>2636</v>
      </c>
      <c r="D243" s="1290" t="s">
        <v>2451</v>
      </c>
      <c r="E243" s="1290"/>
      <c r="F243" s="1290"/>
      <c r="I243" s="436" t="s">
        <v>2202</v>
      </c>
    </row>
    <row r="244" spans="1:9" ht="14.25">
      <c r="A244" s="519"/>
      <c r="B244" s="519"/>
      <c r="D244" s="1290"/>
      <c r="E244" s="1290"/>
      <c r="F244" s="1290"/>
    </row>
    <row r="245" spans="1:9" ht="14.25">
      <c r="A245" s="519"/>
      <c r="B245" s="519"/>
      <c r="D245" s="1290"/>
      <c r="E245" s="1290"/>
      <c r="F245" s="1290"/>
    </row>
    <row r="246" spans="1:9" ht="14.25">
      <c r="A246" s="519"/>
      <c r="B246" s="519"/>
      <c r="E246" s="1080" t="s">
        <v>2278</v>
      </c>
    </row>
    <row r="247" spans="1:9" ht="14.25">
      <c r="A247" s="519"/>
      <c r="B247" s="519"/>
      <c r="D247" s="481"/>
      <c r="E247" s="481"/>
      <c r="F247" s="481"/>
    </row>
    <row r="248" spans="1:9" ht="14.45" customHeight="1">
      <c r="A248" s="519"/>
      <c r="B248" s="520" t="s">
        <v>2636</v>
      </c>
      <c r="D248" s="1290" t="s">
        <v>2452</v>
      </c>
      <c r="E248" s="1290"/>
      <c r="F248" s="1290"/>
      <c r="I248" s="436" t="s">
        <v>2220</v>
      </c>
    </row>
    <row r="249" spans="1:9" ht="14.25">
      <c r="A249" s="519"/>
      <c r="B249" s="519"/>
      <c r="D249" s="1290"/>
      <c r="E249" s="1290"/>
      <c r="F249" s="1290"/>
    </row>
    <row r="250" spans="1:9" ht="14.25">
      <c r="A250" s="519"/>
      <c r="B250" s="519"/>
      <c r="D250" s="1290"/>
      <c r="E250" s="1290"/>
      <c r="F250" s="1290"/>
    </row>
    <row r="251" spans="1:9" ht="14.25">
      <c r="A251" s="519"/>
      <c r="B251" s="519"/>
      <c r="D251" s="1290"/>
      <c r="E251" s="1290"/>
      <c r="F251" s="1290"/>
    </row>
    <row r="252" spans="1:9" ht="14.25">
      <c r="A252" s="519"/>
      <c r="B252" s="519"/>
      <c r="D252" s="1290"/>
      <c r="E252" s="1290"/>
      <c r="F252" s="1290"/>
    </row>
    <row r="253" spans="1:9" ht="14.25">
      <c r="A253" s="519"/>
      <c r="B253" s="519"/>
      <c r="D253" s="480"/>
      <c r="E253" s="480"/>
      <c r="F253" s="480"/>
    </row>
    <row r="254" spans="1:9" ht="14.25">
      <c r="A254" s="519"/>
      <c r="B254" s="520" t="s">
        <v>2735</v>
      </c>
      <c r="D254" s="424" t="s">
        <v>2453</v>
      </c>
      <c r="E254" s="480"/>
      <c r="F254" s="480"/>
      <c r="I254" s="436" t="s">
        <v>2201</v>
      </c>
    </row>
    <row r="255" spans="1:9" ht="14.25">
      <c r="A255" s="519"/>
      <c r="B255" s="519"/>
      <c r="E255" s="1080" t="s">
        <v>2279</v>
      </c>
    </row>
    <row r="256" spans="1:9">
      <c r="D256" s="481"/>
      <c r="E256" s="481"/>
      <c r="F256" s="481"/>
    </row>
    <row r="257" spans="1:9" ht="14.25">
      <c r="A257" s="519"/>
      <c r="B257" s="520" t="s">
        <v>2735</v>
      </c>
      <c r="D257" s="1290" t="s">
        <v>1239</v>
      </c>
      <c r="E257" s="1290"/>
      <c r="F257" s="1290"/>
    </row>
    <row r="258" spans="1:9" ht="14.25">
      <c r="A258" s="519"/>
      <c r="B258" s="519"/>
      <c r="D258" s="1290"/>
      <c r="E258" s="1290"/>
      <c r="F258" s="1290"/>
    </row>
    <row r="259" spans="1:9">
      <c r="D259" s="526"/>
    </row>
    <row r="260" spans="1:9">
      <c r="A260" s="1278" t="s">
        <v>1113</v>
      </c>
      <c r="B260" s="1278"/>
      <c r="C260" s="1278"/>
      <c r="D260" s="1278"/>
      <c r="E260" s="1278"/>
      <c r="F260" s="1278"/>
      <c r="G260" s="1278"/>
      <c r="H260" s="1071"/>
      <c r="I260" s="1072"/>
    </row>
    <row r="261" spans="1:9">
      <c r="D261" s="526"/>
    </row>
    <row r="262" spans="1:9">
      <c r="C262" s="521"/>
      <c r="D262" s="1289" t="s">
        <v>1242</v>
      </c>
      <c r="E262" s="1289"/>
      <c r="F262" s="1289"/>
    </row>
    <row r="263" spans="1:9">
      <c r="A263" s="517"/>
      <c r="B263" s="517"/>
      <c r="C263" s="517"/>
      <c r="D263" s="481"/>
      <c r="E263" s="481"/>
      <c r="F263" s="481"/>
    </row>
    <row r="264" spans="1:9">
      <c r="A264" s="518"/>
      <c r="B264" s="518"/>
      <c r="C264" s="518"/>
      <c r="D264" s="1289" t="s">
        <v>271</v>
      </c>
      <c r="E264" s="1289"/>
      <c r="F264" s="1289"/>
      <c r="I264" s="436" t="s">
        <v>2203</v>
      </c>
    </row>
    <row r="265" spans="1:9" ht="14.45" customHeight="1">
      <c r="A265" s="519"/>
      <c r="B265" s="520" t="s">
        <v>2735</v>
      </c>
      <c r="D265" s="1290" t="s">
        <v>1340</v>
      </c>
      <c r="E265" s="1290"/>
      <c r="F265" s="1290"/>
    </row>
    <row r="266" spans="1:9">
      <c r="D266" s="1290"/>
      <c r="E266" s="1290"/>
      <c r="F266" s="1290"/>
    </row>
    <row r="267" spans="1:9">
      <c r="E267" s="1080" t="s">
        <v>2280</v>
      </c>
    </row>
    <row r="268" spans="1:9">
      <c r="D268" s="481"/>
      <c r="E268" s="481"/>
      <c r="F268" s="481"/>
    </row>
    <row r="269" spans="1:9" ht="14.45" customHeight="1">
      <c r="A269" s="519"/>
      <c r="B269" s="520" t="s">
        <v>2636</v>
      </c>
      <c r="D269" s="1290" t="s">
        <v>2454</v>
      </c>
      <c r="E269" s="1290"/>
      <c r="F269" s="1290"/>
      <c r="I269" s="436" t="s">
        <v>2221</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25">
      <c r="A276" s="519"/>
      <c r="B276" s="520" t="s">
        <v>2636</v>
      </c>
      <c r="D276" s="1290" t="s">
        <v>1245</v>
      </c>
      <c r="E276" s="1290"/>
      <c r="F276" s="1290"/>
    </row>
    <row r="277" spans="1:9">
      <c r="D277" s="1290"/>
      <c r="E277" s="1290"/>
      <c r="F277" s="1290"/>
    </row>
    <row r="278" spans="1:9">
      <c r="D278" s="1290"/>
      <c r="E278" s="1290"/>
      <c r="F278" s="1290"/>
    </row>
    <row r="279" spans="1:9">
      <c r="D279" s="527"/>
      <c r="E279" s="481"/>
      <c r="F279" s="481"/>
    </row>
    <row r="280" spans="1:9">
      <c r="A280" s="1278" t="s">
        <v>1114</v>
      </c>
      <c r="B280" s="1278"/>
      <c r="C280" s="1278"/>
      <c r="D280" s="1278"/>
      <c r="E280" s="1278"/>
      <c r="F280" s="1278"/>
      <c r="G280" s="1278"/>
      <c r="H280" s="1071"/>
      <c r="I280" s="1072"/>
    </row>
    <row r="281" spans="1:9">
      <c r="D281" s="527"/>
      <c r="E281" s="481"/>
      <c r="F281" s="481"/>
    </row>
    <row r="282" spans="1:9">
      <c r="C282" s="517"/>
      <c r="D282" s="1292" t="s">
        <v>1247</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1248</v>
      </c>
      <c r="E286" s="1341"/>
      <c r="F286" s="1341"/>
    </row>
    <row r="287" spans="1:9">
      <c r="E287" s="481"/>
      <c r="F287" s="481"/>
    </row>
    <row r="288" spans="1:9" ht="14.25">
      <c r="A288" s="519"/>
      <c r="B288" s="520" t="s">
        <v>2636</v>
      </c>
      <c r="D288" s="1290" t="s">
        <v>1249</v>
      </c>
      <c r="E288" s="1290"/>
      <c r="F288" s="1290"/>
      <c r="I288" s="436" t="s">
        <v>2165</v>
      </c>
    </row>
    <row r="289" spans="1:9" ht="14.25">
      <c r="A289" s="519"/>
      <c r="B289" s="519"/>
      <c r="D289" s="1290"/>
      <c r="E289" s="1290"/>
      <c r="F289" s="1290"/>
    </row>
    <row r="290" spans="1:9">
      <c r="D290" s="481"/>
      <c r="E290" s="481"/>
      <c r="F290" s="481"/>
    </row>
    <row r="291" spans="1:9" ht="14.25">
      <c r="A291" s="519"/>
      <c r="B291" s="520" t="s">
        <v>2636</v>
      </c>
      <c r="D291" s="1290" t="s">
        <v>1250</v>
      </c>
      <c r="E291" s="1290"/>
      <c r="F291" s="1290"/>
      <c r="I291" s="436" t="s">
        <v>2165</v>
      </c>
    </row>
    <row r="292" spans="1:9" ht="14.25">
      <c r="A292" s="519"/>
      <c r="B292" s="519"/>
      <c r="D292" s="1290"/>
      <c r="E292" s="1290"/>
      <c r="F292" s="1290"/>
    </row>
    <row r="293" spans="1:9" ht="14.25">
      <c r="A293" s="519"/>
      <c r="B293" s="519"/>
      <c r="D293" s="1290"/>
      <c r="E293" s="1290"/>
      <c r="F293" s="1290"/>
    </row>
    <row r="294" spans="1:9">
      <c r="D294" s="481"/>
      <c r="E294" s="481"/>
      <c r="F294" s="481"/>
    </row>
    <row r="295" spans="1:9" ht="14.25">
      <c r="A295" s="519"/>
      <c r="B295" s="520" t="s">
        <v>2636</v>
      </c>
      <c r="D295" s="1290" t="s">
        <v>1251</v>
      </c>
      <c r="E295" s="1290"/>
      <c r="F295" s="1290"/>
      <c r="I295" s="436" t="s">
        <v>2165</v>
      </c>
    </row>
    <row r="296" spans="1:9" ht="14.25">
      <c r="A296" s="519"/>
      <c r="B296" s="519"/>
      <c r="D296" s="1290"/>
      <c r="E296" s="1290"/>
      <c r="F296" s="1290"/>
    </row>
    <row r="297" spans="1:9">
      <c r="A297" s="525"/>
      <c r="B297" s="525"/>
      <c r="E297" s="481"/>
      <c r="F297" s="481"/>
    </row>
    <row r="298" spans="1:9">
      <c r="A298" s="1278" t="s">
        <v>1115</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1252</v>
      </c>
      <c r="E301" s="1291"/>
      <c r="F301" s="1291"/>
    </row>
    <row r="302" spans="1:9">
      <c r="C302" s="525"/>
      <c r="D302" s="528"/>
    </row>
    <row r="303" spans="1:9">
      <c r="B303" s="520" t="s">
        <v>2636</v>
      </c>
      <c r="D303" s="1291" t="s">
        <v>1253</v>
      </c>
      <c r="E303" s="1291"/>
      <c r="F303" s="1291"/>
      <c r="I303" s="436" t="s">
        <v>2166</v>
      </c>
    </row>
    <row r="304" spans="1:9" ht="14.25">
      <c r="A304" s="519"/>
      <c r="B304" s="519"/>
      <c r="D304" s="529"/>
      <c r="E304" s="530"/>
      <c r="F304" s="530"/>
    </row>
    <row r="305" spans="1:9" ht="13.7" customHeight="1">
      <c r="B305" s="520" t="s">
        <v>2636</v>
      </c>
      <c r="D305" s="1344" t="s">
        <v>1364</v>
      </c>
      <c r="E305" s="1344"/>
      <c r="F305" s="1344"/>
      <c r="I305" s="436" t="s">
        <v>2166</v>
      </c>
    </row>
    <row r="306" spans="1:9" ht="14.25">
      <c r="A306" s="519"/>
      <c r="B306" s="519"/>
      <c r="D306" s="1344"/>
      <c r="E306" s="1344"/>
      <c r="F306" s="1344"/>
    </row>
    <row r="307" spans="1:9" ht="14.25">
      <c r="A307" s="519"/>
      <c r="B307" s="519"/>
      <c r="D307" s="1344"/>
      <c r="E307" s="1344"/>
      <c r="F307" s="1344"/>
    </row>
    <row r="308" spans="1:9" ht="14.25">
      <c r="A308" s="519"/>
      <c r="B308" s="519"/>
      <c r="D308" s="1344"/>
      <c r="E308" s="1344"/>
      <c r="F308" s="1344"/>
    </row>
    <row r="309" spans="1:9" ht="14.25">
      <c r="A309" s="519"/>
      <c r="B309" s="519"/>
      <c r="D309" s="1344"/>
      <c r="E309" s="1344"/>
      <c r="F309" s="1344"/>
    </row>
    <row r="310" spans="1:9" ht="14.25">
      <c r="A310" s="519"/>
      <c r="B310" s="519"/>
      <c r="D310" s="529"/>
      <c r="E310" s="530"/>
      <c r="F310" s="530"/>
    </row>
    <row r="311" spans="1:9" ht="13.7" customHeight="1">
      <c r="B311" s="520" t="s">
        <v>2636</v>
      </c>
      <c r="D311" s="1344" t="s">
        <v>1255</v>
      </c>
      <c r="E311" s="1344"/>
      <c r="F311" s="1344"/>
      <c r="I311" s="436" t="s">
        <v>2166</v>
      </c>
    </row>
    <row r="312" spans="1:9">
      <c r="D312" s="1344"/>
      <c r="E312" s="1344"/>
      <c r="F312" s="1344"/>
    </row>
    <row r="313" spans="1:9" ht="14.25">
      <c r="A313" s="519"/>
      <c r="B313" s="519"/>
      <c r="D313" s="529"/>
      <c r="E313" s="530"/>
      <c r="F313" s="530"/>
    </row>
    <row r="314" spans="1:9">
      <c r="B314" s="520" t="s">
        <v>2636</v>
      </c>
      <c r="D314" s="1291" t="s">
        <v>1256</v>
      </c>
      <c r="E314" s="1291"/>
      <c r="F314" s="1291"/>
      <c r="I314" s="436" t="s">
        <v>2152</v>
      </c>
    </row>
    <row r="315" spans="1:9">
      <c r="E315" s="481"/>
      <c r="F315" s="481"/>
    </row>
    <row r="316" spans="1:9" ht="14.25">
      <c r="A316" s="519"/>
      <c r="B316" s="520" t="s">
        <v>2636</v>
      </c>
      <c r="D316" s="1290" t="s">
        <v>2473</v>
      </c>
      <c r="E316" s="1290"/>
      <c r="F316" s="1290"/>
      <c r="I316" s="436" t="s">
        <v>2167</v>
      </c>
    </row>
    <row r="317" spans="1:9" ht="14.25">
      <c r="A317" s="519"/>
      <c r="B317" s="519"/>
      <c r="D317" s="1290"/>
      <c r="E317" s="1290"/>
      <c r="F317" s="1290"/>
    </row>
    <row r="318" spans="1:9" ht="14.25">
      <c r="A318" s="519"/>
      <c r="B318" s="519"/>
      <c r="D318" s="1290"/>
      <c r="E318" s="1290"/>
      <c r="F318" s="1290"/>
    </row>
    <row r="319" spans="1:9" ht="14.25">
      <c r="A319" s="519"/>
      <c r="B319" s="519"/>
      <c r="D319" s="1290"/>
      <c r="E319" s="1290"/>
      <c r="F319" s="1290"/>
    </row>
    <row r="320" spans="1:9" ht="14.25">
      <c r="A320" s="519"/>
      <c r="B320" s="519"/>
      <c r="D320" s="1290"/>
      <c r="E320" s="1290"/>
      <c r="F320" s="1290"/>
    </row>
    <row r="321" spans="1:9" ht="14.25">
      <c r="A321" s="519"/>
      <c r="B321" s="519"/>
      <c r="D321" s="1290"/>
      <c r="E321" s="1290"/>
      <c r="F321" s="1290"/>
    </row>
    <row r="322" spans="1:9" ht="14.25">
      <c r="A322" s="519"/>
      <c r="B322" s="519"/>
      <c r="D322" s="1290"/>
      <c r="E322" s="1290"/>
      <c r="F322" s="1290"/>
    </row>
    <row r="323" spans="1:9" ht="14.25">
      <c r="A323" s="519"/>
      <c r="B323" s="519"/>
      <c r="D323" s="1290"/>
      <c r="E323" s="1290"/>
      <c r="F323" s="1290"/>
    </row>
    <row r="324" spans="1:9" ht="14.25">
      <c r="A324" s="519"/>
      <c r="B324" s="519"/>
      <c r="D324" s="1290"/>
      <c r="E324" s="1290"/>
      <c r="F324" s="1290"/>
    </row>
    <row r="325" spans="1:9" ht="14.25">
      <c r="A325" s="519"/>
      <c r="B325" s="519"/>
      <c r="D325" s="1290"/>
      <c r="E325" s="1290"/>
      <c r="F325" s="1290"/>
    </row>
    <row r="326" spans="1:9" ht="14.25">
      <c r="A326" s="519"/>
      <c r="B326" s="519"/>
      <c r="D326" s="1290"/>
      <c r="E326" s="1290"/>
      <c r="F326" s="1290"/>
    </row>
    <row r="327" spans="1:9" ht="14.25">
      <c r="A327" s="519"/>
      <c r="B327" s="519"/>
      <c r="D327" s="1290"/>
      <c r="E327" s="1290"/>
      <c r="F327" s="1290"/>
    </row>
    <row r="328" spans="1:9" ht="14.25">
      <c r="A328" s="519"/>
      <c r="B328" s="519"/>
      <c r="D328" s="1290"/>
      <c r="E328" s="1290"/>
      <c r="F328" s="1290"/>
    </row>
    <row r="329" spans="1:9" ht="14.25">
      <c r="A329" s="519"/>
      <c r="B329" s="519"/>
      <c r="D329" s="1290"/>
      <c r="E329" s="1290"/>
      <c r="F329" s="1290"/>
    </row>
    <row r="330" spans="1:9" ht="14.25">
      <c r="A330" s="519"/>
      <c r="B330" s="519"/>
      <c r="D330" s="1290"/>
      <c r="E330" s="1290"/>
      <c r="F330" s="1290"/>
    </row>
    <row r="331" spans="1:9">
      <c r="D331" s="481"/>
      <c r="E331" s="481"/>
      <c r="F331" s="481"/>
    </row>
    <row r="332" spans="1:9" ht="14.25">
      <c r="A332" s="519"/>
      <c r="B332" s="520" t="s">
        <v>2636</v>
      </c>
      <c r="D332" s="1290" t="s">
        <v>1258</v>
      </c>
      <c r="E332" s="1290"/>
      <c r="F332" s="1290"/>
      <c r="I332" s="436" t="s">
        <v>2167</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2636</v>
      </c>
      <c r="D342" s="1290" t="s">
        <v>2285</v>
      </c>
      <c r="E342" s="1290"/>
      <c r="F342" s="1290"/>
      <c r="I342" s="436" t="s">
        <v>2204</v>
      </c>
    </row>
    <row r="343" spans="1:9">
      <c r="D343" s="1290"/>
      <c r="E343" s="1290"/>
      <c r="F343" s="1290"/>
    </row>
    <row r="344" spans="1:9">
      <c r="D344" s="1290"/>
      <c r="E344" s="1290"/>
      <c r="F344" s="1290"/>
    </row>
    <row r="345" spans="1:9">
      <c r="D345" s="1290"/>
      <c r="E345" s="1290"/>
      <c r="F345" s="1290"/>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3" t="s">
        <v>1020</v>
      </c>
      <c r="E349" s="1333"/>
      <c r="F349" s="1333"/>
      <c r="G349" s="1069"/>
      <c r="H349" s="1069"/>
      <c r="I349" s="1070"/>
    </row>
    <row r="350" spans="1:9" ht="13.5" thickTop="1">
      <c r="D350" s="1345" t="s">
        <v>1260</v>
      </c>
      <c r="E350" s="1345"/>
      <c r="F350" s="1345"/>
    </row>
    <row r="351" spans="1:9">
      <c r="D351" s="481"/>
      <c r="E351" s="481"/>
      <c r="F351" s="481"/>
    </row>
    <row r="352" spans="1:9">
      <c r="A352" s="511"/>
      <c r="B352" s="511"/>
      <c r="C352" s="511"/>
      <c r="D352" s="482"/>
      <c r="E352" s="482"/>
      <c r="F352" s="481"/>
      <c r="I352" s="436" t="s">
        <v>2168</v>
      </c>
    </row>
    <row r="353" spans="1:9" ht="14.25">
      <c r="A353" s="519"/>
      <c r="B353" s="520" t="s">
        <v>2636</v>
      </c>
      <c r="C353" s="522"/>
      <c r="D353" s="1291" t="s">
        <v>2283</v>
      </c>
      <c r="E353" s="1291"/>
      <c r="F353" s="1291"/>
      <c r="I353" s="1347" t="s">
        <v>2218</v>
      </c>
    </row>
    <row r="354" spans="1:9" ht="12.75" customHeight="1">
      <c r="D354" s="1081"/>
      <c r="E354" s="96" t="s">
        <v>2282</v>
      </c>
      <c r="F354" s="1081"/>
      <c r="I354" s="1348"/>
    </row>
    <row r="355" spans="1:9">
      <c r="D355" s="1290" t="s">
        <v>1387</v>
      </c>
      <c r="E355" s="1290"/>
      <c r="F355" s="1290"/>
      <c r="I355" s="1348"/>
    </row>
    <row r="356" spans="1:9">
      <c r="D356" s="1290"/>
      <c r="E356" s="1290"/>
      <c r="F356" s="1290"/>
      <c r="I356" s="1348"/>
    </row>
    <row r="357" spans="1:9">
      <c r="D357" s="1290"/>
      <c r="E357" s="1290"/>
      <c r="F357" s="1290"/>
      <c r="I357" s="1349"/>
    </row>
    <row r="358" spans="1:9" ht="14.25">
      <c r="A358" s="519"/>
      <c r="B358" s="520" t="s">
        <v>2636</v>
      </c>
      <c r="C358" s="511"/>
      <c r="D358" s="1276" t="s">
        <v>2455</v>
      </c>
      <c r="E358" s="1276"/>
      <c r="F358" s="1276"/>
      <c r="I358" s="434"/>
    </row>
    <row r="359" spans="1:9">
      <c r="A359" s="511"/>
      <c r="B359" s="511"/>
      <c r="C359" s="511"/>
      <c r="D359" s="482"/>
      <c r="E359" s="482"/>
      <c r="F359" s="481"/>
    </row>
    <row r="360" spans="1:9">
      <c r="A360" s="511"/>
      <c r="B360" s="520" t="s">
        <v>2636</v>
      </c>
      <c r="C360" s="511"/>
      <c r="D360" s="1272" t="s">
        <v>2456</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 customHeight="1">
      <c r="A373" s="511"/>
      <c r="B373" s="520" t="s">
        <v>2636</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2636</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2636</v>
      </c>
      <c r="C385" s="511"/>
      <c r="D385" s="1272" t="s">
        <v>1263</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1264</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1265</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2636</v>
      </c>
      <c r="C418" s="511"/>
      <c r="D418" s="1272" t="s">
        <v>1266</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2636</v>
      </c>
      <c r="D421" s="1272" t="s">
        <v>2205</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2636</v>
      </c>
      <c r="C427" s="511"/>
      <c r="D427" s="1272" t="s">
        <v>1389</v>
      </c>
      <c r="E427" s="1272"/>
      <c r="F427" s="1272"/>
    </row>
    <row r="428" spans="1:6" ht="14.25">
      <c r="A428" s="532"/>
      <c r="B428" s="532"/>
      <c r="C428" s="511"/>
      <c r="D428" s="1272"/>
      <c r="E428" s="1272"/>
      <c r="F428" s="1272"/>
    </row>
    <row r="429" spans="1:6" ht="14.25">
      <c r="A429" s="532"/>
      <c r="B429" s="532"/>
      <c r="C429" s="511"/>
      <c r="D429" s="1272"/>
      <c r="E429" s="1272"/>
      <c r="F429" s="1272"/>
    </row>
    <row r="430" spans="1:6" ht="14.25">
      <c r="A430" s="532"/>
      <c r="B430" s="532"/>
      <c r="C430" s="511"/>
      <c r="D430" s="1272"/>
      <c r="E430" s="1272"/>
      <c r="F430" s="1272"/>
    </row>
    <row r="431" spans="1:6" ht="15.75" customHeight="1">
      <c r="A431" s="532"/>
      <c r="B431" s="532"/>
      <c r="C431" s="511"/>
      <c r="D431" s="1346" t="s">
        <v>2474</v>
      </c>
      <c r="E431" s="1272"/>
      <c r="F431" s="1272"/>
    </row>
    <row r="432" spans="1:6">
      <c r="D432" s="481"/>
      <c r="E432" s="481"/>
      <c r="F432" s="481"/>
    </row>
    <row r="433" spans="1:6" ht="14.25">
      <c r="A433" s="519"/>
      <c r="B433" s="520" t="s">
        <v>2636</v>
      </c>
      <c r="C433" s="522"/>
      <c r="D433" s="1290" t="s">
        <v>2457</v>
      </c>
      <c r="E433" s="1290"/>
      <c r="F433" s="1290"/>
    </row>
    <row r="434" spans="1:6" ht="14.25">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ht="14.25">
      <c r="A465" s="519"/>
      <c r="B465" s="520" t="s">
        <v>2636</v>
      </c>
      <c r="C465" s="522"/>
      <c r="D465" s="1290" t="s">
        <v>1271</v>
      </c>
      <c r="E465" s="1290"/>
      <c r="F465" s="1290"/>
    </row>
    <row r="466" spans="1:6">
      <c r="D466" s="1290"/>
      <c r="E466" s="1290"/>
      <c r="F466" s="1290"/>
    </row>
    <row r="467" spans="1:6">
      <c r="D467" s="1290"/>
      <c r="E467" s="1290"/>
      <c r="F467" s="1290"/>
    </row>
    <row r="468" spans="1:6">
      <c r="D468" s="480"/>
      <c r="E468" s="480"/>
      <c r="F468" s="480"/>
    </row>
    <row r="469" spans="1:6" ht="14.25">
      <c r="B469" s="520" t="s">
        <v>2636</v>
      </c>
      <c r="C469" s="519"/>
      <c r="D469" s="1290" t="s">
        <v>1341</v>
      </c>
      <c r="E469" s="1290"/>
      <c r="F469" s="1290"/>
    </row>
    <row r="470" spans="1:6">
      <c r="D470" s="1290"/>
      <c r="E470" s="1290"/>
      <c r="F470" s="1290"/>
    </row>
    <row r="471" spans="1:6">
      <c r="D471" s="481"/>
      <c r="E471" s="481"/>
      <c r="F471" s="481"/>
    </row>
    <row r="472" spans="1:6" ht="14.25">
      <c r="B472" s="520" t="s">
        <v>2636</v>
      </c>
      <c r="C472" s="519"/>
      <c r="D472" s="1290" t="s">
        <v>1273</v>
      </c>
      <c r="E472" s="1290"/>
      <c r="F472" s="1290"/>
    </row>
    <row r="473" spans="1:6">
      <c r="D473" s="1290"/>
      <c r="E473" s="1290"/>
      <c r="F473" s="1290"/>
    </row>
    <row r="474" spans="1:6">
      <c r="D474" s="1290"/>
      <c r="E474" s="1290"/>
      <c r="F474" s="1290"/>
    </row>
    <row r="475" spans="1:6">
      <c r="D475" s="1290"/>
      <c r="E475" s="1290"/>
      <c r="F475" s="1290"/>
    </row>
    <row r="476" spans="1:6">
      <c r="B476" s="520" t="s">
        <v>2636</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2636</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2636</v>
      </c>
      <c r="C484" s="434"/>
      <c r="D484" s="1290"/>
      <c r="E484" s="1290"/>
      <c r="F484" s="1290"/>
    </row>
    <row r="485" spans="1:9">
      <c r="A485" s="434"/>
      <c r="C485" s="434"/>
      <c r="D485" s="1290"/>
      <c r="E485" s="1290"/>
      <c r="F485" s="1290"/>
    </row>
    <row r="486" spans="1:9">
      <c r="A486" s="434"/>
      <c r="B486" s="520" t="s">
        <v>2636</v>
      </c>
      <c r="C486" s="434"/>
      <c r="D486" s="1290" t="s">
        <v>1274</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2636</v>
      </c>
      <c r="D492" s="1291" t="s">
        <v>1275</v>
      </c>
      <c r="E492" s="1291"/>
      <c r="F492" s="1291"/>
    </row>
    <row r="493" spans="1:9">
      <c r="A493" s="481"/>
      <c r="B493" s="481"/>
    </row>
    <row r="494" spans="1:9">
      <c r="A494" s="1278" t="s">
        <v>1116</v>
      </c>
      <c r="B494" s="1278"/>
      <c r="C494" s="1278"/>
      <c r="D494" s="1278"/>
      <c r="E494" s="1278"/>
      <c r="F494" s="1278"/>
      <c r="G494" s="1278"/>
      <c r="H494" s="1071"/>
      <c r="I494" s="1072"/>
    </row>
    <row r="495" spans="1:9">
      <c r="A495" s="481"/>
      <c r="B495" s="481"/>
    </row>
    <row r="496" spans="1:9">
      <c r="D496" s="1275" t="s">
        <v>913</v>
      </c>
      <c r="E496" s="1275"/>
      <c r="F496" s="1275"/>
    </row>
    <row r="497" spans="1:9" ht="14.25">
      <c r="A497" s="519"/>
      <c r="B497" s="519"/>
      <c r="D497" s="1276" t="s">
        <v>1276</v>
      </c>
      <c r="E497" s="1276"/>
      <c r="F497" s="1276"/>
    </row>
    <row r="498" spans="1:9" ht="14.25">
      <c r="A498" s="519"/>
      <c r="B498" s="519"/>
      <c r="D498" s="482"/>
    </row>
    <row r="499" spans="1:9" ht="14.25">
      <c r="A499" s="519"/>
      <c r="B499" s="520" t="s">
        <v>2636</v>
      </c>
      <c r="D499" s="1272" t="s">
        <v>1277</v>
      </c>
      <c r="E499" s="1272"/>
      <c r="F499" s="1272"/>
      <c r="I499" s="436" t="s">
        <v>2169</v>
      </c>
    </row>
    <row r="500" spans="1:9" ht="14.25">
      <c r="A500" s="519"/>
      <c r="B500" s="519"/>
      <c r="D500" s="1272"/>
      <c r="E500" s="1272"/>
      <c r="F500" s="1272"/>
    </row>
    <row r="501" spans="1:9" ht="14.25">
      <c r="A501" s="519"/>
      <c r="B501" s="519"/>
      <c r="D501" s="481"/>
    </row>
    <row r="502" spans="1:9" ht="12.75" customHeight="1">
      <c r="B502" s="520" t="s">
        <v>2636</v>
      </c>
      <c r="D502" s="1277" t="s">
        <v>1432</v>
      </c>
      <c r="E502" s="1277"/>
      <c r="F502" s="1277"/>
      <c r="I502" s="436" t="s">
        <v>2170</v>
      </c>
    </row>
    <row r="503" spans="1:9" ht="14.25">
      <c r="A503" s="519"/>
      <c r="D503" s="1277"/>
      <c r="E503" s="1277"/>
      <c r="F503" s="1277"/>
    </row>
    <row r="504" spans="1:9" ht="14.25">
      <c r="A504" s="519"/>
      <c r="B504" s="519"/>
      <c r="D504" s="1277"/>
      <c r="E504" s="1277"/>
      <c r="F504" s="1277"/>
    </row>
    <row r="505" spans="1:9" ht="14.25">
      <c r="A505" s="519"/>
      <c r="B505" s="519"/>
      <c r="D505" s="1277"/>
      <c r="E505" s="1277"/>
      <c r="F505" s="1277"/>
    </row>
    <row r="506" spans="1:9" ht="14.25">
      <c r="A506" s="519"/>
      <c r="D506" s="555"/>
      <c r="E506" s="555"/>
      <c r="F506" s="555"/>
    </row>
    <row r="507" spans="1:9" ht="14.25">
      <c r="A507" s="519"/>
      <c r="B507" s="520" t="s">
        <v>2636</v>
      </c>
      <c r="D507" s="1291" t="s">
        <v>1280</v>
      </c>
      <c r="E507" s="1291"/>
      <c r="F507" s="1291"/>
      <c r="I507" s="436" t="s">
        <v>2171</v>
      </c>
    </row>
    <row r="508" spans="1:9" ht="14.25">
      <c r="A508" s="519"/>
      <c r="B508" s="519"/>
      <c r="D508" s="481"/>
    </row>
    <row r="509" spans="1:9" ht="14.25">
      <c r="A509" s="519"/>
      <c r="B509" s="520" t="s">
        <v>2636</v>
      </c>
      <c r="D509" s="1290" t="s">
        <v>1281</v>
      </c>
      <c r="E509" s="1290"/>
      <c r="F509" s="1290"/>
      <c r="I509" s="436" t="s">
        <v>2171</v>
      </c>
    </row>
    <row r="510" spans="1:9" ht="14.25">
      <c r="A510" s="519"/>
      <c r="D510" s="1290"/>
      <c r="E510" s="1290"/>
      <c r="F510" s="1290"/>
    </row>
    <row r="511" spans="1:9">
      <c r="A511" s="525"/>
      <c r="B511" s="525"/>
      <c r="D511" s="482"/>
    </row>
    <row r="512" spans="1:9">
      <c r="A512" s="525"/>
      <c r="B512" s="520" t="s">
        <v>2636</v>
      </c>
      <c r="D512" s="1291" t="s">
        <v>1282</v>
      </c>
      <c r="E512" s="1291"/>
      <c r="F512" s="1291"/>
      <c r="I512" s="436" t="s">
        <v>2224</v>
      </c>
    </row>
    <row r="513" spans="1:9" ht="14.25">
      <c r="A513" s="519"/>
      <c r="B513" s="519"/>
      <c r="D513" s="481"/>
    </row>
    <row r="514" spans="1:9">
      <c r="A514" s="1278" t="s">
        <v>1117</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2735</v>
      </c>
      <c r="C520" s="518"/>
      <c r="D520" s="1272" t="s">
        <v>2458</v>
      </c>
      <c r="E520" s="1272"/>
      <c r="F520" s="1272"/>
      <c r="I520" s="436" t="s">
        <v>2206</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2636</v>
      </c>
      <c r="D523" s="418" t="s">
        <v>2286</v>
      </c>
      <c r="E523" s="417"/>
      <c r="F523" s="417"/>
      <c r="I523" s="436" t="s">
        <v>2172</v>
      </c>
    </row>
    <row r="524" spans="1:9">
      <c r="A524" s="518"/>
      <c r="B524" s="518"/>
      <c r="C524" s="518"/>
      <c r="D524" s="417"/>
      <c r="E524" s="96" t="s">
        <v>2287</v>
      </c>
    </row>
    <row r="525" spans="1:9">
      <c r="A525" s="518"/>
      <c r="B525" s="518"/>
      <c r="D525" s="1320" t="s">
        <v>2459</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2636</v>
      </c>
      <c r="C529" s="518"/>
      <c r="D529" s="1290" t="s">
        <v>2460</v>
      </c>
      <c r="E529" s="1290"/>
      <c r="F529" s="1290"/>
      <c r="I529" s="436" t="s">
        <v>2172</v>
      </c>
    </row>
    <row r="530" spans="1:9">
      <c r="A530" s="518"/>
      <c r="B530" s="518"/>
      <c r="C530" s="518"/>
      <c r="D530" s="1290"/>
      <c r="E530" s="1290"/>
      <c r="F530" s="1290"/>
    </row>
    <row r="531" spans="1:9" ht="12" customHeight="1">
      <c r="A531" s="481"/>
      <c r="B531" s="481"/>
      <c r="C531" s="522"/>
      <c r="D531" s="481"/>
      <c r="F531" s="483"/>
    </row>
    <row r="532" spans="1:9">
      <c r="A532" s="1278" t="s">
        <v>1118</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1119</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1176</v>
      </c>
      <c r="E539" s="1291"/>
      <c r="F539" s="1291"/>
    </row>
    <row r="540" spans="1:9">
      <c r="C540" s="522"/>
      <c r="D540" s="481"/>
      <c r="E540" s="481"/>
      <c r="F540" s="481"/>
    </row>
    <row r="541" spans="1:9" ht="13.7" customHeight="1">
      <c r="A541" s="519"/>
      <c r="B541" s="520" t="s">
        <v>2735</v>
      </c>
      <c r="C541" s="522"/>
      <c r="D541" s="1291" t="s">
        <v>914</v>
      </c>
      <c r="E541" s="1291"/>
      <c r="F541" s="1291"/>
      <c r="I541" s="436" t="s">
        <v>2222</v>
      </c>
    </row>
    <row r="542" spans="1:9" ht="13.7" customHeight="1">
      <c r="A542" s="522"/>
      <c r="B542" s="522"/>
      <c r="C542" s="522"/>
      <c r="D542" s="481"/>
    </row>
    <row r="543" spans="1:9" ht="14.25">
      <c r="A543" s="519"/>
      <c r="B543" s="520" t="s">
        <v>2735</v>
      </c>
      <c r="C543" s="522"/>
      <c r="D543" s="1290" t="s">
        <v>1177</v>
      </c>
      <c r="E543" s="1290"/>
      <c r="F543" s="1290"/>
      <c r="I543" s="436" t="s">
        <v>2222</v>
      </c>
    </row>
    <row r="544" spans="1:9">
      <c r="A544" s="522"/>
      <c r="B544" s="522"/>
      <c r="C544" s="522"/>
      <c r="D544" s="1290"/>
      <c r="E544" s="1290"/>
      <c r="F544" s="1290"/>
    </row>
    <row r="545" spans="1:9">
      <c r="A545" s="522"/>
      <c r="B545" s="522"/>
      <c r="C545" s="522"/>
      <c r="D545" s="481"/>
      <c r="E545" s="481"/>
      <c r="F545" s="481"/>
    </row>
    <row r="546" spans="1:9" ht="14.25">
      <c r="A546" s="519"/>
      <c r="B546" s="520" t="s">
        <v>2735</v>
      </c>
      <c r="C546" s="522"/>
      <c r="D546" s="1290" t="s">
        <v>1178</v>
      </c>
      <c r="E546" s="1290"/>
      <c r="F546" s="1290"/>
      <c r="I546" s="436" t="s">
        <v>2173</v>
      </c>
    </row>
    <row r="547" spans="1:9">
      <c r="A547" s="522"/>
      <c r="B547" s="522"/>
      <c r="C547" s="522"/>
      <c r="D547" s="1290"/>
      <c r="E547" s="1290"/>
      <c r="F547" s="1290"/>
    </row>
    <row r="548" spans="1:9">
      <c r="A548" s="522"/>
      <c r="B548" s="522"/>
      <c r="C548" s="522"/>
      <c r="D548" s="481"/>
      <c r="E548" s="481"/>
      <c r="F548" s="481"/>
    </row>
    <row r="549" spans="1:9" ht="14.25">
      <c r="A549" s="519"/>
      <c r="B549" s="520" t="s">
        <v>2735</v>
      </c>
      <c r="C549" s="522"/>
      <c r="D549" s="1290" t="s">
        <v>1179</v>
      </c>
      <c r="E549" s="1290"/>
      <c r="F549" s="1290"/>
      <c r="I549" s="436" t="s">
        <v>2174</v>
      </c>
    </row>
    <row r="550" spans="1:9">
      <c r="A550" s="522"/>
      <c r="B550" s="522"/>
      <c r="C550" s="522"/>
      <c r="D550" s="1290"/>
      <c r="E550" s="1290"/>
      <c r="F550" s="1290"/>
    </row>
    <row r="551" spans="1:9">
      <c r="A551" s="522"/>
      <c r="B551" s="522"/>
      <c r="C551" s="522"/>
      <c r="D551" s="481"/>
      <c r="E551" s="481"/>
      <c r="F551" s="481"/>
    </row>
    <row r="552" spans="1:9" ht="14.25">
      <c r="A552" s="519"/>
      <c r="B552" s="520" t="s">
        <v>2735</v>
      </c>
      <c r="C552" s="522"/>
      <c r="D552" s="1290" t="s">
        <v>1180</v>
      </c>
      <c r="E552" s="1290"/>
      <c r="F552" s="1290"/>
      <c r="I552" s="436" t="s">
        <v>2223</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25">
      <c r="A556" s="519"/>
      <c r="B556" s="520" t="s">
        <v>2636</v>
      </c>
      <c r="C556" s="522"/>
      <c r="D556" s="1290" t="s">
        <v>1298</v>
      </c>
      <c r="E556" s="1290"/>
      <c r="F556" s="1290"/>
      <c r="I556" s="436" t="s">
        <v>2222</v>
      </c>
    </row>
    <row r="557" spans="1:9">
      <c r="A557" s="522"/>
      <c r="B557" s="522"/>
      <c r="C557" s="522"/>
      <c r="D557" s="1290"/>
      <c r="E557" s="1290"/>
      <c r="F557" s="1290"/>
    </row>
    <row r="558" spans="1:9">
      <c r="A558" s="522"/>
      <c r="B558" s="522"/>
      <c r="C558" s="522"/>
      <c r="D558" s="481"/>
      <c r="E558" s="481"/>
      <c r="F558" s="481"/>
    </row>
    <row r="559" spans="1:9" ht="14.25">
      <c r="A559" s="519"/>
      <c r="B559" s="520" t="s">
        <v>2735</v>
      </c>
      <c r="C559" s="522"/>
      <c r="D559" s="1290" t="s">
        <v>1182</v>
      </c>
      <c r="E559" s="1290"/>
      <c r="F559" s="1290"/>
      <c r="I559" s="436" t="s">
        <v>2222</v>
      </c>
    </row>
    <row r="560" spans="1:9">
      <c r="A560" s="522"/>
      <c r="B560" s="522"/>
      <c r="C560" s="522"/>
      <c r="D560" s="1290"/>
      <c r="E560" s="1290"/>
      <c r="F560" s="1290"/>
    </row>
    <row r="561" spans="1:9">
      <c r="A561" s="522"/>
      <c r="B561" s="522"/>
      <c r="C561" s="522"/>
      <c r="D561" s="481"/>
      <c r="E561" s="481"/>
      <c r="F561" s="481"/>
    </row>
    <row r="562" spans="1:9" ht="14.25">
      <c r="A562" s="519"/>
      <c r="B562" s="520" t="s">
        <v>2735</v>
      </c>
      <c r="C562" s="522"/>
      <c r="D562" s="1291" t="s">
        <v>1183</v>
      </c>
      <c r="E562" s="1291"/>
      <c r="F562" s="1291"/>
      <c r="I562" s="436" t="s">
        <v>2225</v>
      </c>
    </row>
    <row r="563" spans="1:9">
      <c r="A563" s="525"/>
      <c r="B563" s="525"/>
      <c r="C563" s="522"/>
      <c r="D563" s="1291" t="s">
        <v>2289</v>
      </c>
      <c r="E563" s="1291"/>
      <c r="F563" s="1291"/>
    </row>
    <row r="564" spans="1:9">
      <c r="A564" s="525"/>
      <c r="B564" s="525"/>
      <c r="C564" s="522"/>
      <c r="E564" s="96" t="s">
        <v>2288</v>
      </c>
      <c r="F564" s="436"/>
    </row>
    <row r="565" spans="1:9" ht="14.25">
      <c r="A565" s="519"/>
      <c r="B565" s="519"/>
      <c r="C565" s="522"/>
      <c r="E565" s="481"/>
      <c r="F565" s="481"/>
    </row>
    <row r="566" spans="1:9" ht="14.25">
      <c r="A566" s="519"/>
      <c r="B566" s="520" t="s">
        <v>2735</v>
      </c>
      <c r="C566" s="522"/>
      <c r="D566" s="1291" t="s">
        <v>1185</v>
      </c>
      <c r="E566" s="1291"/>
      <c r="F566" s="1291"/>
      <c r="I566" s="436" t="s">
        <v>2175</v>
      </c>
    </row>
    <row r="567" spans="1:9">
      <c r="C567" s="522"/>
      <c r="D567" s="1290" t="s">
        <v>1186</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25">
      <c r="A571" s="519"/>
      <c r="B571" s="520" t="s">
        <v>2735</v>
      </c>
      <c r="C571" s="522"/>
      <c r="D571" s="1290" t="s">
        <v>2461</v>
      </c>
      <c r="E571" s="1290"/>
      <c r="F571" s="1290"/>
      <c r="I571" s="436" t="s">
        <v>2176</v>
      </c>
    </row>
    <row r="572" spans="1:9" ht="14.25">
      <c r="A572" s="519"/>
      <c r="B572" s="519"/>
      <c r="C572" s="522"/>
      <c r="D572" s="1290"/>
      <c r="E572" s="1290"/>
      <c r="F572" s="1290"/>
    </row>
    <row r="573" spans="1:9" ht="14.25">
      <c r="A573" s="519"/>
      <c r="B573" s="519"/>
      <c r="C573" s="522"/>
      <c r="D573" s="1290"/>
      <c r="E573" s="1290"/>
      <c r="F573" s="1290"/>
    </row>
    <row r="574" spans="1:9" ht="14.25">
      <c r="A574" s="519"/>
      <c r="B574" s="519"/>
      <c r="C574" s="522"/>
      <c r="D574" s="1290"/>
      <c r="E574" s="1290"/>
      <c r="F574" s="1290"/>
    </row>
    <row r="575" spans="1:9" ht="14.25">
      <c r="A575" s="519"/>
      <c r="B575" s="519"/>
      <c r="C575" s="522"/>
      <c r="D575" s="481"/>
      <c r="E575" s="481"/>
      <c r="F575" s="481"/>
    </row>
    <row r="576" spans="1:9">
      <c r="A576" s="1278" t="s">
        <v>1120</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1136</v>
      </c>
      <c r="E579" s="1277"/>
      <c r="F579" s="1277"/>
    </row>
    <row r="580" spans="1:9">
      <c r="A580" s="434"/>
      <c r="B580" s="434"/>
      <c r="C580" s="518"/>
      <c r="D580" s="534"/>
      <c r="I580" s="436" t="s">
        <v>2177</v>
      </c>
    </row>
    <row r="581" spans="1:9">
      <c r="A581" s="518"/>
      <c r="B581" s="520" t="s">
        <v>2735</v>
      </c>
      <c r="D581" s="1277" t="s">
        <v>920</v>
      </c>
      <c r="E581" s="1277"/>
      <c r="F581" s="1277"/>
    </row>
    <row r="582" spans="1:9">
      <c r="A582" s="525"/>
      <c r="B582" s="525"/>
      <c r="D582" s="511"/>
    </row>
    <row r="583" spans="1:9">
      <c r="A583" s="525"/>
      <c r="B583" s="520" t="s">
        <v>2735</v>
      </c>
      <c r="D583" s="1277" t="s">
        <v>2462</v>
      </c>
      <c r="E583" s="1277"/>
      <c r="F583" s="1277"/>
      <c r="I583" s="436" t="s">
        <v>2179</v>
      </c>
    </row>
    <row r="584" spans="1:9">
      <c r="A584" s="525"/>
      <c r="B584" s="525"/>
      <c r="D584" s="1277"/>
      <c r="E584" s="1277"/>
      <c r="F584" s="1277"/>
      <c r="I584" s="436" t="s">
        <v>2178</v>
      </c>
    </row>
    <row r="585" spans="1:9">
      <c r="A585" s="525"/>
      <c r="B585" s="525"/>
      <c r="D585" s="1277"/>
      <c r="E585" s="1277"/>
      <c r="F585" s="1277"/>
    </row>
    <row r="586" spans="1:9">
      <c r="A586" s="525"/>
      <c r="B586" s="525"/>
      <c r="D586" s="1277"/>
      <c r="E586" s="1277"/>
      <c r="F586" s="1277"/>
    </row>
    <row r="587" spans="1:9">
      <c r="A587" s="525"/>
      <c r="B587" s="520" t="s">
        <v>2636</v>
      </c>
      <c r="D587" s="1277" t="s">
        <v>1138</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2735</v>
      </c>
      <c r="D592" s="1277" t="s">
        <v>2463</v>
      </c>
      <c r="E592" s="1277"/>
      <c r="F592" s="1277"/>
    </row>
    <row r="593" spans="1:9">
      <c r="A593" s="525"/>
      <c r="B593" s="525"/>
      <c r="D593" s="1277"/>
      <c r="E593" s="1277"/>
      <c r="F593" s="1277"/>
    </row>
    <row r="594" spans="1:9">
      <c r="A594" s="525"/>
      <c r="B594" s="525"/>
      <c r="D594" s="534"/>
    </row>
    <row r="595" spans="1:9">
      <c r="A595" s="525"/>
      <c r="B595" s="520" t="s">
        <v>2636</v>
      </c>
      <c r="D595" s="1277" t="s">
        <v>1140</v>
      </c>
      <c r="E595" s="1277"/>
      <c r="F595" s="1277"/>
      <c r="I595" s="436" t="s">
        <v>2226</v>
      </c>
    </row>
    <row r="596" spans="1:9">
      <c r="A596" s="525"/>
      <c r="B596" s="525"/>
      <c r="D596" s="1277"/>
      <c r="E596" s="1277"/>
      <c r="F596" s="1277"/>
    </row>
    <row r="597" spans="1:9" ht="14.25">
      <c r="A597" s="519"/>
      <c r="B597" s="519"/>
      <c r="D597" s="534"/>
    </row>
    <row r="598" spans="1:9">
      <c r="A598" s="1278" t="s">
        <v>1121</v>
      </c>
      <c r="B598" s="1278"/>
      <c r="C598" s="1278"/>
      <c r="D598" s="1278"/>
      <c r="E598" s="1278"/>
      <c r="F598" s="1278"/>
      <c r="G598" s="1278"/>
      <c r="H598" s="1071"/>
      <c r="I598" s="1072"/>
    </row>
    <row r="599" spans="1:9"/>
    <row r="600" spans="1:9">
      <c r="D600" s="1289" t="s">
        <v>1221</v>
      </c>
      <c r="E600" s="1289"/>
      <c r="F600" s="1289"/>
    </row>
    <row r="601" spans="1:9">
      <c r="D601" s="1312" t="s">
        <v>1222</v>
      </c>
      <c r="E601" s="1312"/>
      <c r="F601" s="1312"/>
    </row>
    <row r="602" spans="1:9">
      <c r="D602" s="479"/>
    </row>
    <row r="603" spans="1:9" ht="14.25" customHeight="1">
      <c r="A603" s="519"/>
      <c r="B603" s="520" t="s">
        <v>2735</v>
      </c>
      <c r="D603" s="1332" t="s">
        <v>2290</v>
      </c>
      <c r="E603" s="1332"/>
      <c r="F603" s="1332"/>
      <c r="I603" s="436" t="s">
        <v>2207</v>
      </c>
    </row>
    <row r="604" spans="1:9">
      <c r="D604" s="1332"/>
      <c r="E604" s="1332"/>
      <c r="F604" s="1332"/>
    </row>
    <row r="605" spans="1:9">
      <c r="D605" s="417"/>
      <c r="E605" s="1080" t="s">
        <v>2291</v>
      </c>
      <c r="F605" s="417"/>
    </row>
    <row r="606" spans="1:9"/>
    <row r="607" spans="1:9">
      <c r="A607" s="1278" t="s">
        <v>1122</v>
      </c>
      <c r="B607" s="1278"/>
      <c r="C607" s="1278"/>
      <c r="D607" s="1278"/>
      <c r="E607" s="1278"/>
      <c r="F607" s="1278"/>
      <c r="G607" s="1278"/>
      <c r="H607" s="1071"/>
      <c r="I607" s="1072"/>
    </row>
    <row r="608" spans="1:9">
      <c r="A608" s="481"/>
      <c r="B608" s="481"/>
    </row>
    <row r="609" spans="1:9">
      <c r="A609" s="517"/>
      <c r="B609" s="517"/>
      <c r="C609" s="517"/>
      <c r="D609" s="1313" t="s">
        <v>1224</v>
      </c>
      <c r="E609" s="1313"/>
      <c r="F609" s="1313"/>
    </row>
    <row r="610" spans="1:9">
      <c r="A610" s="517"/>
      <c r="B610" s="517"/>
      <c r="C610" s="517"/>
      <c r="D610" s="1313"/>
      <c r="E610" s="1313"/>
      <c r="F610" s="1313"/>
    </row>
    <row r="611" spans="1:9">
      <c r="C611" s="518"/>
      <c r="D611" s="1312" t="s">
        <v>1225</v>
      </c>
      <c r="E611" s="1312"/>
      <c r="F611" s="1312"/>
    </row>
    <row r="612" spans="1:9">
      <c r="C612" s="518"/>
      <c r="D612" s="479"/>
      <c r="E612" s="479"/>
      <c r="F612" s="479"/>
    </row>
    <row r="613" spans="1:9" ht="12.75" customHeight="1">
      <c r="A613" s="525"/>
      <c r="B613" s="520" t="s">
        <v>2735</v>
      </c>
      <c r="D613" s="1288" t="s">
        <v>1226</v>
      </c>
      <c r="E613" s="1288"/>
      <c r="F613" s="1288"/>
      <c r="I613" s="436" t="s">
        <v>2227</v>
      </c>
    </row>
    <row r="614" spans="1:9">
      <c r="D614" s="1288"/>
      <c r="E614" s="1288"/>
      <c r="F614" s="1288"/>
    </row>
    <row r="615" spans="1:9"/>
    <row r="616" spans="1:9">
      <c r="B616" s="520" t="s">
        <v>2735</v>
      </c>
      <c r="D616" s="1288" t="s">
        <v>1227</v>
      </c>
      <c r="E616" s="1288"/>
      <c r="F616" s="1288"/>
      <c r="I616" s="436" t="s">
        <v>2180</v>
      </c>
    </row>
    <row r="617" spans="1:9">
      <c r="C617" s="535"/>
      <c r="D617" s="1288"/>
      <c r="E617" s="1288"/>
      <c r="F617" s="1288"/>
    </row>
    <row r="618" spans="1:9">
      <c r="C618" s="535"/>
    </row>
    <row r="619" spans="1:9">
      <c r="B619" s="520" t="s">
        <v>2636</v>
      </c>
      <c r="C619" s="535"/>
      <c r="D619" s="1288" t="s">
        <v>1228</v>
      </c>
      <c r="E619" s="1288"/>
      <c r="F619" s="1288"/>
      <c r="I619" s="436" t="s">
        <v>2228</v>
      </c>
    </row>
    <row r="620" spans="1:9">
      <c r="C620" s="535"/>
      <c r="D620" s="1288"/>
      <c r="E620" s="1288"/>
      <c r="F620" s="1288"/>
      <c r="I620" s="1068" t="s">
        <v>2229</v>
      </c>
    </row>
    <row r="621" spans="1:9">
      <c r="C621" s="535"/>
    </row>
    <row r="622" spans="1:9">
      <c r="A622" s="1278" t="s">
        <v>1123</v>
      </c>
      <c r="B622" s="1278"/>
      <c r="C622" s="1278"/>
      <c r="D622" s="1278"/>
      <c r="E622" s="1278"/>
      <c r="F622" s="1278"/>
      <c r="G622" s="1278"/>
      <c r="H622" s="1071"/>
      <c r="I622" s="1072"/>
    </row>
    <row r="623" spans="1:9">
      <c r="A623" s="517"/>
      <c r="B623" s="517"/>
      <c r="C623" s="517"/>
    </row>
    <row r="624" spans="1:9">
      <c r="C624" s="525"/>
      <c r="D624" s="1289" t="s">
        <v>1229</v>
      </c>
      <c r="E624" s="1289"/>
      <c r="F624" s="1289"/>
    </row>
    <row r="625" spans="1:9">
      <c r="A625" s="525"/>
      <c r="B625" s="525"/>
      <c r="D625" s="436"/>
    </row>
    <row r="626" spans="1:9" ht="14.25" customHeight="1">
      <c r="A626" s="519"/>
      <c r="B626" s="520" t="s">
        <v>2735</v>
      </c>
      <c r="D626" s="1332" t="s">
        <v>2464</v>
      </c>
      <c r="E626" s="1332"/>
      <c r="F626" s="1332"/>
      <c r="I626" s="436" t="s">
        <v>2208</v>
      </c>
    </row>
    <row r="627" spans="1:9">
      <c r="D627" s="1332"/>
      <c r="E627" s="1332"/>
      <c r="F627" s="1332"/>
    </row>
    <row r="628" spans="1:9">
      <c r="D628" s="417"/>
      <c r="E628" s="1080" t="s">
        <v>2293</v>
      </c>
      <c r="F628" s="417"/>
    </row>
    <row r="629" spans="1:9">
      <c r="D629" s="1290" t="s">
        <v>2292</v>
      </c>
      <c r="E629" s="1290"/>
      <c r="F629" s="1290"/>
    </row>
    <row r="630" spans="1:9">
      <c r="D630" s="1290"/>
      <c r="E630" s="1290"/>
      <c r="F630" s="1290"/>
    </row>
    <row r="631" spans="1:9">
      <c r="D631" s="1290"/>
      <c r="E631" s="1290"/>
      <c r="F631" s="1290"/>
    </row>
    <row r="632" spans="1:9">
      <c r="D632" s="480"/>
      <c r="E632" s="480"/>
      <c r="F632" s="480"/>
    </row>
    <row r="633" spans="1:9" ht="14.25">
      <c r="A633" s="519"/>
      <c r="B633" s="520" t="s">
        <v>2636</v>
      </c>
      <c r="D633" s="1290" t="s">
        <v>1231</v>
      </c>
      <c r="E633" s="1290"/>
      <c r="F633" s="1290"/>
      <c r="I633" s="436" t="s">
        <v>2230</v>
      </c>
    </row>
    <row r="634" spans="1:9">
      <c r="A634" s="522"/>
      <c r="B634" s="522"/>
      <c r="C634" s="522"/>
      <c r="D634" s="1290"/>
      <c r="E634" s="1290"/>
      <c r="F634" s="1290"/>
    </row>
    <row r="635" spans="1:9">
      <c r="A635" s="522"/>
      <c r="B635" s="522"/>
      <c r="C635" s="522"/>
      <c r="D635" s="481"/>
      <c r="E635" s="481"/>
      <c r="F635" s="481"/>
    </row>
    <row r="636" spans="1:9" ht="14.25">
      <c r="A636" s="519"/>
      <c r="B636" s="520" t="s">
        <v>2636</v>
      </c>
      <c r="C636" s="522"/>
      <c r="D636" s="1290" t="s">
        <v>1373</v>
      </c>
      <c r="E636" s="1290"/>
      <c r="F636" s="1290"/>
      <c r="I636" s="436" t="s">
        <v>2181</v>
      </c>
    </row>
    <row r="637" spans="1:9" ht="14.25">
      <c r="A637" s="519"/>
      <c r="B637" s="519"/>
      <c r="C637" s="522"/>
      <c r="D637" s="1290"/>
      <c r="E637" s="1290"/>
      <c r="F637" s="1290"/>
    </row>
    <row r="638" spans="1:9" ht="14.25">
      <c r="A638" s="519"/>
      <c r="B638" s="519"/>
      <c r="C638" s="522"/>
      <c r="D638" s="1290"/>
      <c r="E638" s="1290"/>
      <c r="F638" s="1290"/>
    </row>
    <row r="639" spans="1:9">
      <c r="A639" s="522"/>
      <c r="B639" s="520" t="s">
        <v>2636</v>
      </c>
      <c r="C639" s="522"/>
      <c r="D639" s="1291" t="s">
        <v>1233</v>
      </c>
      <c r="E639" s="1291"/>
      <c r="F639" s="1291"/>
      <c r="I639" s="436" t="s">
        <v>2181</v>
      </c>
    </row>
    <row r="640" spans="1:9">
      <c r="A640" s="522"/>
      <c r="B640" s="522"/>
      <c r="C640" s="522"/>
      <c r="D640" s="481"/>
      <c r="E640" s="481"/>
      <c r="F640" s="481"/>
    </row>
    <row r="641" spans="1:9">
      <c r="A641" s="1278" t="s">
        <v>1124</v>
      </c>
      <c r="B641" s="1278"/>
      <c r="C641" s="1278"/>
      <c r="D641" s="1278"/>
      <c r="E641" s="1278"/>
      <c r="F641" s="1278"/>
      <c r="G641" s="1278"/>
      <c r="H641" s="1071"/>
      <c r="I641" s="1072"/>
    </row>
    <row r="642" spans="1:9">
      <c r="A642" s="481"/>
      <c r="B642" s="481"/>
      <c r="C642" s="522"/>
      <c r="D642" s="481"/>
      <c r="E642" s="481"/>
      <c r="F642" s="481"/>
    </row>
    <row r="643" spans="1:9">
      <c r="C643" s="517"/>
      <c r="D643" s="1289" t="s">
        <v>1283</v>
      </c>
      <c r="E643" s="1289"/>
      <c r="F643" s="1289"/>
    </row>
    <row r="644" spans="1:9">
      <c r="A644" s="518"/>
      <c r="B644" s="518"/>
      <c r="C644" s="518"/>
      <c r="D644" s="1291" t="s">
        <v>1284</v>
      </c>
      <c r="E644" s="1291"/>
      <c r="F644" s="1291"/>
    </row>
    <row r="645" spans="1:9">
      <c r="A645" s="518"/>
      <c r="B645" s="518"/>
      <c r="C645" s="518"/>
      <c r="D645" s="481"/>
      <c r="E645" s="481"/>
      <c r="F645" s="481"/>
    </row>
    <row r="646" spans="1:9" ht="12.75" customHeight="1">
      <c r="B646" s="520" t="s">
        <v>2636</v>
      </c>
      <c r="C646" s="522"/>
      <c r="D646" s="1290" t="s">
        <v>1446</v>
      </c>
      <c r="E646" s="1290"/>
      <c r="F646" s="1290"/>
      <c r="I646" s="436" t="s">
        <v>2233</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2636</v>
      </c>
      <c r="C651" s="522"/>
      <c r="D651" s="1290" t="s">
        <v>1448</v>
      </c>
      <c r="E651" s="1290"/>
      <c r="F651" s="1290"/>
      <c r="I651" s="436" t="s">
        <v>2233</v>
      </c>
    </row>
    <row r="652" spans="1:9" ht="14.25">
      <c r="A652" s="518"/>
      <c r="B652" s="519"/>
      <c r="C652" s="522"/>
      <c r="D652" s="1290"/>
      <c r="E652" s="1290"/>
      <c r="F652" s="1290"/>
    </row>
    <row r="653" spans="1:9" ht="14.25">
      <c r="A653" s="518"/>
      <c r="B653" s="519"/>
      <c r="C653" s="522"/>
      <c r="D653" s="1290"/>
      <c r="E653" s="1290"/>
      <c r="F653" s="1290"/>
    </row>
    <row r="654" spans="1:9" ht="14.25">
      <c r="A654" s="518"/>
      <c r="B654" s="519"/>
      <c r="C654" s="522"/>
      <c r="D654" s="1290"/>
      <c r="E654" s="1290"/>
      <c r="F654" s="1290"/>
    </row>
    <row r="655" spans="1:9" ht="14.25">
      <c r="A655" s="518"/>
      <c r="B655" s="519"/>
      <c r="C655" s="522"/>
      <c r="D655" s="1290"/>
      <c r="E655" s="1290"/>
      <c r="F655" s="1290"/>
    </row>
    <row r="656" spans="1:9" ht="14.25" customHeight="1">
      <c r="A656" s="518"/>
      <c r="B656" s="519"/>
      <c r="C656" s="522"/>
      <c r="F656" s="418"/>
    </row>
    <row r="657" spans="1:11" ht="12.75" customHeight="1">
      <c r="A657" s="518"/>
      <c r="B657" s="520" t="s">
        <v>2636</v>
      </c>
      <c r="C657" s="522"/>
      <c r="D657" s="1290" t="s">
        <v>1447</v>
      </c>
      <c r="E657" s="1290"/>
      <c r="F657" s="1290"/>
      <c r="I657" s="436" t="s">
        <v>2233</v>
      </c>
    </row>
    <row r="658" spans="1:11" ht="14.25">
      <c r="A658" s="518"/>
      <c r="B658" s="519"/>
      <c r="C658" s="522"/>
      <c r="D658" s="1290"/>
      <c r="E658" s="1290"/>
      <c r="F658" s="1290"/>
    </row>
    <row r="659" spans="1:11" ht="14.25">
      <c r="A659" s="519"/>
      <c r="B659" s="519"/>
      <c r="C659" s="522"/>
      <c r="D659" s="1290"/>
      <c r="E659" s="1290"/>
      <c r="F659" s="1290"/>
    </row>
    <row r="660" spans="1:11" ht="14.25">
      <c r="A660" s="519"/>
      <c r="B660" s="519"/>
      <c r="C660" s="522"/>
      <c r="D660" s="1290"/>
      <c r="E660" s="1290"/>
      <c r="F660" s="1290"/>
    </row>
    <row r="661" spans="1:11" ht="14.25">
      <c r="A661" s="519"/>
      <c r="B661" s="519"/>
      <c r="C661" s="522"/>
      <c r="D661" s="480"/>
      <c r="E661" s="480"/>
      <c r="F661" s="480"/>
    </row>
    <row r="662" spans="1:11" ht="12.75" customHeight="1">
      <c r="A662" s="518"/>
      <c r="B662" s="520" t="s">
        <v>2636</v>
      </c>
      <c r="C662" s="522"/>
      <c r="D662" s="1290" t="s">
        <v>2465</v>
      </c>
      <c r="E662" s="1290"/>
      <c r="F662" s="1290"/>
      <c r="I662" s="436" t="s">
        <v>2233</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1125</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1161</v>
      </c>
      <c r="E676" s="1291"/>
      <c r="F676" s="1291"/>
      <c r="H676" s="536"/>
      <c r="I676" s="1065"/>
      <c r="J676" s="536"/>
      <c r="K676" s="536"/>
    </row>
    <row r="677" spans="1:11">
      <c r="A677" s="518"/>
      <c r="B677" s="518"/>
      <c r="C677" s="518"/>
      <c r="H677" s="536"/>
      <c r="I677" s="1065"/>
      <c r="J677" s="536"/>
      <c r="K677" s="536"/>
    </row>
    <row r="678" spans="1:11" ht="14.25">
      <c r="A678" s="519"/>
      <c r="B678" s="520" t="s">
        <v>2735</v>
      </c>
      <c r="C678" s="518"/>
      <c r="D678" s="1291" t="s">
        <v>916</v>
      </c>
      <c r="E678" s="1291"/>
      <c r="F678" s="1291"/>
      <c r="H678" s="536"/>
      <c r="I678" s="1065" t="s">
        <v>2209</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2636</v>
      </c>
      <c r="C683" s="518"/>
      <c r="D683" s="1290" t="s">
        <v>2466</v>
      </c>
      <c r="E683" s="1290"/>
      <c r="F683" s="1290"/>
      <c r="H683" s="536"/>
      <c r="I683" s="1065" t="s">
        <v>2231</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2210</v>
      </c>
      <c r="J686" s="536"/>
      <c r="K686" s="536"/>
    </row>
    <row r="687" spans="1:11" ht="14.25">
      <c r="A687" s="519"/>
      <c r="B687" s="520" t="s">
        <v>2735</v>
      </c>
      <c r="C687" s="518"/>
      <c r="D687" s="1291" t="s">
        <v>955</v>
      </c>
      <c r="E687" s="1291"/>
      <c r="F687" s="1291"/>
      <c r="H687" s="536"/>
      <c r="I687" s="1065"/>
      <c r="J687" s="536"/>
      <c r="K687" s="536"/>
    </row>
    <row r="688" spans="1:11" ht="14.25">
      <c r="A688" s="519"/>
      <c r="B688" s="519"/>
      <c r="C688" s="518"/>
      <c r="D688" s="1291" t="s">
        <v>927</v>
      </c>
      <c r="E688" s="1291"/>
      <c r="F688" s="1291"/>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2636</v>
      </c>
      <c r="C691" s="518"/>
      <c r="D691" s="1290" t="s">
        <v>1174</v>
      </c>
      <c r="E691" s="1290"/>
      <c r="F691" s="1290"/>
      <c r="H691" s="536"/>
      <c r="I691" s="1065" t="s">
        <v>2182</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2636</v>
      </c>
      <c r="C698" s="518"/>
      <c r="D698" s="1290" t="s">
        <v>1345</v>
      </c>
      <c r="E698" s="1290"/>
      <c r="F698" s="1290"/>
      <c r="H698" s="536"/>
      <c r="I698" s="1065" t="s">
        <v>2182</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25">
      <c r="A701" s="519"/>
      <c r="B701" s="520" t="s">
        <v>2636</v>
      </c>
      <c r="C701" s="518"/>
      <c r="D701" s="1290" t="s">
        <v>1165</v>
      </c>
      <c r="E701" s="1290"/>
      <c r="F701" s="1290"/>
      <c r="H701" s="536"/>
      <c r="I701" s="1065" t="s">
        <v>2182</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2636</v>
      </c>
      <c r="C714" s="518"/>
      <c r="D714" s="1290" t="s">
        <v>1172</v>
      </c>
      <c r="E714" s="1290"/>
      <c r="F714" s="1290"/>
      <c r="H714" s="536"/>
      <c r="I714" s="1065" t="s">
        <v>2232</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2636</v>
      </c>
      <c r="C717" s="518"/>
      <c r="D717" s="1290" t="s">
        <v>1166</v>
      </c>
      <c r="E717" s="1290"/>
      <c r="F717" s="1290"/>
      <c r="H717" s="536"/>
      <c r="I717" s="1065" t="s">
        <v>2232</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2636</v>
      </c>
      <c r="C721" s="518"/>
      <c r="D721" s="1290" t="s">
        <v>1167</v>
      </c>
      <c r="E721" s="1290"/>
      <c r="F721" s="1290"/>
      <c r="H721" s="536"/>
      <c r="I721" s="1065" t="s">
        <v>2232</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25">
      <c r="A725" s="519"/>
      <c r="B725" s="520" t="s">
        <v>2636</v>
      </c>
      <c r="C725" s="518"/>
      <c r="D725" s="1290" t="s">
        <v>1168</v>
      </c>
      <c r="E725" s="1290"/>
      <c r="F725" s="1290"/>
      <c r="H725" s="536"/>
      <c r="I725" s="1065" t="s">
        <v>2183</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25">
      <c r="A730" s="519"/>
      <c r="B730" s="520" t="s">
        <v>2636</v>
      </c>
      <c r="C730" s="518"/>
      <c r="D730" s="1290" t="s">
        <v>2621</v>
      </c>
      <c r="E730" s="1290"/>
      <c r="F730" s="1290"/>
      <c r="H730" s="536"/>
      <c r="I730" s="1065" t="s">
        <v>2199</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2475</v>
      </c>
      <c r="E737" s="1307"/>
      <c r="F737" s="1307"/>
      <c r="H737" s="536"/>
      <c r="I737" s="1065"/>
      <c r="J737" s="536"/>
      <c r="K737" s="536"/>
    </row>
    <row r="738" spans="1:11">
      <c r="A738" s="518"/>
      <c r="B738" s="518"/>
      <c r="C738" s="518"/>
      <c r="D738" s="370"/>
      <c r="H738" s="536"/>
      <c r="I738" s="1065"/>
      <c r="J738" s="536"/>
      <c r="K738" s="536"/>
    </row>
    <row r="739" spans="1:11">
      <c r="A739" s="1309" t="s">
        <v>1126</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 customHeight="1">
      <c r="C741" s="518"/>
      <c r="D741" s="1292" t="s">
        <v>1142</v>
      </c>
      <c r="E741" s="1292"/>
      <c r="F741" s="1292"/>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2735</v>
      </c>
      <c r="D744" s="1290" t="s">
        <v>1144</v>
      </c>
      <c r="E744" s="1290"/>
      <c r="F744" s="1290"/>
      <c r="G744" s="536"/>
      <c r="H744" s="536"/>
      <c r="I744" s="1065" t="s">
        <v>2184</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25">
      <c r="A751" s="538"/>
      <c r="B751" s="520" t="s">
        <v>2636</v>
      </c>
      <c r="C751" s="539"/>
      <c r="D751" s="1290" t="s">
        <v>1390</v>
      </c>
      <c r="E751" s="1290"/>
      <c r="F751" s="1290"/>
      <c r="I751" s="1066" t="s">
        <v>2184</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25">
      <c r="A756" s="519"/>
      <c r="B756" s="520" t="s">
        <v>2636</v>
      </c>
      <c r="C756" s="539"/>
      <c r="D756" s="1288" t="s">
        <v>1391</v>
      </c>
      <c r="E756" s="1288"/>
      <c r="F756" s="1288"/>
      <c r="I756" s="1066" t="s">
        <v>2185</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25">
      <c r="A760" s="519"/>
      <c r="B760" s="520" t="s">
        <v>2636</v>
      </c>
      <c r="D760" s="1290" t="s">
        <v>1342</v>
      </c>
      <c r="E760" s="1290"/>
      <c r="F760" s="1290"/>
      <c r="G760" s="536"/>
      <c r="H760" s="536"/>
      <c r="I760" s="1065" t="s">
        <v>2184</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2636</v>
      </c>
      <c r="D763" s="1290" t="s">
        <v>1359</v>
      </c>
      <c r="E763" s="1290"/>
      <c r="F763" s="1290"/>
      <c r="G763" s="536"/>
      <c r="H763" s="536"/>
      <c r="I763" s="1065" t="s">
        <v>2184</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2064</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2118</v>
      </c>
      <c r="E769" s="1343"/>
      <c r="F769" s="1343"/>
      <c r="G769" s="3"/>
    </row>
    <row r="770" spans="1:9">
      <c r="A770" s="57"/>
      <c r="B770" s="57"/>
      <c r="C770" s="386"/>
      <c r="D770" s="1276" t="s">
        <v>2017</v>
      </c>
      <c r="E770" s="1276"/>
      <c r="F770" s="1276"/>
      <c r="G770" s="3"/>
    </row>
    <row r="771" spans="1:9">
      <c r="A771" s="57"/>
      <c r="B771" s="57"/>
      <c r="C771" s="386"/>
      <c r="D771" s="482"/>
      <c r="E771" s="482"/>
      <c r="F771" s="482"/>
      <c r="G771" s="3"/>
    </row>
    <row r="772" spans="1:9">
      <c r="A772" s="57"/>
      <c r="B772" s="520" t="s">
        <v>2735</v>
      </c>
      <c r="C772" s="386"/>
      <c r="D772" s="1303" t="s">
        <v>2018</v>
      </c>
      <c r="E772" s="1303"/>
      <c r="F772" s="1303"/>
      <c r="G772" s="3"/>
      <c r="I772" s="1065" t="s">
        <v>2234</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2636</v>
      </c>
      <c r="C776" s="172"/>
      <c r="D776" s="1303" t="s">
        <v>2019</v>
      </c>
      <c r="E776" s="1303"/>
      <c r="F776" s="1303"/>
      <c r="G776" s="3"/>
      <c r="I776" s="1065" t="s">
        <v>2234</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25">
      <c r="A780" s="176"/>
      <c r="B780" s="520" t="s">
        <v>2636</v>
      </c>
      <c r="C780" s="1026"/>
      <c r="D780" s="1303" t="s">
        <v>2020</v>
      </c>
      <c r="E780" s="1303"/>
      <c r="F780" s="1303"/>
      <c r="G780" s="1025"/>
      <c r="I780" s="1065" t="s">
        <v>2234</v>
      </c>
    </row>
    <row r="781" spans="1:9" ht="14.25">
      <c r="A781" s="176"/>
      <c r="B781" s="176"/>
      <c r="C781" s="1026"/>
      <c r="D781" s="1303"/>
      <c r="E781" s="1303"/>
      <c r="F781" s="1303"/>
      <c r="G781" s="1025"/>
    </row>
    <row r="782" spans="1:9" ht="14.25">
      <c r="A782" s="176"/>
      <c r="B782" s="176"/>
      <c r="C782" s="1026"/>
      <c r="D782" s="1303"/>
      <c r="E782" s="1303"/>
      <c r="F782" s="1303"/>
      <c r="G782" s="1025"/>
    </row>
    <row r="783" spans="1:9" ht="14.25">
      <c r="A783" s="176"/>
      <c r="B783" s="176"/>
      <c r="C783" s="1026"/>
      <c r="D783" s="118"/>
      <c r="E783" s="3"/>
      <c r="F783" s="3"/>
      <c r="G783" s="1025"/>
    </row>
    <row r="784" spans="1:9" ht="14.25">
      <c r="A784" s="176"/>
      <c r="B784" s="520" t="s">
        <v>2636</v>
      </c>
      <c r="C784" s="1026"/>
      <c r="D784" s="1303" t="s">
        <v>2021</v>
      </c>
      <c r="E784" s="1303"/>
      <c r="F784" s="1303"/>
      <c r="G784" s="1025"/>
      <c r="I784" s="1065" t="s">
        <v>2234</v>
      </c>
    </row>
    <row r="785" spans="1:9" ht="14.25">
      <c r="A785" s="176"/>
      <c r="B785" s="176"/>
      <c r="C785" s="1026"/>
      <c r="D785" s="1303"/>
      <c r="E785" s="1303"/>
      <c r="F785" s="1303"/>
      <c r="G785" s="1025"/>
    </row>
    <row r="786" spans="1:9" ht="14.25">
      <c r="A786" s="176"/>
      <c r="B786" s="176"/>
      <c r="C786" s="1026"/>
      <c r="D786" s="1303"/>
      <c r="E786" s="1303"/>
      <c r="F786" s="1303"/>
      <c r="G786" s="1025"/>
    </row>
    <row r="787" spans="1:9" ht="14.25">
      <c r="A787" s="176"/>
      <c r="B787" s="176"/>
      <c r="C787" s="1026"/>
      <c r="D787" s="1303"/>
      <c r="E787" s="1303"/>
      <c r="F787" s="1303"/>
      <c r="G787" s="1025"/>
    </row>
    <row r="788" spans="1:9" ht="14.25">
      <c r="A788" s="176"/>
      <c r="B788" s="176"/>
      <c r="C788" s="1026"/>
      <c r="D788" s="1303"/>
      <c r="E788" s="1303"/>
      <c r="F788" s="1303"/>
      <c r="G788" s="1025"/>
    </row>
    <row r="789" spans="1:9" ht="14.25">
      <c r="A789" s="176"/>
      <c r="B789" s="176"/>
      <c r="C789" s="1026"/>
      <c r="D789" s="1303"/>
      <c r="E789" s="1303"/>
      <c r="F789" s="1303"/>
      <c r="G789" s="1025"/>
    </row>
    <row r="790" spans="1:9" ht="14.25">
      <c r="A790" s="176"/>
      <c r="B790" s="176"/>
      <c r="C790" s="1026"/>
      <c r="D790" s="1303" t="s">
        <v>2065</v>
      </c>
      <c r="E790" s="1303"/>
      <c r="F790" s="1303"/>
      <c r="G790" s="1025"/>
    </row>
    <row r="791" spans="1:9" ht="14.25">
      <c r="A791" s="176"/>
      <c r="B791" s="176"/>
      <c r="C791" s="1026"/>
      <c r="D791" s="1303"/>
      <c r="E791" s="1303"/>
      <c r="F791" s="1303"/>
      <c r="G791" s="1025"/>
    </row>
    <row r="792" spans="1:9" ht="14.25">
      <c r="A792" s="176"/>
      <c r="B792" s="176"/>
      <c r="C792" s="1026"/>
      <c r="D792" s="1303"/>
      <c r="E792" s="1303"/>
      <c r="F792" s="1303"/>
      <c r="G792" s="1025"/>
    </row>
    <row r="793" spans="1:9" ht="14.25">
      <c r="A793" s="176"/>
      <c r="B793" s="386"/>
      <c r="C793" s="1026"/>
      <c r="D793" s="1027"/>
      <c r="E793" s="1027"/>
      <c r="F793" s="1027"/>
      <c r="G793" s="1025"/>
    </row>
    <row r="794" spans="1:9" ht="14.25">
      <c r="A794" s="176"/>
      <c r="B794" s="520" t="s">
        <v>2636</v>
      </c>
      <c r="C794" s="1026"/>
      <c r="D794" s="1303" t="s">
        <v>2022</v>
      </c>
      <c r="E794" s="1303"/>
      <c r="F794" s="1303"/>
      <c r="G794" s="1025"/>
      <c r="I794" s="1065" t="s">
        <v>2234</v>
      </c>
    </row>
    <row r="795" spans="1:9" ht="14.25">
      <c r="A795" s="176"/>
      <c r="B795" s="176"/>
      <c r="C795" s="1026"/>
      <c r="D795" s="1303"/>
      <c r="E795" s="1303"/>
      <c r="F795" s="1303"/>
      <c r="G795" s="1025"/>
    </row>
    <row r="796" spans="1:9" ht="14.25">
      <c r="A796" s="176"/>
      <c r="B796" s="176"/>
      <c r="C796" s="1026"/>
      <c r="D796" s="1303"/>
      <c r="E796" s="1303"/>
      <c r="F796" s="1303"/>
      <c r="G796" s="1025"/>
    </row>
    <row r="797" spans="1:9" ht="14.25">
      <c r="A797" s="176"/>
      <c r="B797" s="176"/>
      <c r="C797" s="1026"/>
      <c r="D797" s="1303"/>
      <c r="E797" s="1303"/>
      <c r="F797" s="1303"/>
      <c r="G797" s="1025"/>
    </row>
    <row r="798" spans="1:9" ht="14.25">
      <c r="A798" s="176"/>
      <c r="B798" s="176"/>
      <c r="C798" s="1026"/>
      <c r="D798" s="1303"/>
      <c r="E798" s="1303"/>
      <c r="F798" s="1303"/>
      <c r="G798" s="1025"/>
    </row>
    <row r="799" spans="1:9" ht="14.25">
      <c r="A799" s="176"/>
      <c r="B799" s="176"/>
      <c r="C799" s="1026"/>
      <c r="D799" s="1303"/>
      <c r="E799" s="1303"/>
      <c r="F799" s="1303"/>
      <c r="G799" s="1025"/>
    </row>
    <row r="800" spans="1:9" ht="14.25">
      <c r="A800" s="176"/>
      <c r="B800" s="176"/>
      <c r="C800" s="1026"/>
      <c r="D800" s="1019"/>
      <c r="E800" s="1019"/>
      <c r="F800" s="1019"/>
      <c r="G800" s="1025"/>
    </row>
    <row r="801" spans="1:9" ht="14.25">
      <c r="A801" s="176"/>
      <c r="B801" s="520" t="s">
        <v>2636</v>
      </c>
      <c r="C801" s="1026"/>
      <c r="D801" s="1303" t="s">
        <v>2023</v>
      </c>
      <c r="E801" s="1303"/>
      <c r="F801" s="1303"/>
      <c r="G801" s="1025"/>
      <c r="I801" s="1065" t="s">
        <v>2234</v>
      </c>
    </row>
    <row r="802" spans="1:9" ht="14.25">
      <c r="A802" s="176"/>
      <c r="B802" s="176"/>
      <c r="C802" s="1026"/>
      <c r="D802" s="1303"/>
      <c r="E802" s="1303"/>
      <c r="F802" s="1303"/>
      <c r="G802" s="1025"/>
    </row>
    <row r="803" spans="1:9" ht="14.25">
      <c r="A803" s="176"/>
      <c r="B803" s="176"/>
      <c r="C803" s="1026"/>
      <c r="D803" s="1303"/>
      <c r="E803" s="1303"/>
      <c r="F803" s="1303"/>
      <c r="G803" s="1025"/>
    </row>
    <row r="804" spans="1:9" ht="14.25">
      <c r="A804" s="176"/>
      <c r="B804" s="176"/>
      <c r="C804" s="1026"/>
      <c r="D804" s="1303"/>
      <c r="E804" s="1303"/>
      <c r="F804" s="1303"/>
      <c r="G804" s="1025"/>
    </row>
    <row r="805" spans="1:9" ht="14.25">
      <c r="A805" s="176"/>
      <c r="B805" s="176"/>
      <c r="C805" s="1026"/>
      <c r="D805" s="1303"/>
      <c r="E805" s="1303"/>
      <c r="F805" s="1303"/>
      <c r="G805" s="1025"/>
    </row>
    <row r="806" spans="1:9" ht="14.25">
      <c r="A806" s="176"/>
      <c r="B806" s="176"/>
      <c r="C806" s="1026"/>
      <c r="D806" s="1303"/>
      <c r="E806" s="1303"/>
      <c r="F806" s="1303"/>
      <c r="G806" s="1025"/>
    </row>
    <row r="807" spans="1:9" ht="14.25">
      <c r="A807" s="176"/>
      <c r="B807" s="176"/>
      <c r="C807" s="1026"/>
      <c r="D807" s="1019"/>
      <c r="E807" s="1019"/>
      <c r="F807" s="1019"/>
      <c r="G807" s="1025"/>
    </row>
    <row r="808" spans="1:9" ht="14.25">
      <c r="A808" s="176"/>
      <c r="B808" s="520" t="s">
        <v>2636</v>
      </c>
      <c r="C808" s="1026"/>
      <c r="D808" s="1300" t="s">
        <v>2024</v>
      </c>
      <c r="E808" s="1300"/>
      <c r="F808" s="1300"/>
      <c r="G808" s="1025"/>
      <c r="I808" s="1065" t="s">
        <v>2234</v>
      </c>
    </row>
    <row r="809" spans="1:9" ht="14.25">
      <c r="A809" s="176"/>
      <c r="B809" s="176"/>
      <c r="C809" s="1026"/>
      <c r="D809" s="1300"/>
      <c r="E809" s="1300"/>
      <c r="F809" s="1300"/>
      <c r="G809" s="1025"/>
    </row>
    <row r="810" spans="1:9">
      <c r="A810" s="13"/>
      <c r="B810" s="13"/>
      <c r="C810" s="1026"/>
      <c r="D810" s="1300"/>
      <c r="E810" s="1300"/>
      <c r="F810" s="1300"/>
      <c r="G810" s="1025"/>
    </row>
    <row r="811" spans="1:9" ht="14.25">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2025</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2066</v>
      </c>
      <c r="E817" s="1296"/>
      <c r="F817" s="1296"/>
      <c r="G817" s="3"/>
    </row>
    <row r="818" spans="1:9" ht="14.25" customHeight="1">
      <c r="A818" s="176"/>
      <c r="B818" s="176"/>
      <c r="C818" s="386"/>
      <c r="D818" s="1263" t="s">
        <v>2026</v>
      </c>
      <c r="E818" s="1263"/>
      <c r="F818" s="1263"/>
      <c r="G818" s="3"/>
    </row>
    <row r="819" spans="1:9" ht="12.75" customHeight="1">
      <c r="A819" s="176"/>
      <c r="B819" s="176"/>
      <c r="C819" s="386"/>
      <c r="D819" s="475"/>
      <c r="E819" s="475"/>
      <c r="F819" s="475"/>
      <c r="G819" s="3"/>
    </row>
    <row r="820" spans="1:9" ht="12.75" customHeight="1">
      <c r="A820" s="386"/>
      <c r="B820" s="520" t="s">
        <v>2735</v>
      </c>
      <c r="C820" s="1026"/>
      <c r="D820" s="1263" t="s">
        <v>2027</v>
      </c>
      <c r="E820" s="1263"/>
      <c r="F820" s="1263"/>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1" t="s">
        <v>2476</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2735</v>
      </c>
      <c r="C834" s="1026"/>
      <c r="D834" s="1263" t="s">
        <v>2028</v>
      </c>
      <c r="E834" s="1263"/>
      <c r="F834" s="1263"/>
      <c r="G834" s="3"/>
      <c r="I834" s="436" t="s">
        <v>2220</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2636</v>
      </c>
      <c r="C838" s="1026"/>
      <c r="D838" s="1296" t="s">
        <v>2029</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2467</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2636</v>
      </c>
      <c r="C847" s="1026"/>
      <c r="D847" s="1263" t="s">
        <v>2030</v>
      </c>
      <c r="E847" s="1263"/>
      <c r="F847" s="1263"/>
      <c r="G847" s="3"/>
      <c r="I847" s="436" t="s">
        <v>2203</v>
      </c>
    </row>
    <row r="848" spans="1:9" ht="12.75" customHeight="1">
      <c r="A848" s="176"/>
      <c r="B848" s="176"/>
      <c r="C848" s="1026"/>
      <c r="D848" s="1263" t="s">
        <v>2031</v>
      </c>
      <c r="E848" s="1263"/>
      <c r="F848" s="1263"/>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2636</v>
      </c>
      <c r="C851" s="1026"/>
      <c r="D851" s="1263" t="s">
        <v>2032</v>
      </c>
      <c r="E851" s="1263"/>
      <c r="F851" s="1263"/>
      <c r="G851" s="3"/>
      <c r="I851" s="436" t="s">
        <v>2221</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0" t="s">
        <v>2034</v>
      </c>
      <c r="E859" s="1330"/>
      <c r="F859" s="1330"/>
      <c r="G859" s="1025"/>
    </row>
    <row r="860" spans="1:9" ht="12.75" customHeight="1">
      <c r="A860" s="386"/>
      <c r="B860" s="386"/>
      <c r="C860" s="175"/>
      <c r="D860" s="1032"/>
      <c r="E860" s="1032"/>
      <c r="F860" s="1032"/>
      <c r="G860" s="1025"/>
    </row>
    <row r="861" spans="1:9" ht="12.75" customHeight="1">
      <c r="A861" s="176"/>
      <c r="B861" s="520" t="s">
        <v>2735</v>
      </c>
      <c r="C861" s="386"/>
      <c r="D861" s="1274" t="s">
        <v>2035</v>
      </c>
      <c r="E861" s="1274"/>
      <c r="F861" s="1274"/>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2735</v>
      </c>
      <c r="C864" s="386"/>
      <c r="D864" s="1263" t="s">
        <v>2036</v>
      </c>
      <c r="E864" s="1281"/>
      <c r="F864" s="1281"/>
      <c r="G864" s="3"/>
      <c r="I864" s="436" t="s">
        <v>2221</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2636</v>
      </c>
      <c r="C867" s="386"/>
      <c r="D867" s="1328" t="s">
        <v>2037</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2467</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2636</v>
      </c>
      <c r="C876" s="386"/>
      <c r="D876" s="1306" t="s">
        <v>2030</v>
      </c>
      <c r="E876" s="1306"/>
      <c r="F876" s="1306"/>
      <c r="G876" s="1025"/>
      <c r="I876" s="436" t="s">
        <v>2203</v>
      </c>
    </row>
    <row r="877" spans="1:9" ht="12.75" customHeight="1">
      <c r="A877" s="176"/>
      <c r="B877" s="176"/>
      <c r="C877" s="386"/>
      <c r="D877" s="1306" t="s">
        <v>2031</v>
      </c>
      <c r="E877" s="1306"/>
      <c r="F877" s="1306"/>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2636</v>
      </c>
      <c r="C880" s="386"/>
      <c r="D880" s="1263" t="s">
        <v>2032</v>
      </c>
      <c r="E880" s="1263"/>
      <c r="F880" s="1263"/>
      <c r="G880" s="1025"/>
      <c r="I880" s="436" t="s">
        <v>2221</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2068</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2074</v>
      </c>
      <c r="E887" s="1302"/>
      <c r="F887" s="1302"/>
      <c r="G887" s="57"/>
    </row>
    <row r="888" spans="1:9" ht="12.75" customHeight="1">
      <c r="A888" s="57"/>
      <c r="B888" s="57"/>
      <c r="C888" s="57"/>
      <c r="D888" s="1018"/>
      <c r="E888" s="1018"/>
      <c r="F888" s="1018"/>
      <c r="G888" s="57"/>
    </row>
    <row r="889" spans="1:9" ht="12.75" customHeight="1">
      <c r="A889" s="57"/>
      <c r="B889" s="520" t="s">
        <v>2735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2" t="s">
        <v>2069</v>
      </c>
      <c r="E891" s="1302"/>
      <c r="F891" s="1302"/>
      <c r="G891" s="1025"/>
    </row>
    <row r="892" spans="1:9" ht="12.75" customHeight="1">
      <c r="A892" s="172"/>
      <c r="B892" s="172"/>
      <c r="C892" s="172"/>
      <c r="D892" s="1274" t="s">
        <v>2038</v>
      </c>
      <c r="E892" s="1274"/>
      <c r="F892" s="1274"/>
      <c r="G892" s="1025"/>
    </row>
    <row r="893" spans="1:9" ht="12.75" customHeight="1">
      <c r="A893" s="1026"/>
      <c r="B893" s="1026"/>
      <c r="C893" s="1026"/>
      <c r="D893" s="2"/>
      <c r="E893" s="1025"/>
      <c r="F893" s="1025"/>
      <c r="G893" s="1025"/>
    </row>
    <row r="894" spans="1:9" ht="12.75" customHeight="1">
      <c r="A894" s="176"/>
      <c r="B894" s="520" t="s">
        <v>2735</v>
      </c>
      <c r="C894" s="386"/>
      <c r="D894" s="1263" t="s">
        <v>2042</v>
      </c>
      <c r="E894" s="1263"/>
      <c r="F894" s="1263"/>
      <c r="G894" s="3"/>
      <c r="I894" s="436" t="s">
        <v>2187</v>
      </c>
    </row>
    <row r="895" spans="1:9" ht="12.75" customHeight="1">
      <c r="A895" s="386"/>
      <c r="B895" s="386"/>
      <c r="C895" s="386"/>
      <c r="D895" s="1263"/>
      <c r="E895" s="1263"/>
      <c r="F895" s="1263"/>
      <c r="G895" s="3"/>
    </row>
    <row r="896" spans="1:9" ht="12.75" customHeight="1">
      <c r="A896" s="172"/>
      <c r="B896" s="172"/>
      <c r="C896" s="172"/>
      <c r="D896" s="1263" t="s">
        <v>2041</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2735</v>
      </c>
      <c r="C899" s="175"/>
      <c r="D899" s="1273" t="s">
        <v>2039</v>
      </c>
      <c r="E899" s="1273"/>
      <c r="F899" s="1273"/>
      <c r="G899" s="1025"/>
      <c r="I899" s="436" t="s">
        <v>2186</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2636</v>
      </c>
      <c r="C908" s="1026"/>
      <c r="D908" s="1263" t="s">
        <v>2043</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2636</v>
      </c>
      <c r="C911" s="1026"/>
      <c r="D911" s="1300" t="s">
        <v>2044</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2636</v>
      </c>
      <c r="C916" s="1026"/>
      <c r="D916" s="1274" t="s">
        <v>2468</v>
      </c>
      <c r="E916" s="1274"/>
      <c r="F916" s="1274"/>
      <c r="G916" s="1025"/>
    </row>
    <row r="917" spans="1:9" ht="12.75" customHeight="1">
      <c r="A917" s="1026"/>
      <c r="B917" s="1026"/>
      <c r="C917" s="1026"/>
      <c r="D917" s="118"/>
      <c r="E917" s="1025"/>
      <c r="F917" s="1025"/>
      <c r="G917" s="1025"/>
    </row>
    <row r="918" spans="1:9" ht="12.75" customHeight="1">
      <c r="A918" s="1026"/>
      <c r="B918" s="520" t="s">
        <v>2636</v>
      </c>
      <c r="C918" s="1026"/>
      <c r="D918" s="1274" t="s">
        <v>2469</v>
      </c>
      <c r="E918" s="1274"/>
      <c r="F918" s="1274"/>
      <c r="G918" s="1025"/>
    </row>
    <row r="919" spans="1:9" ht="12.75" customHeight="1">
      <c r="A919" s="175"/>
      <c r="B919" s="175"/>
      <c r="C919" s="175"/>
      <c r="D919" s="2"/>
      <c r="E919" s="3"/>
      <c r="F919" s="1025"/>
      <c r="G919" s="1025"/>
    </row>
    <row r="920" spans="1:9" ht="12.75" customHeight="1">
      <c r="A920" s="1034"/>
      <c r="B920" s="520" t="s">
        <v>2636</v>
      </c>
      <c r="C920" s="1035"/>
      <c r="D920" s="1273" t="s">
        <v>2040</v>
      </c>
      <c r="E920" s="1273"/>
      <c r="F920" s="1273"/>
      <c r="G920" s="1036"/>
      <c r="I920" s="436" t="s">
        <v>2236</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2735</v>
      </c>
      <c r="C930" s="175"/>
      <c r="D930" s="1329" t="s">
        <v>2238</v>
      </c>
      <c r="E930" s="1329"/>
      <c r="F930" s="1329"/>
      <c r="G930" s="1025"/>
      <c r="I930" s="436" t="s">
        <v>2236</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2735</v>
      </c>
      <c r="C938" s="175"/>
      <c r="D938" s="1272" t="s">
        <v>2562</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2636</v>
      </c>
      <c r="C945" s="1026"/>
      <c r="D945" s="1300" t="s">
        <v>2045</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2636</v>
      </c>
      <c r="C950" s="175"/>
      <c r="D950" s="1273" t="s">
        <v>2237</v>
      </c>
      <c r="E950" s="1273"/>
      <c r="F950" s="1273"/>
      <c r="G950" s="1025"/>
      <c r="I950" s="436" t="s">
        <v>2236</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2636</v>
      </c>
      <c r="C956" s="386"/>
      <c r="D956" s="1274" t="s">
        <v>2070</v>
      </c>
      <c r="E956" s="1274"/>
      <c r="F956" s="1274"/>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2636</v>
      </c>
      <c r="C959" s="386"/>
      <c r="D959" s="1263" t="s">
        <v>2470</v>
      </c>
      <c r="E959" s="1263"/>
      <c r="F959" s="1263"/>
      <c r="G959"/>
      <c r="I959" s="436" t="s">
        <v>2236</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2048</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74" t="s">
        <v>2049</v>
      </c>
      <c r="E978" s="1274"/>
      <c r="F978" s="1274"/>
      <c r="G978" s="3"/>
    </row>
    <row r="979" spans="1:9" ht="12.75" customHeight="1">
      <c r="A979" s="172"/>
      <c r="B979" s="172"/>
      <c r="C979" s="172"/>
      <c r="D979" s="3"/>
      <c r="E979" s="3"/>
      <c r="F979" s="1025"/>
      <c r="G979"/>
    </row>
    <row r="980" spans="1:9" ht="12.75" customHeight="1">
      <c r="A980" s="386"/>
      <c r="B980" s="520" t="s">
        <v>2735</v>
      </c>
      <c r="C980" s="386"/>
      <c r="D980" s="1327" t="s">
        <v>2298</v>
      </c>
      <c r="E980" s="1327"/>
      <c r="F980" s="1327"/>
      <c r="G980"/>
      <c r="I980" s="436" t="s">
        <v>2216</v>
      </c>
    </row>
    <row r="981" spans="1:9" ht="12.75" customHeight="1">
      <c r="A981" s="386"/>
      <c r="B981" s="386"/>
      <c r="C981" s="386"/>
      <c r="D981" s="1327"/>
      <c r="E981" s="1327"/>
      <c r="F981" s="1327"/>
      <c r="G981"/>
    </row>
    <row r="982" spans="1:9" ht="12.75" customHeight="1">
      <c r="A982" s="386"/>
      <c r="B982" s="386"/>
      <c r="C982" s="386"/>
      <c r="D982" s="1082"/>
      <c r="E982" s="1080" t="s">
        <v>2299</v>
      </c>
      <c r="F982" s="1082"/>
      <c r="G982"/>
    </row>
    <row r="983" spans="1:9" ht="12.75" customHeight="1">
      <c r="A983" s="386"/>
      <c r="B983" s="386"/>
      <c r="C983" s="386"/>
      <c r="D983" s="1267" t="s">
        <v>2297</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2636</v>
      </c>
      <c r="C988" s="175"/>
      <c r="D988" s="1263" t="s">
        <v>2050</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2636</v>
      </c>
      <c r="C993" s="175"/>
      <c r="D993" s="1263" t="s">
        <v>2051</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2636</v>
      </c>
      <c r="C996" s="386"/>
      <c r="D996" s="1274" t="s">
        <v>2052</v>
      </c>
      <c r="E996" s="1274"/>
      <c r="F996" s="1274"/>
      <c r="G996"/>
    </row>
    <row r="997" spans="1:7" ht="12.75" customHeight="1">
      <c r="A997" s="386"/>
      <c r="B997" s="386"/>
      <c r="C997" s="386"/>
      <c r="D997" s="3"/>
      <c r="E997" s="3"/>
      <c r="F997" s="3"/>
      <c r="G997"/>
    </row>
    <row r="998" spans="1:7" ht="12.75" customHeight="1">
      <c r="A998" s="176"/>
      <c r="B998" s="520" t="s">
        <v>2636</v>
      </c>
      <c r="C998" s="386"/>
      <c r="D998" s="1274" t="s">
        <v>2053</v>
      </c>
      <c r="E998" s="1274"/>
      <c r="F998" s="1274"/>
      <c r="G998"/>
    </row>
    <row r="999" spans="1:7" ht="12.75" customHeight="1">
      <c r="A999" s="386"/>
      <c r="B999" s="386"/>
      <c r="C999" s="386"/>
      <c r="D999" s="118"/>
      <c r="E999" s="3"/>
      <c r="F999" s="3"/>
      <c r="G999"/>
    </row>
    <row r="1000" spans="1:7" ht="12.75" customHeight="1">
      <c r="A1000" s="176"/>
      <c r="B1000" s="520" t="s">
        <v>2735</v>
      </c>
      <c r="C1000" s="386"/>
      <c r="D1000" s="1274" t="s">
        <v>2054</v>
      </c>
      <c r="E1000" s="1274"/>
      <c r="F1000" s="1274"/>
      <c r="G1000"/>
    </row>
    <row r="1001" spans="1:7" ht="12.75" customHeight="1">
      <c r="A1001" s="386"/>
      <c r="B1001" s="386"/>
      <c r="C1001" s="386"/>
      <c r="D1001" s="118"/>
      <c r="E1001" s="3"/>
      <c r="F1001" s="3"/>
      <c r="G1001"/>
    </row>
    <row r="1002" spans="1:7" ht="12.75" customHeight="1">
      <c r="A1002" s="176"/>
      <c r="B1002" s="520" t="s">
        <v>2735</v>
      </c>
      <c r="C1002" s="386"/>
      <c r="D1002" s="1263" t="s">
        <v>2055</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2636</v>
      </c>
      <c r="C1005" s="1037"/>
      <c r="D1005" s="1303" t="s">
        <v>2056</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2636</v>
      </c>
      <c r="C1008" s="1037"/>
      <c r="D1008" s="1321" t="s">
        <v>2057</v>
      </c>
      <c r="E1008" s="1321"/>
      <c r="F1008" s="1321"/>
      <c r="G1008" s="1038"/>
    </row>
    <row r="1009" spans="1:9" ht="12.75" customHeight="1">
      <c r="A1009" s="1037"/>
      <c r="B1009" s="1037"/>
      <c r="C1009" s="1037"/>
      <c r="D1009" s="1021"/>
      <c r="E1009" s="1038"/>
      <c r="F1009" s="1038"/>
      <c r="G1009" s="1038"/>
    </row>
    <row r="1010" spans="1:9" ht="12.75" customHeight="1">
      <c r="A1010" s="176"/>
      <c r="B1010" s="520" t="s">
        <v>2636</v>
      </c>
      <c r="C1010" s="386"/>
      <c r="D1010" s="1274" t="s">
        <v>2058</v>
      </c>
      <c r="E1010" s="1274"/>
      <c r="F1010" s="1274"/>
      <c r="G1010" s="3"/>
    </row>
    <row r="1011" spans="1:9" ht="12.75" customHeight="1">
      <c r="A1011" s="176"/>
      <c r="B1011" s="176"/>
      <c r="C1011" s="386"/>
      <c r="D1011" s="118"/>
      <c r="E1011" s="3"/>
      <c r="F1011" s="3"/>
      <c r="G1011" s="3"/>
    </row>
    <row r="1012" spans="1:9" ht="12.75" customHeight="1">
      <c r="A1012" s="176"/>
      <c r="B1012" s="520" t="s">
        <v>2636</v>
      </c>
      <c r="C1012" s="386"/>
      <c r="D1012" s="1263" t="s">
        <v>2059</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2060</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2061</v>
      </c>
      <c r="E1017" s="1302"/>
      <c r="F1017" s="1302"/>
      <c r="G1017" s="3"/>
    </row>
    <row r="1018" spans="1:9" ht="12.75" customHeight="1">
      <c r="A1018" s="386"/>
      <c r="B1018" s="386"/>
      <c r="C1018" s="386"/>
      <c r="D1018" s="1321" t="s">
        <v>2062</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2076</v>
      </c>
      <c r="E1020" s="1302"/>
      <c r="F1020" s="1302"/>
      <c r="G1020" s="3"/>
      <c r="I1020" s="436" t="s">
        <v>2188</v>
      </c>
    </row>
    <row r="1021" spans="1:9" ht="12.75" customHeight="1">
      <c r="A1021" s="386"/>
      <c r="B1021" s="520" t="s">
        <v>2735</v>
      </c>
      <c r="C1021" s="386"/>
      <c r="D1021" s="1321" t="s">
        <v>1430</v>
      </c>
      <c r="E1021" s="1321"/>
      <c r="F1021" s="1321"/>
      <c r="G1021" s="3"/>
    </row>
    <row r="1022" spans="1:9" ht="12.75" customHeight="1">
      <c r="A1022" s="386"/>
      <c r="B1022" s="176"/>
      <c r="C1022" s="386"/>
      <c r="D1022" s="1321" t="s">
        <v>2063</v>
      </c>
      <c r="E1022" s="1321"/>
      <c r="F1022" s="1321"/>
      <c r="G1022" s="3"/>
    </row>
    <row r="1023" spans="1:9" ht="12.75" customHeight="1">
      <c r="A1023" s="386"/>
      <c r="B1023" s="386"/>
      <c r="C1023" s="386"/>
      <c r="D1023" s="1321"/>
      <c r="E1023" s="1321"/>
      <c r="F1023" s="1321"/>
      <c r="G1023" s="3"/>
    </row>
    <row r="1024" spans="1:9" ht="12.75" customHeight="1">
      <c r="A1024" s="1308" t="s">
        <v>2072</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hidden="1" customHeight="1">
      <c r="A1026" s="118"/>
      <c r="B1026" s="434"/>
      <c r="D1026" s="1310" t="s">
        <v>1431</v>
      </c>
      <c r="E1026" s="1310"/>
      <c r="F1026" s="1310"/>
      <c r="G1026" s="3"/>
    </row>
    <row r="1027" spans="1:9" ht="12.75" hidden="1" customHeight="1">
      <c r="A1027" s="118"/>
      <c r="B1027" s="520" t="s">
        <v>309</v>
      </c>
      <c r="D1027" s="1312" t="s">
        <v>1430</v>
      </c>
      <c r="E1027" s="1312"/>
      <c r="F1027" s="1312"/>
      <c r="G1027" s="3"/>
    </row>
    <row r="1028" spans="1:9" ht="12.75" hidden="1" customHeight="1">
      <c r="A1028" s="118"/>
      <c r="B1028" s="434"/>
      <c r="D1028" s="1312" t="s">
        <v>2073</v>
      </c>
      <c r="E1028" s="1312"/>
      <c r="F1028" s="1312"/>
      <c r="G1028" s="3"/>
    </row>
    <row r="1029" spans="1:9" ht="12.75" hidden="1" customHeight="1">
      <c r="A1029" s="118"/>
      <c r="B1029" s="434"/>
      <c r="D1029" s="479"/>
      <c r="E1029" s="479"/>
      <c r="F1029" s="479"/>
      <c r="G1029" s="3"/>
    </row>
    <row r="1030" spans="1:9" ht="12.75" customHeight="1">
      <c r="A1030" s="118"/>
      <c r="B1030" s="118"/>
      <c r="C1030" s="386"/>
      <c r="D1030" s="1322" t="s">
        <v>1133</v>
      </c>
      <c r="E1030" s="1322"/>
      <c r="F1030" s="1322"/>
      <c r="G1030" s="3"/>
      <c r="I1030" s="436" t="s">
        <v>2217</v>
      </c>
    </row>
    <row r="1031" spans="1:9" ht="12.75" customHeight="1">
      <c r="A1031" s="346"/>
      <c r="B1031" s="346"/>
      <c r="C1031" s="346"/>
      <c r="D1031" s="1306" t="s">
        <v>1150</v>
      </c>
      <c r="E1031" s="1306"/>
      <c r="F1031" s="1306"/>
      <c r="G1031" s="98"/>
    </row>
    <row r="1032" spans="1:9" ht="12.75" customHeight="1">
      <c r="A1032" s="176"/>
      <c r="B1032" s="520" t="s">
        <v>2636</v>
      </c>
      <c r="C1032" s="386"/>
      <c r="D1032" s="1306" t="s">
        <v>1027</v>
      </c>
      <c r="E1032" s="1306"/>
      <c r="F1032" s="1306"/>
      <c r="G1032" s="3"/>
    </row>
    <row r="1033" spans="1:9" ht="12.75" customHeight="1">
      <c r="A1033" s="386"/>
      <c r="B1033" s="386"/>
      <c r="C1033" s="386"/>
      <c r="D1033" s="1080" t="s">
        <v>2300</v>
      </c>
      <c r="E1033" s="96"/>
      <c r="F1033" s="96"/>
      <c r="G1033" s="3"/>
    </row>
    <row r="1034" spans="1:9">
      <c r="A1034" s="434"/>
      <c r="B1034" s="434"/>
      <c r="C1034" s="434"/>
    </row>
    <row r="1035" spans="1:9">
      <c r="A1035" s="1308" t="s">
        <v>2093</v>
      </c>
      <c r="B1035" s="1308"/>
      <c r="C1035" s="1308"/>
      <c r="D1035" s="1308"/>
      <c r="E1035" s="1308"/>
      <c r="F1035" s="1308"/>
      <c r="G1035" s="130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2636</v>
      </c>
      <c r="C1040" s="434"/>
      <c r="D1040" s="1324" t="s">
        <v>2077</v>
      </c>
      <c r="E1040" s="1324"/>
      <c r="F1040" s="1324"/>
      <c r="I1040" s="436" t="s">
        <v>2189</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2735</v>
      </c>
      <c r="C1048" s="434"/>
      <c r="D1048" s="434" t="s">
        <v>2075</v>
      </c>
      <c r="I1048" s="436" t="s">
        <v>2190</v>
      </c>
    </row>
    <row r="1049" spans="1:9">
      <c r="A1049" s="434"/>
      <c r="B1049" s="434"/>
      <c r="C1049" s="434"/>
    </row>
    <row r="1050" spans="1:9">
      <c r="A1050" s="434"/>
      <c r="B1050" s="520" t="s">
        <v>2735</v>
      </c>
      <c r="C1050" s="434"/>
      <c r="D1050" s="1324" t="s">
        <v>2081</v>
      </c>
      <c r="E1050" s="1324"/>
      <c r="F1050" s="1324"/>
      <c r="I1050" s="436" t="s">
        <v>2191</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2082</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2735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2636</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2636</v>
      </c>
      <c r="C1065" s="434"/>
      <c r="D1065" s="119" t="s">
        <v>2091</v>
      </c>
      <c r="I1065" s="436" t="s">
        <v>2194</v>
      </c>
    </row>
    <row r="1066" spans="1:9">
      <c r="A1066" s="434"/>
      <c r="B1066" s="434"/>
      <c r="C1066" s="434"/>
      <c r="D1066" s="1263" t="s">
        <v>2092</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2636</v>
      </c>
      <c r="C1073" s="434"/>
      <c r="D1073" s="1323" t="s">
        <v>2084</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2089</v>
      </c>
    </row>
    <row r="1079" spans="1:9">
      <c r="A1079" s="434"/>
      <c r="B1079" s="434"/>
      <c r="C1079" s="434"/>
    </row>
    <row r="1080" spans="1:9">
      <c r="A1080" s="1308" t="s">
        <v>2094</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2636</v>
      </c>
      <c r="C1083" s="434"/>
      <c r="D1083" s="1325" t="s">
        <v>2312</v>
      </c>
      <c r="E1083" s="1325"/>
      <c r="F1083" s="1325"/>
      <c r="I1083" s="436" t="s">
        <v>2196</v>
      </c>
    </row>
    <row r="1084" spans="1:9">
      <c r="A1084" s="434"/>
      <c r="B1084" s="434"/>
      <c r="C1084" s="434"/>
      <c r="D1084" s="1325"/>
      <c r="E1084" s="1325"/>
      <c r="F1084" s="1325"/>
    </row>
    <row r="1085" spans="1:9">
      <c r="A1085" s="434"/>
      <c r="B1085" s="434"/>
      <c r="C1085" s="434"/>
      <c r="D1085" s="1326" t="s">
        <v>2619</v>
      </c>
      <c r="E1085" s="1263"/>
      <c r="F1085" s="1263"/>
    </row>
    <row r="1086" spans="1:9">
      <c r="A1086" s="434"/>
      <c r="B1086" s="434"/>
      <c r="C1086" s="434"/>
      <c r="D1086" s="562"/>
    </row>
    <row r="1087" spans="1:9">
      <c r="A1087" s="434"/>
      <c r="B1087" s="520" t="s">
        <v>2636</v>
      </c>
      <c r="C1087" s="434"/>
      <c r="D1087" s="1323" t="s">
        <v>2095</v>
      </c>
      <c r="E1087" s="1323"/>
      <c r="F1087" s="1323"/>
      <c r="I1087" s="436" t="s">
        <v>2197</v>
      </c>
    </row>
    <row r="1088" spans="1:9">
      <c r="A1088" s="434"/>
      <c r="B1088" s="434"/>
      <c r="C1088" s="434"/>
      <c r="D1088" s="1323"/>
      <c r="E1088" s="1323"/>
      <c r="F1088" s="1323"/>
    </row>
    <row r="1089" spans="1:9">
      <c r="A1089" s="434"/>
      <c r="B1089" s="434"/>
      <c r="C1089" s="434"/>
      <c r="D1089" s="562"/>
    </row>
    <row r="1090" spans="1:9">
      <c r="A1090" s="434"/>
      <c r="B1090" s="520" t="s">
        <v>2636</v>
      </c>
      <c r="C1090" s="434"/>
      <c r="D1090" s="1323" t="s">
        <v>2241</v>
      </c>
      <c r="E1090" s="1323"/>
      <c r="F1090" s="1323"/>
      <c r="I1090" s="436" t="s">
        <v>2239</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2240</v>
      </c>
      <c r="I1096" s="434"/>
    </row>
    <row r="1097" spans="1:9">
      <c r="A1097" s="434"/>
      <c r="B1097" s="520" t="s">
        <v>2636</v>
      </c>
      <c r="C1097" s="434"/>
      <c r="D1097" s="1323" t="s">
        <v>2096</v>
      </c>
      <c r="E1097" s="1323"/>
      <c r="F1097" s="1323"/>
      <c r="I1097" s="436" t="s">
        <v>2198</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2735</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2636</v>
      </c>
      <c r="C1105" s="434"/>
      <c r="D1105" s="1263" t="s">
        <v>2244</v>
      </c>
      <c r="E1105" s="1263"/>
      <c r="F1105" s="1263"/>
      <c r="I1105" s="436" t="s">
        <v>2243</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749" zoomScaleNormal="100" zoomScaleSheetLayoutView="80" workbookViewId="0">
      <selection activeCell="AP693" sqref="AP693"/>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6" t="s">
        <v>101</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935"/>
      <c r="AN8" s="935"/>
      <c r="AO8" s="935"/>
      <c r="AP8" s="935"/>
      <c r="AQ8" s="935"/>
      <c r="AR8" s="935"/>
      <c r="AS8" s="935"/>
      <c r="AT8" s="935"/>
      <c r="AU8" s="935"/>
      <c r="AV8" s="935"/>
      <c r="AW8" s="935"/>
      <c r="AX8" s="935"/>
      <c r="AY8" s="935"/>
    </row>
    <row r="9" spans="1:51" ht="12.95" customHeight="1">
      <c r="A9" s="1299" t="s">
        <v>2477</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2610</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1839</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87" t="s">
        <v>2624</v>
      </c>
      <c r="B12" s="1788"/>
      <c r="C12" s="1788"/>
      <c r="D12" s="1788"/>
      <c r="E12" s="1788"/>
      <c r="F12" s="1788"/>
      <c r="G12" s="1788"/>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c r="AJ12" s="1788"/>
      <c r="AK12" s="1788"/>
      <c r="AL12" s="1788"/>
      <c r="AM12" s="6"/>
      <c r="AN12" s="6"/>
      <c r="AO12" s="6"/>
      <c r="AP12" s="6"/>
      <c r="AQ12" s="6"/>
      <c r="AR12" s="6"/>
      <c r="AS12" s="6"/>
      <c r="AT12" s="6"/>
      <c r="AU12" s="6"/>
      <c r="AV12" s="6"/>
      <c r="AW12" s="6"/>
      <c r="AX12" s="6"/>
      <c r="AY12" s="6"/>
    </row>
    <row r="13" spans="1:51" ht="12.95" customHeight="1">
      <c r="A13" s="1261" t="s">
        <v>2478</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73" t="s">
        <v>2625</v>
      </c>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row>
    <row r="17" spans="1:52" ht="12.95" customHeight="1"/>
    <row r="18" spans="1:52" ht="12.95" customHeight="1">
      <c r="A18" s="57" t="s">
        <v>102</v>
      </c>
      <c r="C18" s="4"/>
      <c r="D18" s="4"/>
      <c r="E18" s="4"/>
      <c r="F18" s="4"/>
      <c r="G18" s="4"/>
      <c r="H18" s="1388" t="s">
        <v>2626</v>
      </c>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row>
    <row r="19" spans="1:52" ht="12.95" customHeight="1"/>
    <row r="20" spans="1:52" ht="12.95" customHeight="1">
      <c r="A20" s="1783" t="s">
        <v>902</v>
      </c>
      <c r="B20" s="1783"/>
      <c r="C20" s="1783"/>
      <c r="D20" s="1783"/>
      <c r="E20" s="1783"/>
      <c r="F20" s="1783"/>
      <c r="G20" s="1783"/>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937"/>
      <c r="AN20" s="937"/>
      <c r="AO20" s="937"/>
      <c r="AP20" s="937"/>
      <c r="AQ20" s="937"/>
      <c r="AR20" s="937"/>
      <c r="AS20" s="937"/>
      <c r="AT20" s="937"/>
      <c r="AU20" s="937"/>
      <c r="AV20" s="937"/>
      <c r="AW20" s="937"/>
      <c r="AX20" s="937"/>
      <c r="AY20" s="937"/>
    </row>
    <row r="21" spans="1:52" ht="12.95" customHeight="1">
      <c r="A21" s="1774" t="s">
        <v>1067</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2">
        <f>'Basis &amp; Credits'!AB56</f>
        <v>2200298</v>
      </c>
      <c r="N26" s="1772"/>
      <c r="O26" s="1772"/>
      <c r="P26" s="1772"/>
      <c r="Q26" s="1772"/>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6">
        <f>'Basis &amp; Credits'!AB77</f>
        <v>0</v>
      </c>
      <c r="N27" s="1386"/>
      <c r="O27" s="1386"/>
      <c r="P27" s="1386"/>
      <c r="Q27" s="1386"/>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59" t="s">
        <v>679</v>
      </c>
      <c r="P33" s="1359"/>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81" t="s">
        <v>2727</v>
      </c>
      <c r="H122" s="1781"/>
      <c r="I122" s="3" t="s">
        <v>183</v>
      </c>
      <c r="L122" s="1781" t="s">
        <v>2639</v>
      </c>
      <c r="M122" s="1781"/>
      <c r="N122" s="1781"/>
      <c r="O122" s="1780" t="s">
        <v>2640</v>
      </c>
      <c r="P122" s="1780"/>
      <c r="Q122" s="1780"/>
      <c r="R122" s="178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7" t="s">
        <v>2638</v>
      </c>
      <c r="D124" s="1837"/>
      <c r="E124" s="1837"/>
      <c r="F124" s="1837"/>
      <c r="G124" s="1837"/>
      <c r="H124" s="1837"/>
      <c r="I124" s="1837"/>
      <c r="J124" s="1837"/>
      <c r="K124" s="183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81"/>
      <c r="Z126" s="1781"/>
      <c r="AA126" s="1781"/>
      <c r="AB126" s="1781"/>
      <c r="AC126" s="1781"/>
      <c r="AD126" s="1781"/>
      <c r="AE126" s="1781"/>
      <c r="AF126" s="1781"/>
      <c r="AG126" s="1781"/>
      <c r="AH126" s="1781"/>
      <c r="AI126" s="1781"/>
      <c r="AJ126" s="1781"/>
      <c r="AK126" s="1781"/>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81" t="s">
        <v>2641</v>
      </c>
      <c r="Z129" s="1781"/>
      <c r="AA129" s="1781"/>
      <c r="AB129" s="1781"/>
      <c r="AC129" s="1781"/>
      <c r="AD129" s="1781"/>
      <c r="AE129" s="1781"/>
      <c r="AF129" s="1781"/>
      <c r="AG129" s="1781"/>
      <c r="AH129" s="1781"/>
      <c r="AI129" s="1781"/>
      <c r="AJ129" s="1781"/>
      <c r="AK129" s="1781"/>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81" t="s">
        <v>2642</v>
      </c>
      <c r="Z132" s="1781"/>
      <c r="AA132" s="1781"/>
      <c r="AB132" s="1781"/>
      <c r="AC132" s="1781"/>
      <c r="AD132" s="1781"/>
      <c r="AE132" s="1781"/>
      <c r="AF132" s="1781"/>
      <c r="AG132" s="1781"/>
      <c r="AH132" s="1781"/>
      <c r="AI132" s="1781"/>
      <c r="AJ132" s="1781"/>
      <c r="AK132" s="1781"/>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88" t="s">
        <v>2728</v>
      </c>
      <c r="P153" s="1654"/>
      <c r="Q153" s="1654"/>
      <c r="R153" s="1654"/>
      <c r="S153" s="1654"/>
      <c r="T153" s="1654"/>
      <c r="U153" s="1654"/>
      <c r="V153" s="1654"/>
      <c r="W153" s="1654"/>
      <c r="X153" s="1654"/>
      <c r="Y153" s="1654"/>
      <c r="Z153" s="1654"/>
      <c r="AA153" s="1654"/>
      <c r="AB153" s="1654"/>
      <c r="AC153" s="1654"/>
      <c r="AD153" s="1654"/>
      <c r="AE153" s="1654"/>
      <c r="AF153" s="1654"/>
      <c r="AG153" s="1654"/>
      <c r="AH153" s="1654"/>
    </row>
    <row r="154" spans="1:72" ht="12.95" customHeight="1">
      <c r="D154" s="325" t="s">
        <v>443</v>
      </c>
      <c r="O154" s="1632" t="s">
        <v>2643</v>
      </c>
      <c r="P154" s="1362"/>
      <c r="Q154" s="1362"/>
      <c r="R154" s="1362"/>
      <c r="S154" s="1362"/>
      <c r="T154" s="1362"/>
      <c r="U154" s="1362"/>
      <c r="V154" s="1362"/>
      <c r="W154" s="1362"/>
      <c r="X154" s="1362"/>
      <c r="Y154" s="1362"/>
      <c r="Z154" s="1362"/>
      <c r="AA154" s="1362"/>
      <c r="AB154" s="1362"/>
      <c r="AC154" s="1362"/>
      <c r="AD154" s="1362"/>
      <c r="AE154" s="1362"/>
      <c r="AF154" s="1362"/>
      <c r="AG154" s="1362"/>
      <c r="AH154" s="1362"/>
    </row>
    <row r="155" spans="1:72" ht="12.95" customHeight="1">
      <c r="D155" s="8" t="s">
        <v>445</v>
      </c>
      <c r="F155" s="8"/>
      <c r="G155" s="8"/>
      <c r="H155" s="8"/>
      <c r="I155" s="8"/>
      <c r="J155" s="8"/>
      <c r="K155" s="8"/>
      <c r="L155" s="8"/>
      <c r="M155" s="8"/>
      <c r="N155" s="8"/>
      <c r="O155" s="1776" t="s">
        <v>444</v>
      </c>
      <c r="P155" s="1776"/>
      <c r="Q155" s="1776"/>
      <c r="R155" s="1776"/>
      <c r="S155" s="1776"/>
      <c r="T155" s="1776"/>
      <c r="U155" s="1776"/>
      <c r="V155" s="1776"/>
      <c r="W155" s="1776"/>
      <c r="X155" s="1776"/>
      <c r="Y155" s="1776"/>
      <c r="Z155" s="1776"/>
      <c r="AA155" s="1776"/>
      <c r="AB155" s="1776"/>
      <c r="AC155" s="1776"/>
      <c r="AD155" s="1776"/>
      <c r="AE155" s="1776"/>
      <c r="AF155" s="1776"/>
      <c r="AG155" s="1776"/>
      <c r="AH155" s="1776"/>
    </row>
    <row r="156" spans="1:72" ht="12.95" customHeight="1">
      <c r="D156" t="s">
        <v>315</v>
      </c>
      <c r="O156" s="1358" t="s">
        <v>2644</v>
      </c>
      <c r="P156" s="1358"/>
      <c r="Q156" s="1358"/>
      <c r="R156" s="1358"/>
      <c r="S156" s="1358"/>
      <c r="T156" s="1358"/>
      <c r="U156" s="1358"/>
      <c r="V156" s="1358"/>
      <c r="W156" s="1358"/>
      <c r="X156" s="1358"/>
      <c r="Y156" s="1358"/>
      <c r="Z156" s="1358"/>
      <c r="AA156" s="1358"/>
      <c r="AB156" s="1358"/>
      <c r="AC156" s="1358"/>
      <c r="AD156" s="1358"/>
      <c r="AE156" s="1358"/>
      <c r="AF156" s="1358"/>
      <c r="AG156" s="1358"/>
      <c r="AH156" s="1358"/>
      <c r="BT156" t="s">
        <v>309</v>
      </c>
    </row>
    <row r="157" spans="1:72" ht="12.95" customHeight="1">
      <c r="D157" t="s">
        <v>316</v>
      </c>
      <c r="O157" s="1388" t="s">
        <v>64</v>
      </c>
      <c r="P157" s="1654"/>
      <c r="Q157" s="1654"/>
      <c r="R157" s="1654"/>
      <c r="S157" s="1654"/>
      <c r="T157" s="1654"/>
      <c r="U157" s="1654"/>
      <c r="V157" s="1654"/>
      <c r="W157" s="1654"/>
      <c r="X157" s="1654"/>
      <c r="Y157" s="8"/>
      <c r="Z157" s="8"/>
      <c r="AA157" s="8"/>
      <c r="AB157" s="8"/>
      <c r="AC157" s="8"/>
      <c r="AD157" s="8"/>
      <c r="AE157" s="8"/>
      <c r="AF157" s="8"/>
      <c r="BN157" s="23" t="s">
        <v>646</v>
      </c>
      <c r="BT157" t="s">
        <v>486</v>
      </c>
    </row>
    <row r="158" spans="1:72" ht="12.95" customHeight="1">
      <c r="D158" t="s">
        <v>317</v>
      </c>
      <c r="O158" s="1777">
        <v>92866</v>
      </c>
      <c r="P158" s="1777"/>
      <c r="Q158" s="1777"/>
      <c r="R158" s="1777"/>
      <c r="S158" s="9"/>
      <c r="T158" s="9"/>
      <c r="U158" s="9"/>
      <c r="V158" s="9"/>
      <c r="W158" s="9"/>
      <c r="X158" s="9"/>
      <c r="Y158" s="9"/>
      <c r="Z158" s="9"/>
      <c r="AA158" s="9"/>
      <c r="AB158" s="9"/>
      <c r="AC158" s="9"/>
      <c r="AD158" s="9"/>
      <c r="AE158" s="9"/>
      <c r="AF158" s="9"/>
      <c r="BN158" s="23" t="s">
        <v>647</v>
      </c>
      <c r="BT158" t="s">
        <v>487</v>
      </c>
    </row>
    <row r="159" spans="1:72" ht="12.95" customHeight="1">
      <c r="D159" t="s">
        <v>318</v>
      </c>
      <c r="O159" s="1779">
        <v>7147442222</v>
      </c>
      <c r="P159" s="1779"/>
      <c r="Q159" s="1779"/>
      <c r="R159" s="1779"/>
      <c r="S159" s="1779"/>
      <c r="T159" s="1779"/>
      <c r="V159" s="97" t="s">
        <v>273</v>
      </c>
      <c r="W159" s="1778"/>
      <c r="X159" s="1778"/>
      <c r="Y159" s="10"/>
      <c r="Z159" s="10"/>
      <c r="AA159" s="10"/>
      <c r="AB159" s="10"/>
      <c r="AC159" s="10"/>
      <c r="AD159" s="10"/>
      <c r="AE159" s="10"/>
      <c r="AF159" s="10"/>
      <c r="BN159" s="23" t="s">
        <v>341</v>
      </c>
      <c r="BT159" t="s">
        <v>488</v>
      </c>
    </row>
    <row r="160" spans="1:72" ht="12.95" customHeight="1">
      <c r="D160" t="s">
        <v>319</v>
      </c>
      <c r="O160" s="1779">
        <v>7147225523</v>
      </c>
      <c r="P160" s="1779"/>
      <c r="Q160" s="1779"/>
      <c r="R160" s="1779"/>
      <c r="S160" s="1779"/>
      <c r="T160" s="1779"/>
      <c r="U160" s="10"/>
      <c r="V160" s="10"/>
      <c r="W160" s="10"/>
      <c r="X160" s="10"/>
      <c r="Y160" s="10"/>
      <c r="Z160" s="10"/>
      <c r="AA160" s="10"/>
      <c r="AB160" s="10"/>
      <c r="AC160" s="10"/>
      <c r="AD160" s="10"/>
      <c r="AE160" s="10"/>
      <c r="AF160" s="10"/>
      <c r="BN160" s="23" t="s">
        <v>670</v>
      </c>
      <c r="BT160" t="s">
        <v>489</v>
      </c>
    </row>
    <row r="161" spans="1:72" ht="12.95" customHeight="1">
      <c r="D161" t="s">
        <v>320</v>
      </c>
      <c r="O161" s="1759" t="s">
        <v>2645</v>
      </c>
      <c r="P161" s="1760"/>
      <c r="Q161" s="1760"/>
      <c r="R161" s="1760"/>
      <c r="S161" s="1760"/>
      <c r="T161" s="1760"/>
      <c r="U161" s="1760"/>
      <c r="V161" s="1760"/>
      <c r="W161" s="1760"/>
      <c r="X161" s="1760"/>
      <c r="Y161" s="1760"/>
      <c r="Z161" s="1760"/>
      <c r="AA161" s="1760"/>
      <c r="AB161" s="1760"/>
      <c r="AC161" s="1760"/>
      <c r="AD161" s="1760"/>
      <c r="AE161" s="1760"/>
      <c r="AF161" s="1760"/>
      <c r="AG161" s="1760"/>
      <c r="AH161" s="1760"/>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38" t="s">
        <v>1388</v>
      </c>
      <c r="E164" s="1838"/>
      <c r="F164" s="1838"/>
      <c r="G164" s="1838"/>
      <c r="H164" s="1838"/>
      <c r="I164" s="1838"/>
      <c r="J164" s="1838"/>
      <c r="K164" s="1838"/>
      <c r="L164" s="1838"/>
      <c r="M164" s="1838"/>
      <c r="N164" s="1838"/>
      <c r="O164" s="1838"/>
      <c r="P164" s="1838"/>
      <c r="Q164" s="1838"/>
      <c r="R164" s="1838"/>
      <c r="S164" s="1838"/>
      <c r="T164" s="1838"/>
      <c r="U164" s="1838"/>
      <c r="V164" s="1838"/>
      <c r="W164" s="1838"/>
      <c r="X164" s="1838"/>
      <c r="Y164" s="1838"/>
      <c r="Z164" s="1838"/>
      <c r="AA164" s="1838"/>
      <c r="AB164" s="1838"/>
      <c r="AC164" s="1838"/>
      <c r="AD164" s="1838"/>
      <c r="AE164" s="1838"/>
      <c r="AF164" s="1838"/>
      <c r="AG164" s="1838"/>
      <c r="AH164" s="1838"/>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8" t="s">
        <v>549</v>
      </c>
      <c r="B169" s="1648"/>
      <c r="C169" s="1648"/>
      <c r="D169" s="1648"/>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AM169" s="95"/>
      <c r="AN169" s="95"/>
      <c r="AO169" s="95"/>
      <c r="AP169" s="95"/>
      <c r="AQ169" s="95"/>
      <c r="AR169" s="95"/>
      <c r="AS169" s="95"/>
      <c r="AT169" s="95"/>
      <c r="AU169" s="95"/>
      <c r="AV169" s="95"/>
      <c r="AW169" s="95"/>
      <c r="AX169" s="95"/>
      <c r="AY169" s="95"/>
      <c r="BN169" s="23" t="s">
        <v>683</v>
      </c>
      <c r="BT169" t="s">
        <v>498</v>
      </c>
    </row>
    <row r="170" spans="1:72" ht="12.95" customHeight="1" thickBot="1">
      <c r="A170" s="1649"/>
      <c r="B170" s="1649"/>
      <c r="C170" s="1649"/>
      <c r="D170" s="1649"/>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75" t="s">
        <v>373</v>
      </c>
      <c r="K173" s="1775"/>
      <c r="L173" s="1775"/>
      <c r="M173" s="1775"/>
      <c r="N173" s="1775"/>
      <c r="O173" s="1775"/>
      <c r="P173" s="1775"/>
      <c r="Q173" s="1775"/>
      <c r="R173" s="1775"/>
      <c r="S173" s="1775"/>
      <c r="U173" s="25"/>
      <c r="X173" s="25"/>
      <c r="BN173" s="23" t="s">
        <v>216</v>
      </c>
      <c r="BT173" t="s">
        <v>502</v>
      </c>
    </row>
    <row r="174" spans="1:72" ht="12.95" customHeight="1">
      <c r="C174" s="24"/>
      <c r="D174" s="3" t="s">
        <v>1346</v>
      </c>
      <c r="J174" s="1358" t="s">
        <v>2526</v>
      </c>
      <c r="K174" s="1358"/>
      <c r="L174" s="1358"/>
      <c r="M174" s="1358"/>
      <c r="N174" s="1358"/>
      <c r="O174" s="1358"/>
      <c r="P174" s="1358"/>
      <c r="Q174" s="1358"/>
      <c r="R174" s="1358"/>
      <c r="S174" s="1358"/>
      <c r="T174" s="1358"/>
      <c r="U174" s="1358"/>
      <c r="V174" s="1358"/>
      <c r="W174" s="1358"/>
      <c r="X174" s="1358"/>
      <c r="Y174" s="1358"/>
      <c r="Z174" s="1358"/>
      <c r="AA174" s="1358"/>
      <c r="AB174" s="1358"/>
      <c r="BN174" s="23" t="s">
        <v>218</v>
      </c>
      <c r="BT174" t="s">
        <v>503</v>
      </c>
    </row>
    <row r="175" spans="1:72" ht="12.95" customHeight="1">
      <c r="C175" s="8"/>
      <c r="D175" s="3" t="s">
        <v>324</v>
      </c>
      <c r="O175" s="27"/>
      <c r="U175" s="1359" t="s">
        <v>555</v>
      </c>
      <c r="V175" s="1359"/>
      <c r="BN175" s="23" t="s">
        <v>219</v>
      </c>
      <c r="BT175" t="s">
        <v>504</v>
      </c>
    </row>
    <row r="176" spans="1:72" ht="12.95" customHeight="1">
      <c r="C176" s="8"/>
      <c r="D176" s="26"/>
      <c r="E176" t="s">
        <v>306</v>
      </c>
      <c r="O176" s="27"/>
      <c r="P176" t="s">
        <v>2499</v>
      </c>
      <c r="T176" s="27" t="s">
        <v>307</v>
      </c>
      <c r="U176" s="1351">
        <v>22</v>
      </c>
      <c r="V176" s="1351"/>
      <c r="W176" s="1" t="s">
        <v>308</v>
      </c>
      <c r="X176" s="1761">
        <v>554</v>
      </c>
      <c r="Y176" s="1761"/>
      <c r="BN176" s="23" t="s">
        <v>221</v>
      </c>
      <c r="BT176" t="s">
        <v>505</v>
      </c>
    </row>
    <row r="177" spans="1:72" ht="12.95" customHeight="1">
      <c r="C177" s="24"/>
      <c r="D177" t="s">
        <v>251</v>
      </c>
      <c r="R177" s="1359" t="s">
        <v>679</v>
      </c>
      <c r="S177" s="1359"/>
      <c r="BN177" s="23" t="s">
        <v>222</v>
      </c>
      <c r="BT177" t="s">
        <v>506</v>
      </c>
    </row>
    <row r="178" spans="1:72" ht="12.95" customHeight="1">
      <c r="C178" s="24"/>
      <c r="D178" s="3" t="s">
        <v>1347</v>
      </c>
      <c r="AA178" t="s">
        <v>2499</v>
      </c>
      <c r="AE178" s="27" t="s">
        <v>307</v>
      </c>
      <c r="AF178" s="1603"/>
      <c r="AG178" s="1603"/>
      <c r="AH178" s="1" t="s">
        <v>308</v>
      </c>
      <c r="AI178" s="1659"/>
      <c r="AJ178" s="1659"/>
      <c r="AK178" s="1659"/>
      <c r="BN178" s="23" t="s">
        <v>223</v>
      </c>
      <c r="BT178" t="s">
        <v>53</v>
      </c>
    </row>
    <row r="179" spans="1:72" ht="12.95" customHeight="1">
      <c r="C179" s="24"/>
      <c r="BN179" s="23" t="s">
        <v>224</v>
      </c>
      <c r="BT179" t="s">
        <v>54</v>
      </c>
    </row>
    <row r="180" spans="1:72" ht="12.95" customHeight="1">
      <c r="C180" s="24"/>
      <c r="D180" t="s">
        <v>2500</v>
      </c>
      <c r="X180" s="1359"/>
      <c r="Y180" s="1359"/>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63" t="str">
        <f>H18</f>
        <v>The Orion</v>
      </c>
      <c r="J184" s="1363"/>
      <c r="K184" s="1363"/>
      <c r="L184" s="1363"/>
      <c r="M184" s="1363"/>
      <c r="N184" s="1363"/>
      <c r="O184" s="1363"/>
      <c r="P184" s="1363"/>
      <c r="Q184" s="1363"/>
      <c r="R184" s="1363"/>
      <c r="S184" s="1363"/>
      <c r="T184" s="1363"/>
      <c r="U184" s="1363"/>
      <c r="V184" s="1363"/>
      <c r="W184" s="1363"/>
      <c r="X184" s="1363"/>
      <c r="Y184" s="1363"/>
      <c r="Z184" s="1363"/>
      <c r="AA184" s="1363"/>
      <c r="AB184" s="1363"/>
      <c r="AC184" s="1363"/>
      <c r="AD184" s="1363"/>
      <c r="AE184" s="1363"/>
      <c r="BC184" t="s">
        <v>597</v>
      </c>
      <c r="BN184" s="23" t="s">
        <v>232</v>
      </c>
      <c r="BT184" t="s">
        <v>62</v>
      </c>
    </row>
    <row r="185" spans="1:72" ht="12.95" customHeight="1">
      <c r="C185" s="21"/>
      <c r="D185" t="s">
        <v>589</v>
      </c>
      <c r="I185" s="1398" t="s">
        <v>2646</v>
      </c>
      <c r="J185" s="1398"/>
      <c r="K185" s="1398"/>
      <c r="L185" s="1398"/>
      <c r="M185" s="1398"/>
      <c r="N185" s="1398"/>
      <c r="O185" s="1398"/>
      <c r="P185" s="1398"/>
      <c r="Q185" s="1398"/>
      <c r="R185" s="1398"/>
      <c r="S185" s="1398"/>
      <c r="T185" s="1398"/>
      <c r="U185" s="1398"/>
      <c r="V185" s="1398"/>
      <c r="W185" s="1398"/>
      <c r="X185" s="1398"/>
      <c r="Y185" s="1398"/>
      <c r="Z185" s="1398"/>
      <c r="AA185" s="1398"/>
      <c r="AB185" s="1398"/>
      <c r="AC185" s="1398"/>
      <c r="AD185" s="1398"/>
      <c r="AE185" s="1398"/>
      <c r="BC185" t="s">
        <v>598</v>
      </c>
      <c r="BN185" s="23" t="s">
        <v>233</v>
      </c>
      <c r="BT185" t="s">
        <v>63</v>
      </c>
    </row>
    <row r="186" spans="1:72" ht="12.95" customHeight="1">
      <c r="C186" s="21"/>
      <c r="E186" t="s">
        <v>169</v>
      </c>
      <c r="BN186" s="23" t="s">
        <v>234</v>
      </c>
      <c r="BT186" t="s">
        <v>64</v>
      </c>
    </row>
    <row r="187" spans="1:72" ht="12.95" customHeight="1">
      <c r="C187" s="21"/>
      <c r="E187" s="1786"/>
      <c r="F187" s="1786"/>
      <c r="G187" s="1786"/>
      <c r="H187" s="1786"/>
      <c r="I187" s="1786"/>
      <c r="J187" s="1786"/>
      <c r="K187" s="1786"/>
      <c r="L187" s="1786"/>
      <c r="M187" s="1786"/>
      <c r="N187" s="1786"/>
      <c r="O187" s="1786"/>
      <c r="P187" s="1786"/>
      <c r="Q187" s="1786"/>
      <c r="R187" s="1786"/>
      <c r="S187" s="1786"/>
      <c r="T187" s="1786"/>
      <c r="U187" s="1786"/>
      <c r="V187" s="1786"/>
      <c r="W187" s="1786"/>
      <c r="X187" s="1786"/>
      <c r="Y187" s="1786"/>
      <c r="Z187" s="1786"/>
      <c r="AA187" s="1786"/>
      <c r="AB187" s="1786"/>
      <c r="AC187" s="1786"/>
      <c r="AD187" s="1786"/>
      <c r="AE187" s="1786"/>
      <c r="BN187" s="23" t="s">
        <v>235</v>
      </c>
      <c r="BT187" t="s">
        <v>65</v>
      </c>
    </row>
    <row r="188" spans="1:72" ht="12.95" customHeight="1">
      <c r="C188" s="21"/>
      <c r="E188" s="1601"/>
      <c r="F188" s="1601"/>
      <c r="G188" s="1601"/>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c r="AB188" s="1601"/>
      <c r="AC188" s="1601"/>
      <c r="AD188" s="1601"/>
      <c r="AE188" s="1601"/>
      <c r="BN188" s="23" t="s">
        <v>237</v>
      </c>
      <c r="BT188" t="s">
        <v>66</v>
      </c>
    </row>
    <row r="189" spans="1:72" ht="12.95" customHeight="1">
      <c r="C189" s="21"/>
      <c r="D189" t="s">
        <v>590</v>
      </c>
      <c r="I189" s="1358" t="s">
        <v>64</v>
      </c>
      <c r="J189" s="1358"/>
      <c r="K189" s="1358"/>
      <c r="L189" s="1358"/>
      <c r="M189" s="1358"/>
      <c r="N189" s="1358"/>
      <c r="O189" s="1358"/>
      <c r="P189" s="1358"/>
      <c r="Q189" t="s">
        <v>592</v>
      </c>
      <c r="T189" s="1358" t="s">
        <v>64</v>
      </c>
      <c r="U189" s="1358"/>
      <c r="V189" s="1358"/>
      <c r="W189" s="1358"/>
      <c r="X189" s="1358"/>
      <c r="Y189" s="1358"/>
      <c r="Z189" s="1358"/>
      <c r="AA189" s="1358"/>
      <c r="AB189" s="1358"/>
      <c r="AC189" s="1358"/>
      <c r="AD189" s="1358"/>
      <c r="AE189" s="1358"/>
      <c r="BC189" t="s">
        <v>309</v>
      </c>
      <c r="BH189" s="3" t="s">
        <v>601</v>
      </c>
      <c r="BN189" s="23" t="s">
        <v>238</v>
      </c>
      <c r="BT189" t="s">
        <v>67</v>
      </c>
    </row>
    <row r="190" spans="1:72" ht="12.95" customHeight="1">
      <c r="C190" s="21"/>
      <c r="D190" t="s">
        <v>593</v>
      </c>
      <c r="I190" s="1398">
        <v>92866</v>
      </c>
      <c r="J190" s="1398"/>
      <c r="K190" s="1398"/>
      <c r="L190" s="1398"/>
      <c r="M190" s="1398"/>
      <c r="N190" s="1398"/>
      <c r="O190" t="s">
        <v>595</v>
      </c>
      <c r="T190" s="1784">
        <v>758.06</v>
      </c>
      <c r="U190" s="1784"/>
      <c r="V190" s="1784"/>
      <c r="W190" s="1784"/>
      <c r="X190" s="1784"/>
      <c r="Y190" s="1784"/>
      <c r="Z190" s="1784"/>
      <c r="AA190" s="1784"/>
      <c r="AB190" s="1784"/>
      <c r="AC190" s="1784"/>
      <c r="AD190" s="1784"/>
      <c r="AE190" s="1784"/>
      <c r="BC190" t="s">
        <v>1103</v>
      </c>
      <c r="BH190" t="s">
        <v>1103</v>
      </c>
      <c r="BN190" s="23" t="s">
        <v>645</v>
      </c>
      <c r="BT190" t="s">
        <v>68</v>
      </c>
    </row>
    <row r="191" spans="1:72" ht="12.95" customHeight="1">
      <c r="C191" s="21"/>
      <c r="D191" t="s">
        <v>472</v>
      </c>
      <c r="N191" s="1786" t="s">
        <v>2647</v>
      </c>
      <c r="O191" s="1786"/>
      <c r="P191" s="1786"/>
      <c r="Q191" s="1786"/>
      <c r="R191" s="1786"/>
      <c r="S191" s="1786"/>
      <c r="T191" s="1786"/>
      <c r="U191" s="1786"/>
      <c r="V191" s="1786"/>
      <c r="W191" s="1786"/>
      <c r="X191" s="1786"/>
      <c r="Y191" s="1786"/>
      <c r="Z191" s="1786"/>
      <c r="AA191" s="1786"/>
      <c r="AB191" s="1786"/>
      <c r="AC191" s="1786"/>
      <c r="AD191" s="1786"/>
      <c r="AE191" s="1786"/>
      <c r="BC191" t="s">
        <v>1102</v>
      </c>
      <c r="BH191" t="s">
        <v>1102</v>
      </c>
      <c r="BN191" s="23" t="s">
        <v>699</v>
      </c>
      <c r="BT191" t="s">
        <v>740</v>
      </c>
    </row>
    <row r="192" spans="1:72" ht="12.95" customHeight="1">
      <c r="C192" s="21"/>
      <c r="M192" s="40"/>
      <c r="N192" s="1601"/>
      <c r="O192" s="1601"/>
      <c r="P192" s="1601"/>
      <c r="Q192" s="1601"/>
      <c r="R192" s="1601"/>
      <c r="S192" s="1601"/>
      <c r="T192" s="1601"/>
      <c r="U192" s="1601"/>
      <c r="V192" s="1601"/>
      <c r="W192" s="1601"/>
      <c r="X192" s="1601"/>
      <c r="Y192" s="1601"/>
      <c r="Z192" s="1601"/>
      <c r="AA192" s="1601"/>
      <c r="AB192" s="1601"/>
      <c r="AC192" s="1601"/>
      <c r="AD192" s="1601"/>
      <c r="AE192" s="1601"/>
      <c r="BC192" t="s">
        <v>1105</v>
      </c>
      <c r="BH192" s="3" t="s">
        <v>1808</v>
      </c>
      <c r="BN192" s="23" t="s">
        <v>700</v>
      </c>
      <c r="BT192" t="s">
        <v>741</v>
      </c>
    </row>
    <row r="193" spans="1:74" ht="12.95" customHeight="1">
      <c r="C193" s="21"/>
      <c r="D193" t="s">
        <v>2501</v>
      </c>
      <c r="M193" s="40"/>
      <c r="N193" s="930"/>
      <c r="O193" s="930"/>
      <c r="P193" s="930"/>
      <c r="Q193" s="930"/>
      <c r="R193" s="930"/>
      <c r="S193" s="930"/>
      <c r="T193" s="1767" t="s">
        <v>2359</v>
      </c>
      <c r="U193" s="1767"/>
      <c r="V193" s="1767"/>
      <c r="W193" s="1767"/>
      <c r="X193" s="1767"/>
      <c r="Y193" s="1767"/>
      <c r="Z193" s="1767"/>
      <c r="AA193" s="1767"/>
      <c r="AB193" s="1767"/>
      <c r="AC193" s="1767"/>
      <c r="AD193" s="1767"/>
      <c r="AE193" s="1767"/>
      <c r="AF193" s="1767"/>
      <c r="AG193" s="1767"/>
      <c r="AH193" s="1767"/>
      <c r="AI193" s="1767"/>
      <c r="BC193" t="s">
        <v>1104</v>
      </c>
      <c r="BH193" s="3" t="s">
        <v>1809</v>
      </c>
      <c r="BN193" s="23" t="s">
        <v>701</v>
      </c>
      <c r="BT193" t="s">
        <v>742</v>
      </c>
    </row>
    <row r="194" spans="1:74" ht="12.95" customHeight="1">
      <c r="C194" s="21"/>
      <c r="D194" t="s">
        <v>333</v>
      </c>
      <c r="T194" s="1359" t="s">
        <v>679</v>
      </c>
      <c r="U194" s="1359"/>
      <c r="W194" t="s">
        <v>695</v>
      </c>
      <c r="AH194" s="1359">
        <v>40</v>
      </c>
      <c r="AI194" s="1359"/>
      <c r="BC194" t="s">
        <v>1537</v>
      </c>
      <c r="BN194" s="23" t="s">
        <v>702</v>
      </c>
      <c r="BT194" t="s">
        <v>743</v>
      </c>
    </row>
    <row r="195" spans="1:74" ht="12.95" customHeight="1">
      <c r="C195" s="21"/>
      <c r="D195" t="s">
        <v>388</v>
      </c>
      <c r="T195" s="1517" t="s">
        <v>679</v>
      </c>
      <c r="U195" s="1517"/>
      <c r="W195" t="s">
        <v>696</v>
      </c>
      <c r="AH195" s="1359">
        <v>68</v>
      </c>
      <c r="AI195" s="1359"/>
      <c r="BC195" t="s">
        <v>2120</v>
      </c>
      <c r="BN195" s="23" t="s">
        <v>244</v>
      </c>
      <c r="BT195" t="s">
        <v>744</v>
      </c>
    </row>
    <row r="196" spans="1:74" ht="12.95" customHeight="1">
      <c r="C196" s="21"/>
      <c r="D196" s="3" t="s">
        <v>170</v>
      </c>
      <c r="T196" s="1517" t="s">
        <v>679</v>
      </c>
      <c r="U196" s="1517"/>
      <c r="W196" t="s">
        <v>697</v>
      </c>
      <c r="AH196" s="1359">
        <v>37</v>
      </c>
      <c r="AI196" s="1359"/>
      <c r="BN196" s="23" t="s">
        <v>245</v>
      </c>
      <c r="BT196" t="s">
        <v>69</v>
      </c>
    </row>
    <row r="197" spans="1:74" ht="12.95" customHeight="1">
      <c r="C197" s="21"/>
      <c r="D197" s="3" t="s">
        <v>1833</v>
      </c>
      <c r="T197" s="1517"/>
      <c r="U197" s="1517"/>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2502</v>
      </c>
      <c r="Y198" s="1359"/>
      <c r="Z198" s="1359"/>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63" t="s">
        <v>387</v>
      </c>
      <c r="E203" s="1363"/>
      <c r="F203" s="1363"/>
      <c r="G203" s="1363"/>
      <c r="H203" s="1363"/>
      <c r="I203" s="1363"/>
      <c r="J203" s="1363"/>
      <c r="K203" s="1363"/>
      <c r="L203" s="1363"/>
      <c r="M203" s="1363"/>
      <c r="P203" s="1782">
        <f>M26</f>
        <v>2200298</v>
      </c>
      <c r="Q203" s="1771"/>
      <c r="R203" s="1771"/>
      <c r="S203" s="1771"/>
      <c r="T203" s="1771"/>
      <c r="U203" s="1771"/>
      <c r="Z203" s="1769" t="s">
        <v>1328</v>
      </c>
      <c r="AA203" s="1769"/>
      <c r="AB203" s="1769"/>
      <c r="AC203" s="1769"/>
      <c r="AD203" s="1769"/>
      <c r="AE203" s="1769"/>
      <c r="AF203" s="1769"/>
      <c r="BC203" t="s">
        <v>1130</v>
      </c>
      <c r="BN203" s="23" t="s">
        <v>713</v>
      </c>
      <c r="BO203" s="14"/>
      <c r="BP203" s="32"/>
      <c r="BQ203" s="32"/>
      <c r="BR203" s="32"/>
      <c r="BS203" s="32"/>
      <c r="BT203" s="32" t="s">
        <v>198</v>
      </c>
    </row>
    <row r="204" spans="1:74" ht="12.95" customHeight="1">
      <c r="C204" s="21"/>
      <c r="D204" s="1768" t="s">
        <v>1404</v>
      </c>
      <c r="E204" s="1363"/>
      <c r="F204" s="1363"/>
      <c r="G204" s="1363"/>
      <c r="H204" s="1363"/>
      <c r="I204" s="1363"/>
      <c r="J204" s="1363"/>
      <c r="K204" s="1363"/>
      <c r="L204" s="1363"/>
      <c r="M204" s="1363"/>
      <c r="P204" s="1771">
        <f>M27</f>
        <v>0</v>
      </c>
      <c r="Q204" s="1771"/>
      <c r="R204" s="1771"/>
      <c r="S204" s="1771"/>
      <c r="T204" s="1771"/>
      <c r="U204" s="1771"/>
      <c r="V204" s="28"/>
      <c r="W204" s="3" t="s">
        <v>1981</v>
      </c>
      <c r="Z204" s="1769"/>
      <c r="AA204" s="1769"/>
      <c r="AB204" s="1769"/>
      <c r="AC204" s="1769"/>
      <c r="AD204" s="1769"/>
      <c r="AE204" s="1769"/>
      <c r="AF204" s="1769"/>
      <c r="AG204" t="s">
        <v>1405</v>
      </c>
      <c r="AP204" s="1359" t="s">
        <v>679</v>
      </c>
      <c r="AQ204" s="1359"/>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70"/>
      <c r="AA205" s="1770"/>
      <c r="AB205" s="1770"/>
      <c r="AC205" s="1770"/>
      <c r="AD205" s="1770"/>
      <c r="AE205" s="1770"/>
      <c r="AF205" s="1770"/>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54" t="s">
        <v>2648</v>
      </c>
      <c r="E207" s="1654"/>
      <c r="F207" s="1654"/>
      <c r="G207" s="1654"/>
      <c r="H207" s="1654"/>
      <c r="I207" s="1654"/>
      <c r="J207" s="1654"/>
      <c r="K207" s="1654"/>
      <c r="L207" s="1654"/>
      <c r="M207" s="1654"/>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54" t="s">
        <v>2120</v>
      </c>
      <c r="E210" s="1654"/>
      <c r="F210" s="1654"/>
      <c r="G210" s="1654"/>
      <c r="H210" s="1654"/>
      <c r="I210" s="1654"/>
      <c r="J210" s="1654"/>
      <c r="K210" s="1654"/>
      <c r="L210" s="1654"/>
      <c r="M210" s="1654"/>
      <c r="BN210" s="23" t="s">
        <v>48</v>
      </c>
      <c r="BT210" s="32" t="s">
        <v>204</v>
      </c>
    </row>
    <row r="211" spans="1:72" ht="12.95" customHeight="1">
      <c r="C211" s="21"/>
      <c r="D211" t="s">
        <v>1394</v>
      </c>
      <c r="Y211" s="1359"/>
      <c r="Z211" s="1359"/>
      <c r="AB211" s="1764">
        <f>IFERROR(Y211/AG439,"")</f>
        <v>0</v>
      </c>
      <c r="AC211" s="1765"/>
      <c r="BN211" s="23" t="s">
        <v>130</v>
      </c>
      <c r="BT211" s="32" t="s">
        <v>131</v>
      </c>
    </row>
    <row r="212" spans="1:72" ht="12.95" customHeight="1">
      <c r="D212" s="1198" t="s">
        <v>1807</v>
      </c>
      <c r="BC212" t="s">
        <v>309</v>
      </c>
      <c r="BN212" s="23" t="s">
        <v>49</v>
      </c>
      <c r="BT212" s="32" t="s">
        <v>205</v>
      </c>
    </row>
    <row r="213" spans="1:72" ht="12.95" customHeight="1">
      <c r="D213" s="1828" t="s">
        <v>601</v>
      </c>
      <c r="E213" s="1828"/>
      <c r="F213" s="1828"/>
      <c r="G213" s="1828"/>
      <c r="H213" s="1828"/>
      <c r="I213" s="1828"/>
      <c r="J213" s="1828"/>
      <c r="K213" s="1828"/>
      <c r="L213" s="1828"/>
      <c r="M213" s="1828"/>
      <c r="N213" s="1828"/>
      <c r="O213" s="1828"/>
      <c r="P213" s="1828"/>
      <c r="Q213" s="1828"/>
      <c r="R213" s="1828"/>
      <c r="S213" s="1828"/>
      <c r="T213" s="1828"/>
      <c r="U213" s="1828"/>
      <c r="V213" s="1828"/>
      <c r="W213" s="1828"/>
      <c r="X213" s="1828"/>
      <c r="Y213" s="1828"/>
      <c r="Z213" s="1828"/>
      <c r="BC213" t="s">
        <v>536</v>
      </c>
      <c r="BN213" s="23" t="s">
        <v>50</v>
      </c>
      <c r="BT213" s="32" t="s">
        <v>206</v>
      </c>
    </row>
    <row r="214" spans="1:72" ht="12.95" customHeight="1">
      <c r="D214" s="3" t="s">
        <v>1834</v>
      </c>
      <c r="Z214" s="40"/>
      <c r="AB214" s="1827"/>
      <c r="AC214" s="1827"/>
      <c r="AD214" s="1827"/>
      <c r="AE214" s="1827"/>
      <c r="AF214" s="1827"/>
      <c r="AG214" s="1827"/>
      <c r="AH214" s="1827"/>
      <c r="AI214" s="1827"/>
      <c r="AJ214" s="1827"/>
      <c r="AK214" s="1827"/>
      <c r="AL214" s="1827"/>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827"/>
      <c r="AC215" s="1827"/>
      <c r="AD215" s="1827"/>
      <c r="AE215" s="1827"/>
      <c r="AF215" s="1827"/>
      <c r="AG215" s="1827"/>
      <c r="AH215" s="1827"/>
      <c r="AI215" s="1827"/>
      <c r="AJ215" s="1827"/>
      <c r="AK215" s="1827"/>
      <c r="AL215" s="1827"/>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54" t="s">
        <v>620</v>
      </c>
      <c r="E219" s="1654"/>
      <c r="F219" s="1654"/>
      <c r="G219" s="1654"/>
      <c r="H219" s="1654"/>
      <c r="I219" s="1654"/>
      <c r="J219" s="1654"/>
      <c r="K219" s="1654"/>
      <c r="L219" s="1654"/>
      <c r="M219" s="1654"/>
      <c r="N219" s="1654"/>
      <c r="O219" s="1654"/>
      <c r="P219" s="1654"/>
      <c r="Q219" s="1654"/>
      <c r="R219" s="1654"/>
      <c r="S219" s="1654"/>
      <c r="T219" s="1654"/>
      <c r="U219" s="1654"/>
      <c r="V219" s="1654"/>
      <c r="W219" s="1654"/>
      <c r="X219" s="1654"/>
      <c r="Y219" s="1654"/>
      <c r="Z219" s="1654"/>
      <c r="AZ219" s="3"/>
      <c r="BA219" s="3"/>
      <c r="BC219" t="s">
        <v>379</v>
      </c>
    </row>
    <row r="220" spans="1:72" ht="12.95" customHeight="1">
      <c r="A220" s="2"/>
      <c r="B220" s="14"/>
      <c r="C220" s="2"/>
      <c r="BA220" s="3"/>
      <c r="BC220" t="s">
        <v>302</v>
      </c>
    </row>
    <row r="221" spans="1:72" ht="12.95" customHeight="1">
      <c r="A221" s="1648" t="s">
        <v>550</v>
      </c>
      <c r="B221" s="1648"/>
      <c r="C221" s="1648"/>
      <c r="D221" s="1648"/>
      <c r="E221" s="1648"/>
      <c r="F221" s="1648"/>
      <c r="G221" s="1648"/>
      <c r="H221" s="1648"/>
      <c r="I221" s="1648"/>
      <c r="J221" s="1648"/>
      <c r="K221" s="1648"/>
      <c r="L221" s="1648"/>
      <c r="M221" s="1648"/>
      <c r="N221" s="1648"/>
      <c r="O221" s="1648"/>
      <c r="P221" s="1648"/>
      <c r="Q221" s="1648"/>
      <c r="R221" s="1648"/>
      <c r="S221" s="1648"/>
      <c r="T221" s="1648"/>
      <c r="U221" s="1648"/>
      <c r="V221" s="1648"/>
      <c r="W221" s="1648"/>
      <c r="X221" s="1648"/>
      <c r="Y221" s="1648"/>
      <c r="Z221" s="1648"/>
      <c r="AA221" s="1648"/>
      <c r="AB221" s="1648"/>
      <c r="AC221" s="1648"/>
      <c r="AD221" s="1648"/>
      <c r="AE221" s="1648"/>
      <c r="AF221" s="1648"/>
      <c r="AG221" s="1648"/>
      <c r="AH221" s="1648"/>
      <c r="AI221" s="1648"/>
      <c r="AJ221" s="1648"/>
      <c r="AK221" s="1648"/>
      <c r="AL221" s="1648"/>
      <c r="AM221" s="95"/>
      <c r="AN221" s="95"/>
      <c r="AO221" s="95"/>
      <c r="AP221" s="95"/>
      <c r="AQ221" s="95"/>
      <c r="AR221" s="95"/>
      <c r="AS221" s="95"/>
      <c r="AT221" s="95"/>
      <c r="AU221" s="95"/>
      <c r="AV221" s="95"/>
      <c r="AW221" s="95"/>
      <c r="AX221" s="95"/>
      <c r="AY221" s="95"/>
      <c r="BA221" s="3"/>
    </row>
    <row r="222" spans="1:72" ht="12.95" customHeight="1" thickBot="1">
      <c r="A222" s="1649"/>
      <c r="B222" s="1649"/>
      <c r="C222" s="1649"/>
      <c r="D222" s="1649"/>
      <c r="E222" s="1649"/>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1649"/>
      <c r="AD222" s="1649"/>
      <c r="AE222" s="1649"/>
      <c r="AF222" s="1649"/>
      <c r="AG222" s="1649"/>
      <c r="AH222" s="1649"/>
      <c r="AI222" s="1649"/>
      <c r="AJ222" s="1649"/>
      <c r="AK222" s="1649"/>
      <c r="AL222" s="1649"/>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555</v>
      </c>
      <c r="AJ225" s="1359"/>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601</v>
      </c>
      <c r="AJ226" s="1359"/>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601</v>
      </c>
      <c r="AJ227" s="1359"/>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601</v>
      </c>
      <c r="AJ228" s="1359"/>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85" t="str">
        <f>H16</f>
        <v>Orange 702, L.P.</v>
      </c>
      <c r="N231" s="1785"/>
      <c r="O231" s="1785"/>
      <c r="P231" s="1785"/>
      <c r="Q231" s="1785"/>
      <c r="R231" s="1785"/>
      <c r="S231" s="1785"/>
      <c r="T231" s="1785"/>
      <c r="U231" s="1785"/>
      <c r="V231" s="1785"/>
      <c r="W231" s="1785"/>
      <c r="X231" s="1785"/>
      <c r="Y231" s="1785"/>
      <c r="Z231" s="1785"/>
      <c r="AA231" s="1785"/>
      <c r="AB231" s="1785"/>
      <c r="AC231" s="1785"/>
      <c r="AD231" s="1785"/>
      <c r="AE231" s="1785"/>
      <c r="AF231" s="1785"/>
      <c r="AG231" s="1785"/>
      <c r="AH231" s="1785"/>
      <c r="AI231" s="1785"/>
      <c r="AJ231" s="1785"/>
      <c r="AK231" s="1785"/>
      <c r="BA231" s="3"/>
      <c r="BB231" s="218"/>
      <c r="BG231" s="218"/>
      <c r="BQ231" s="34"/>
    </row>
    <row r="232" spans="1:69" ht="12.95" customHeight="1">
      <c r="D232" s="4" t="s">
        <v>86</v>
      </c>
      <c r="E232" s="4"/>
      <c r="F232" s="4"/>
      <c r="G232" s="4"/>
      <c r="H232" s="4"/>
      <c r="I232" s="4"/>
      <c r="J232" s="4"/>
      <c r="K232" s="4"/>
      <c r="M232" s="1388" t="s">
        <v>2637</v>
      </c>
      <c r="N232" s="1654"/>
      <c r="O232" s="1654"/>
      <c r="P232" s="1654"/>
      <c r="Q232" s="1654"/>
      <c r="R232" s="1654"/>
      <c r="S232" s="1654"/>
      <c r="T232" s="1654"/>
      <c r="U232" s="1654"/>
      <c r="V232" s="1654"/>
      <c r="W232" s="1654"/>
      <c r="X232" s="1654"/>
      <c r="Y232" s="1654"/>
      <c r="Z232" s="1654"/>
      <c r="AA232" s="1654"/>
      <c r="AB232" s="1654"/>
      <c r="AC232" s="1654"/>
      <c r="AD232" s="1654"/>
      <c r="AE232" s="1654"/>
      <c r="AZ232" s="4"/>
      <c r="BA232" s="3"/>
      <c r="BB232" s="219" t="s">
        <v>548</v>
      </c>
      <c r="BG232" s="259">
        <f>IF(AND(AND($M$248="nonprofit",$M$256="nonprofit",$M$264="for profit")),2,0)</f>
        <v>0</v>
      </c>
      <c r="BQ232" s="34"/>
    </row>
    <row r="233" spans="1:69" ht="12.95" customHeight="1">
      <c r="D233" s="4" t="s">
        <v>590</v>
      </c>
      <c r="E233" s="4"/>
      <c r="M233" s="1388" t="s">
        <v>2638</v>
      </c>
      <c r="N233" s="1654"/>
      <c r="O233" s="1654"/>
      <c r="P233" s="1654"/>
      <c r="Q233" s="1654"/>
      <c r="R233" s="1654"/>
      <c r="S233" s="1654"/>
      <c r="T233" s="1654"/>
      <c r="V233" s="1076" t="s">
        <v>87</v>
      </c>
      <c r="W233" s="1632" t="s">
        <v>2634</v>
      </c>
      <c r="X233" s="1362"/>
      <c r="Y233" s="4" t="s">
        <v>593</v>
      </c>
      <c r="AC233" s="1654">
        <v>95661</v>
      </c>
      <c r="AD233" s="1654"/>
      <c r="AE233" s="1654"/>
      <c r="BB233" s="219" t="s">
        <v>548</v>
      </c>
      <c r="BG233" s="259">
        <f>IF(AND(AND($M$248="nonprofit",$M$256="for profit",$M$264="nonprofit")),2,0)</f>
        <v>0</v>
      </c>
    </row>
    <row r="234" spans="1:69" ht="12.95" customHeight="1">
      <c r="D234" s="4" t="s">
        <v>88</v>
      </c>
      <c r="E234" s="4"/>
      <c r="F234" s="4"/>
      <c r="G234" s="4"/>
      <c r="H234" s="4"/>
      <c r="I234" s="4"/>
      <c r="J234" s="4"/>
      <c r="K234" s="19"/>
      <c r="M234" s="1388" t="s">
        <v>2641</v>
      </c>
      <c r="N234" s="1654"/>
      <c r="O234" s="1654"/>
      <c r="P234" s="1654"/>
      <c r="Q234" s="1654"/>
      <c r="R234" s="1654"/>
      <c r="S234" s="1654"/>
      <c r="T234" s="1654"/>
      <c r="U234" s="1654"/>
      <c r="V234" s="1654"/>
      <c r="W234" s="1654"/>
      <c r="X234" s="1654"/>
      <c r="Y234" s="1654"/>
      <c r="Z234" s="1654"/>
      <c r="AA234" s="1654"/>
      <c r="AB234" s="1654"/>
      <c r="AC234" s="1654"/>
      <c r="AD234" s="1654"/>
      <c r="AE234" s="1654"/>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61">
        <v>9168653981</v>
      </c>
      <c r="N235" s="1361"/>
      <c r="O235" s="1361"/>
      <c r="P235" s="1361"/>
      <c r="Q235" s="1361"/>
      <c r="R235" s="1361"/>
      <c r="S235" s="4" t="s">
        <v>208</v>
      </c>
      <c r="T235" s="4"/>
      <c r="U235" s="1362"/>
      <c r="V235" s="1362"/>
      <c r="W235" s="1362"/>
      <c r="X235" s="4" t="s">
        <v>90</v>
      </c>
      <c r="Z235" s="1361">
        <v>9167735866</v>
      </c>
      <c r="AA235" s="1361"/>
      <c r="AB235" s="1361"/>
      <c r="AC235" s="1361"/>
      <c r="AD235" s="1361"/>
      <c r="AE235" s="1361"/>
      <c r="BB235" s="219"/>
      <c r="BG235" s="218"/>
    </row>
    <row r="236" spans="1:69" ht="12.95" customHeight="1">
      <c r="D236" s="4" t="s">
        <v>91</v>
      </c>
      <c r="E236" s="4"/>
      <c r="F236" s="4"/>
      <c r="M236" s="1759" t="s">
        <v>2649</v>
      </c>
      <c r="N236" s="1760"/>
      <c r="O236" s="1760"/>
      <c r="P236" s="1760"/>
      <c r="Q236" s="1760"/>
      <c r="R236" s="1760"/>
      <c r="S236" s="1760"/>
      <c r="T236" s="1760"/>
      <c r="U236" s="1760"/>
      <c r="V236" s="1760"/>
      <c r="W236" s="1760"/>
      <c r="X236" s="1760"/>
      <c r="Y236" s="1760"/>
      <c r="Z236" s="1760"/>
      <c r="AA236" s="1760"/>
      <c r="AB236" s="1760"/>
      <c r="AC236" s="1760"/>
      <c r="AD236" s="1760"/>
      <c r="AE236" s="176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98" t="s">
        <v>538</v>
      </c>
      <c r="N237" s="1398"/>
      <c r="O237" s="1398"/>
      <c r="P237" s="1398"/>
      <c r="Q237" s="1398"/>
      <c r="R237" s="1398"/>
      <c r="S237" s="1398"/>
      <c r="T237" s="1398"/>
      <c r="U237" s="218" t="s">
        <v>940</v>
      </c>
      <c r="V237" s="218"/>
      <c r="W237" s="218"/>
      <c r="X237" s="218"/>
      <c r="Y237" s="218"/>
      <c r="Z237" s="218"/>
      <c r="AA237" s="1762" t="s">
        <v>2631</v>
      </c>
      <c r="AB237" s="1763"/>
      <c r="AC237" s="1763"/>
      <c r="AD237" s="1763"/>
      <c r="AE237" s="1763"/>
      <c r="AF237" s="1763"/>
      <c r="AG237" s="1763"/>
      <c r="AH237" s="1763"/>
      <c r="AI237" s="1763"/>
      <c r="AJ237" s="1763"/>
      <c r="AK237" s="1763"/>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8"/>
      <c r="N238" s="1358"/>
      <c r="O238" s="1358"/>
      <c r="P238" s="1358"/>
      <c r="Q238" s="1358"/>
      <c r="R238" s="1358"/>
      <c r="S238" s="1358"/>
      <c r="T238" s="1358"/>
      <c r="U238" s="1358"/>
      <c r="V238" s="1358"/>
      <c r="W238" s="1358"/>
      <c r="X238" s="1358"/>
      <c r="Y238" s="1358"/>
      <c r="Z238" s="1358"/>
      <c r="AA238" s="1358"/>
      <c r="AB238" s="1358"/>
      <c r="AC238" s="1358"/>
      <c r="AD238" s="1358"/>
      <c r="AE238" s="1358"/>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73" t="s">
        <v>2627</v>
      </c>
      <c r="N242" s="1766"/>
      <c r="O242" s="1766"/>
      <c r="P242" s="1766"/>
      <c r="Q242" s="1766"/>
      <c r="R242" s="1766"/>
      <c r="S242" s="1766"/>
      <c r="T242" s="1766"/>
      <c r="U242" s="1766"/>
      <c r="V242" s="1766"/>
      <c r="W242" s="1766"/>
      <c r="X242" s="1766"/>
      <c r="Y242" s="1766"/>
      <c r="Z242" s="1766"/>
      <c r="AA242" s="1766"/>
      <c r="AB242" s="1766"/>
      <c r="AC242" s="1766"/>
      <c r="AD242" s="1766"/>
      <c r="AE242" s="1766"/>
      <c r="AF242" s="1766" t="s">
        <v>2628</v>
      </c>
      <c r="AG242" s="1766"/>
      <c r="AH242" s="1766"/>
      <c r="AI242" s="1766"/>
      <c r="AJ242" s="1766"/>
      <c r="AK242" s="1766"/>
      <c r="BO242" s="34"/>
      <c r="BP242" s="4"/>
      <c r="BQ242" s="4"/>
      <c r="BR242" s="4"/>
      <c r="BS242" s="4"/>
    </row>
    <row r="243" spans="1:71" ht="12.95" customHeight="1">
      <c r="A243" s="19"/>
      <c r="B243" s="4"/>
      <c r="C243" s="4"/>
      <c r="D243" s="4" t="s">
        <v>86</v>
      </c>
      <c r="E243" s="4"/>
      <c r="F243" s="4"/>
      <c r="G243" s="4"/>
      <c r="H243" s="4"/>
      <c r="I243" s="4"/>
      <c r="J243" s="4"/>
      <c r="K243" s="4"/>
      <c r="L243" s="4"/>
      <c r="M243" s="1388" t="s">
        <v>2637</v>
      </c>
      <c r="N243" s="1654"/>
      <c r="O243" s="1654"/>
      <c r="P243" s="1654"/>
      <c r="Q243" s="1654"/>
      <c r="R243" s="1654"/>
      <c r="S243" s="1654"/>
      <c r="T243" s="1654"/>
      <c r="U243" s="1654"/>
      <c r="V243" s="1654"/>
      <c r="W243" s="1654"/>
      <c r="X243" s="1654"/>
      <c r="Y243" s="1654"/>
      <c r="Z243" s="1654"/>
      <c r="AA243" s="1654"/>
      <c r="AB243" s="1654"/>
      <c r="AC243" s="1654"/>
      <c r="AD243" s="1654"/>
      <c r="AE243" s="1654"/>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88" t="s">
        <v>2638</v>
      </c>
      <c r="N244" s="1654"/>
      <c r="O244" s="1654"/>
      <c r="P244" s="1654"/>
      <c r="Q244" s="1654"/>
      <c r="R244" s="1654"/>
      <c r="S244" s="1654"/>
      <c r="T244" s="1654"/>
      <c r="V244" s="33" t="s">
        <v>87</v>
      </c>
      <c r="W244" s="1632" t="s">
        <v>2634</v>
      </c>
      <c r="X244" s="1362"/>
      <c r="Y244" s="4" t="s">
        <v>593</v>
      </c>
      <c r="AB244">
        <v>95661</v>
      </c>
      <c r="AC244" s="1654">
        <v>95661</v>
      </c>
      <c r="AD244" s="1654"/>
      <c r="AE244" s="1654"/>
      <c r="AF244" s="3" t="s">
        <v>1324</v>
      </c>
      <c r="BB244" t="s">
        <v>309</v>
      </c>
      <c r="BG244">
        <v>1</v>
      </c>
      <c r="BH244" t="s">
        <v>544</v>
      </c>
    </row>
    <row r="245" spans="1:71" ht="12.95" customHeight="1">
      <c r="A245" s="19"/>
      <c r="B245" s="4"/>
      <c r="C245" s="4"/>
      <c r="D245" s="4" t="s">
        <v>88</v>
      </c>
      <c r="E245" s="4"/>
      <c r="F245" s="4"/>
      <c r="G245" s="4"/>
      <c r="H245" s="4"/>
      <c r="I245" s="4"/>
      <c r="J245" s="4"/>
      <c r="K245" s="4"/>
      <c r="L245" s="19"/>
      <c r="M245" s="1388" t="s">
        <v>2641</v>
      </c>
      <c r="N245" s="1654"/>
      <c r="O245" s="1654"/>
      <c r="P245" s="1654"/>
      <c r="Q245" s="1654"/>
      <c r="R245" s="1654"/>
      <c r="S245" s="1654"/>
      <c r="T245" s="1654"/>
      <c r="U245" s="1654"/>
      <c r="V245" s="1654"/>
      <c r="W245" s="1654"/>
      <c r="X245" s="1654"/>
      <c r="Y245" s="1654"/>
      <c r="Z245" s="1654"/>
      <c r="AA245" s="1654"/>
      <c r="AB245" s="1654"/>
      <c r="AC245" s="1654"/>
      <c r="AD245" s="1654"/>
      <c r="AE245" s="1654"/>
      <c r="AH245" s="1744">
        <v>8.9999999999999993E-3</v>
      </c>
      <c r="AI245" s="1744"/>
      <c r="AJ245" s="1744"/>
      <c r="AK245" s="174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61">
        <v>9168653981</v>
      </c>
      <c r="N246" s="1361"/>
      <c r="O246" s="1361"/>
      <c r="P246" s="1361"/>
      <c r="Q246" s="1361"/>
      <c r="R246" s="1361"/>
      <c r="S246" s="4" t="s">
        <v>208</v>
      </c>
      <c r="T246" s="4"/>
      <c r="U246" s="1362"/>
      <c r="V246" s="1362"/>
      <c r="W246" s="1362"/>
      <c r="X246" s="4" t="s">
        <v>90</v>
      </c>
      <c r="Z246" s="1361">
        <v>9167735866</v>
      </c>
      <c r="AA246" s="1361"/>
      <c r="AB246" s="1361"/>
      <c r="AC246" s="1361"/>
      <c r="AD246" s="1361"/>
      <c r="AE246" s="1361"/>
      <c r="BB246" s="4" t="s">
        <v>174</v>
      </c>
      <c r="BG246">
        <v>3</v>
      </c>
      <c r="BH246" t="s">
        <v>546</v>
      </c>
      <c r="BN246" s="34"/>
    </row>
    <row r="247" spans="1:71" ht="12.95" customHeight="1">
      <c r="A247" s="19"/>
      <c r="B247" s="4"/>
      <c r="C247" s="4"/>
      <c r="D247" s="4" t="s">
        <v>91</v>
      </c>
      <c r="E247" s="4"/>
      <c r="F247" s="4"/>
      <c r="M247" s="1759" t="s">
        <v>2649</v>
      </c>
      <c r="N247" s="1760"/>
      <c r="O247" s="1760"/>
      <c r="P247" s="1760"/>
      <c r="Q247" s="1760"/>
      <c r="R247" s="1760"/>
      <c r="S247" s="1760"/>
      <c r="T247" s="1760"/>
      <c r="U247" s="1760"/>
      <c r="V247" s="1760"/>
      <c r="W247" s="1760"/>
      <c r="X247" s="1760"/>
      <c r="Y247" s="1760"/>
      <c r="Z247" s="1760"/>
      <c r="AA247" s="1760"/>
      <c r="AB247" s="1760"/>
      <c r="AC247" s="1760"/>
      <c r="AD247" s="1760"/>
      <c r="AE247" s="1760"/>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98" t="s">
        <v>546</v>
      </c>
      <c r="N248" s="1398"/>
      <c r="O248" s="1398"/>
      <c r="P248" s="1398"/>
      <c r="Q248" s="1398"/>
      <c r="R248" s="1398"/>
      <c r="S248" s="1398"/>
      <c r="T248" s="1398"/>
      <c r="U248" s="218" t="s">
        <v>940</v>
      </c>
      <c r="V248" s="218"/>
      <c r="W248" s="218"/>
      <c r="X248" s="218"/>
      <c r="Y248" s="218"/>
      <c r="Z248" s="218"/>
      <c r="AA248" s="1762" t="s">
        <v>2631</v>
      </c>
      <c r="AB248" s="1763"/>
      <c r="AC248" s="1763"/>
      <c r="AD248" s="1763"/>
      <c r="AE248" s="1763"/>
      <c r="AF248" s="1763"/>
      <c r="AG248" s="1763"/>
      <c r="AH248" s="1763"/>
      <c r="AI248" s="1763"/>
      <c r="AJ248" s="1763"/>
      <c r="AK248" s="1763"/>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73" t="s">
        <v>2629</v>
      </c>
      <c r="N250" s="1766"/>
      <c r="O250" s="1766"/>
      <c r="P250" s="1766"/>
      <c r="Q250" s="1766"/>
      <c r="R250" s="1766"/>
      <c r="S250" s="1766"/>
      <c r="T250" s="1766"/>
      <c r="U250" s="1766"/>
      <c r="V250" s="1766"/>
      <c r="W250" s="1766"/>
      <c r="X250" s="1766"/>
      <c r="Y250" s="1766"/>
      <c r="Z250" s="1766"/>
      <c r="AA250" s="1766"/>
      <c r="AB250" s="1766"/>
      <c r="AC250" s="1766"/>
      <c r="AD250" s="1766"/>
      <c r="AE250" s="1766"/>
      <c r="AF250" s="1766" t="s">
        <v>2630</v>
      </c>
      <c r="AG250" s="1766"/>
      <c r="AH250" s="1766"/>
      <c r="AI250" s="1766"/>
      <c r="AJ250" s="1766"/>
      <c r="AK250" s="1766"/>
      <c r="BN250" s="34"/>
    </row>
    <row r="251" spans="1:71" ht="12.95" customHeight="1">
      <c r="A251" s="19"/>
      <c r="B251" s="4"/>
      <c r="C251" s="4"/>
      <c r="D251" s="4" t="s">
        <v>86</v>
      </c>
      <c r="E251" s="4"/>
      <c r="F251" s="4"/>
      <c r="G251" s="4"/>
      <c r="H251" s="4"/>
      <c r="I251" s="4"/>
      <c r="J251" s="4"/>
      <c r="K251" s="4"/>
      <c r="L251" s="4"/>
      <c r="M251" s="1388" t="s">
        <v>2632</v>
      </c>
      <c r="N251" s="1654"/>
      <c r="O251" s="1654"/>
      <c r="P251" s="1654"/>
      <c r="Q251" s="1654"/>
      <c r="R251" s="1654"/>
      <c r="S251" s="1654"/>
      <c r="T251" s="1654"/>
      <c r="U251" s="1654"/>
      <c r="V251" s="1654"/>
      <c r="W251" s="1654"/>
      <c r="X251" s="1654"/>
      <c r="Y251" s="1654"/>
      <c r="Z251" s="1654"/>
      <c r="AA251" s="1654"/>
      <c r="AB251" s="1654"/>
      <c r="AC251" s="1654"/>
      <c r="AD251" s="1654"/>
      <c r="AE251" s="1654"/>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88" t="s">
        <v>2633</v>
      </c>
      <c r="N252" s="1654"/>
      <c r="O252" s="1654"/>
      <c r="P252" s="1654"/>
      <c r="Q252" s="1654"/>
      <c r="R252" s="1654"/>
      <c r="S252" s="1654"/>
      <c r="T252" s="1654"/>
      <c r="V252" s="33" t="s">
        <v>87</v>
      </c>
      <c r="W252" s="1632" t="s">
        <v>2634</v>
      </c>
      <c r="X252" s="1362"/>
      <c r="Y252" s="4" t="s">
        <v>593</v>
      </c>
      <c r="Z252">
        <v>92780</v>
      </c>
      <c r="AC252" s="1654"/>
      <c r="AD252" s="1654"/>
      <c r="AE252" s="1654"/>
      <c r="AF252" s="3" t="s">
        <v>1324</v>
      </c>
      <c r="BN252" s="34"/>
    </row>
    <row r="253" spans="1:71" ht="12.95" customHeight="1">
      <c r="A253" s="19"/>
      <c r="B253" s="4"/>
      <c r="C253" s="4"/>
      <c r="D253" s="4" t="s">
        <v>88</v>
      </c>
      <c r="E253" s="4"/>
      <c r="F253" s="4"/>
      <c r="G253" s="4"/>
      <c r="H253" s="4"/>
      <c r="I253" s="4"/>
      <c r="J253" s="4"/>
      <c r="K253" s="4"/>
      <c r="L253" s="19"/>
      <c r="M253" s="1388" t="s">
        <v>2729</v>
      </c>
      <c r="N253" s="1654"/>
      <c r="O253" s="1654"/>
      <c r="P253" s="1654"/>
      <c r="Q253" s="1654"/>
      <c r="R253" s="1654"/>
      <c r="S253" s="1654"/>
      <c r="T253" s="1654"/>
      <c r="U253" s="1654"/>
      <c r="V253" s="1654"/>
      <c r="W253" s="1654"/>
      <c r="X253" s="1654"/>
      <c r="Y253" s="1654"/>
      <c r="Z253" s="1654"/>
      <c r="AA253" s="1654"/>
      <c r="AB253" s="1654"/>
      <c r="AC253" s="1654"/>
      <c r="AD253" s="1654"/>
      <c r="AE253" s="1654"/>
      <c r="AH253" s="1744">
        <v>1E-3</v>
      </c>
      <c r="AI253" s="1744"/>
      <c r="AJ253" s="1744"/>
      <c r="AK253" s="174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1">
        <v>7146281654</v>
      </c>
      <c r="N254" s="1361"/>
      <c r="O254" s="1361"/>
      <c r="P254" s="1361"/>
      <c r="Q254" s="1361"/>
      <c r="R254" s="1361"/>
      <c r="S254" s="4" t="s">
        <v>208</v>
      </c>
      <c r="T254" s="4"/>
      <c r="U254" s="1362">
        <v>719</v>
      </c>
      <c r="V254" s="1362"/>
      <c r="W254" s="1362"/>
      <c r="X254" s="4" t="s">
        <v>90</v>
      </c>
      <c r="Z254" s="1361"/>
      <c r="AA254" s="1361"/>
      <c r="AB254" s="1361"/>
      <c r="AC254" s="1361"/>
      <c r="AD254" s="1361"/>
      <c r="AE254" s="1361"/>
    </row>
    <row r="255" spans="1:71" ht="12.95" customHeight="1">
      <c r="A255" s="19"/>
      <c r="B255" s="4"/>
      <c r="C255" s="4"/>
      <c r="D255" s="4" t="s">
        <v>91</v>
      </c>
      <c r="E255" s="4"/>
      <c r="F255" s="4"/>
      <c r="M255" s="1759" t="s">
        <v>2730</v>
      </c>
      <c r="N255" s="1760"/>
      <c r="O255" s="1760"/>
      <c r="P255" s="1760"/>
      <c r="Q255" s="1760"/>
      <c r="R255" s="1760"/>
      <c r="S255" s="1760"/>
      <c r="T255" s="1760"/>
      <c r="U255" s="1760"/>
      <c r="V255" s="1760"/>
      <c r="W255" s="1760"/>
      <c r="X255" s="1760"/>
      <c r="Y255" s="1760"/>
      <c r="Z255" s="1760"/>
      <c r="AA255" s="1760"/>
      <c r="AB255" s="1760"/>
      <c r="AC255" s="1760"/>
      <c r="AD255" s="1760"/>
      <c r="AE255" s="1760"/>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98" t="s">
        <v>544</v>
      </c>
      <c r="N256" s="1398"/>
      <c r="O256" s="1398"/>
      <c r="P256" s="1398"/>
      <c r="Q256" s="1398"/>
      <c r="R256" s="1398"/>
      <c r="S256" s="1398"/>
      <c r="T256" s="1398"/>
      <c r="U256" s="218" t="s">
        <v>940</v>
      </c>
      <c r="V256" s="218"/>
      <c r="W256" s="218"/>
      <c r="X256" s="218"/>
      <c r="Y256" s="218"/>
      <c r="Z256" s="218"/>
      <c r="AA256" s="1762" t="s">
        <v>2636</v>
      </c>
      <c r="AB256" s="1763"/>
      <c r="AC256" s="1763"/>
      <c r="AD256" s="1763"/>
      <c r="AE256" s="1763"/>
      <c r="AF256" s="1763"/>
      <c r="AG256" s="1763"/>
      <c r="AH256" s="1763"/>
      <c r="AI256" s="1763"/>
      <c r="AJ256" s="1763"/>
      <c r="AK256" s="1763"/>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66"/>
      <c r="N258" s="1766"/>
      <c r="O258" s="1766"/>
      <c r="P258" s="1766"/>
      <c r="Q258" s="1766"/>
      <c r="R258" s="1766"/>
      <c r="S258" s="1766"/>
      <c r="T258" s="1766"/>
      <c r="U258" s="1766"/>
      <c r="V258" s="1766"/>
      <c r="W258" s="1766"/>
      <c r="X258" s="1766"/>
      <c r="Y258" s="1766"/>
      <c r="Z258" s="1766"/>
      <c r="AA258" s="1766"/>
      <c r="AB258" s="1766"/>
      <c r="AC258" s="1766"/>
      <c r="AD258" s="1766"/>
      <c r="AE258" s="1766"/>
      <c r="AF258" s="1766" t="s">
        <v>309</v>
      </c>
      <c r="AG258" s="1766"/>
      <c r="AH258" s="1766"/>
      <c r="AI258" s="1766"/>
      <c r="AJ258" s="1766"/>
      <c r="AK258" s="176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4"/>
      <c r="N259" s="1654"/>
      <c r="O259" s="1654"/>
      <c r="P259" s="1654"/>
      <c r="Q259" s="1654"/>
      <c r="R259" s="1654"/>
      <c r="S259" s="1654"/>
      <c r="T259" s="1654"/>
      <c r="U259" s="1654"/>
      <c r="V259" s="1654"/>
      <c r="W259" s="1654"/>
      <c r="X259" s="1654"/>
      <c r="Y259" s="1654"/>
      <c r="Z259" s="1654"/>
      <c r="AA259" s="1654"/>
      <c r="AB259" s="1654"/>
      <c r="AC259" s="1654"/>
      <c r="AD259" s="1654"/>
      <c r="AE259" s="1654"/>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54"/>
      <c r="N260" s="1654"/>
      <c r="O260" s="1654"/>
      <c r="P260" s="1654"/>
      <c r="Q260" s="1654"/>
      <c r="R260" s="1654"/>
      <c r="S260" s="1654"/>
      <c r="T260" s="1654"/>
      <c r="V260" s="33" t="s">
        <v>87</v>
      </c>
      <c r="W260" s="1362"/>
      <c r="X260" s="1362"/>
      <c r="Y260" s="4" t="s">
        <v>593</v>
      </c>
      <c r="AC260" s="1654"/>
      <c r="AD260" s="1654"/>
      <c r="AE260" s="1654"/>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4"/>
      <c r="N261" s="1654"/>
      <c r="O261" s="1654"/>
      <c r="P261" s="1654"/>
      <c r="Q261" s="1654"/>
      <c r="R261" s="1654"/>
      <c r="S261" s="1654"/>
      <c r="T261" s="1654"/>
      <c r="U261" s="1654"/>
      <c r="V261" s="1654"/>
      <c r="W261" s="1654"/>
      <c r="X261" s="1654"/>
      <c r="Y261" s="1654"/>
      <c r="Z261" s="1654"/>
      <c r="AA261" s="1654"/>
      <c r="AB261" s="1654"/>
      <c r="AC261" s="1654"/>
      <c r="AD261" s="1654"/>
      <c r="AE261" s="1654"/>
      <c r="AH261" s="1744"/>
      <c r="AI261" s="1744"/>
      <c r="AJ261" s="1744"/>
      <c r="AK261" s="174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1"/>
      <c r="N262" s="1361"/>
      <c r="O262" s="1361"/>
      <c r="P262" s="1361"/>
      <c r="Q262" s="1361"/>
      <c r="R262" s="1361"/>
      <c r="S262" s="4" t="s">
        <v>208</v>
      </c>
      <c r="T262" s="4"/>
      <c r="U262" s="1362"/>
      <c r="V262" s="1362"/>
      <c r="W262" s="1362"/>
      <c r="X262" s="4" t="s">
        <v>90</v>
      </c>
      <c r="Z262" s="1361"/>
      <c r="AA262" s="1361"/>
      <c r="AB262" s="1361"/>
      <c r="AC262" s="1361"/>
      <c r="AD262" s="1361"/>
      <c r="AE262" s="1361"/>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0"/>
      <c r="N263" s="1760"/>
      <c r="O263" s="1760"/>
      <c r="P263" s="1760"/>
      <c r="Q263" s="1760"/>
      <c r="R263" s="1760"/>
      <c r="S263" s="1760"/>
      <c r="T263" s="1760"/>
      <c r="U263" s="1760"/>
      <c r="V263" s="1760"/>
      <c r="W263" s="1760"/>
      <c r="X263" s="1760"/>
      <c r="Y263" s="1760"/>
      <c r="Z263" s="1760"/>
      <c r="AA263" s="1790"/>
      <c r="AB263" s="1790"/>
      <c r="AC263" s="1790"/>
      <c r="AD263" s="1790"/>
      <c r="AE263" s="1790"/>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98" t="s">
        <v>309</v>
      </c>
      <c r="N264" s="1398"/>
      <c r="O264" s="1398"/>
      <c r="P264" s="1398"/>
      <c r="Q264" s="1398"/>
      <c r="R264" s="1398"/>
      <c r="S264" s="1398"/>
      <c r="T264" s="1398"/>
      <c r="U264" s="218" t="s">
        <v>940</v>
      </c>
      <c r="V264" s="218"/>
      <c r="W264" s="218"/>
      <c r="X264" s="218"/>
      <c r="Y264" s="218"/>
      <c r="Z264" s="218"/>
      <c r="AA264" s="1791"/>
      <c r="AB264" s="1791"/>
      <c r="AC264" s="1791"/>
      <c r="AD264" s="1791"/>
      <c r="AE264" s="1791"/>
      <c r="AF264" s="1791"/>
      <c r="AG264" s="1791"/>
      <c r="AH264" s="1791"/>
      <c r="AI264" s="1791"/>
      <c r="AJ264" s="1791"/>
      <c r="AK264" s="179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89" t="str">
        <f>BO245</f>
        <v>Joint Venture</v>
      </c>
      <c r="U266" s="1789"/>
      <c r="V266" s="1789"/>
      <c r="W266" s="1789"/>
      <c r="X266" s="1789"/>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54" t="s">
        <v>282</v>
      </c>
      <c r="E269" s="1654"/>
      <c r="F269" s="1654"/>
      <c r="G269" s="1654"/>
      <c r="H269" s="1654"/>
      <c r="J269" t="s">
        <v>281</v>
      </c>
      <c r="X269" s="1643"/>
      <c r="Y269" s="1643"/>
      <c r="Z269" s="1643"/>
      <c r="AA269" s="1643"/>
      <c r="AB269" s="1643"/>
      <c r="AC269" s="1643"/>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3" t="s">
        <v>2631</v>
      </c>
      <c r="M273" s="1773"/>
      <c r="N273" s="1773"/>
      <c r="O273" s="1773"/>
      <c r="P273" s="1773"/>
      <c r="Q273" s="1773"/>
      <c r="R273" s="1773"/>
      <c r="S273" s="1773"/>
      <c r="T273" s="1773"/>
      <c r="U273" s="1773"/>
      <c r="V273" s="1773"/>
      <c r="W273" s="1773"/>
      <c r="X273" s="1773"/>
      <c r="Y273" s="1773"/>
      <c r="Z273" s="1773"/>
      <c r="AA273" s="1773"/>
      <c r="AB273" s="1773"/>
      <c r="AC273" s="1773"/>
      <c r="AD273" s="1773"/>
      <c r="AE273" s="1773"/>
      <c r="AF273" s="1773"/>
      <c r="AG273" s="1773"/>
      <c r="AH273" s="1773"/>
      <c r="AI273" s="1773"/>
      <c r="AJ273" s="177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88" t="s">
        <v>2637</v>
      </c>
      <c r="M274" s="1654"/>
      <c r="N274" s="1654"/>
      <c r="O274" s="1654"/>
      <c r="P274" s="1654"/>
      <c r="Q274" s="1654"/>
      <c r="R274" s="1654"/>
      <c r="S274" s="1654"/>
      <c r="T274" s="1654"/>
      <c r="U274" s="1654"/>
      <c r="V274" s="1654"/>
      <c r="W274" s="1654"/>
      <c r="X274" s="1654"/>
      <c r="Y274" s="1654"/>
      <c r="Z274" s="1654"/>
      <c r="AA274" s="1654"/>
      <c r="AB274" s="1654"/>
      <c r="AC274" s="1654"/>
      <c r="AD274" s="1654"/>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88" t="s">
        <v>2638</v>
      </c>
      <c r="M275" s="1654"/>
      <c r="N275" s="1654"/>
      <c r="O275" s="1654"/>
      <c r="P275" s="1654"/>
      <c r="Q275" s="1654"/>
      <c r="R275" s="1654"/>
      <c r="S275" s="1654"/>
      <c r="U275" s="33" t="s">
        <v>87</v>
      </c>
      <c r="V275" s="1632" t="s">
        <v>2634</v>
      </c>
      <c r="W275" s="1362"/>
      <c r="X275" s="4" t="s">
        <v>593</v>
      </c>
      <c r="AB275" s="1654">
        <v>95661</v>
      </c>
      <c r="AC275" s="1654"/>
      <c r="AD275" s="1654"/>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88" t="s">
        <v>2641</v>
      </c>
      <c r="M276" s="1654"/>
      <c r="N276" s="1654"/>
      <c r="O276" s="1654"/>
      <c r="P276" s="1654"/>
      <c r="Q276" s="1654"/>
      <c r="R276" s="1654"/>
      <c r="S276" s="1654"/>
      <c r="T276" s="1654"/>
      <c r="U276" s="1654"/>
      <c r="V276" s="1654"/>
      <c r="W276" s="1654"/>
      <c r="X276" s="1654"/>
      <c r="Y276" s="1654"/>
      <c r="Z276" s="1654"/>
      <c r="AA276" s="1654"/>
      <c r="AB276" s="1654"/>
      <c r="AC276" s="1654"/>
      <c r="AD276" s="1654"/>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61">
        <v>9168653981</v>
      </c>
      <c r="M277" s="1361"/>
      <c r="N277" s="1361"/>
      <c r="O277" s="1361"/>
      <c r="P277" s="1361"/>
      <c r="Q277" s="1361"/>
      <c r="R277" s="4" t="s">
        <v>208</v>
      </c>
      <c r="S277" s="4"/>
      <c r="T277" s="1362"/>
      <c r="U277" s="1362"/>
      <c r="V277" s="1362"/>
      <c r="W277" s="4" t="s">
        <v>90</v>
      </c>
      <c r="Y277" s="1361">
        <v>9167735866</v>
      </c>
      <c r="Z277" s="1361"/>
      <c r="AA277" s="1361"/>
      <c r="AB277" s="1361"/>
      <c r="AC277" s="1361"/>
      <c r="AD277" s="1361"/>
      <c r="BN277" s="34"/>
    </row>
    <row r="278" spans="1:66" ht="12.95" customHeight="1">
      <c r="D278" s="4" t="s">
        <v>91</v>
      </c>
      <c r="E278" s="4"/>
      <c r="F278" s="4"/>
      <c r="L278" s="1759" t="s">
        <v>2649</v>
      </c>
      <c r="M278" s="1760"/>
      <c r="N278" s="1760"/>
      <c r="O278" s="1760"/>
      <c r="P278" s="1760"/>
      <c r="Q278" s="1760"/>
      <c r="R278" s="1760"/>
      <c r="S278" s="1760"/>
      <c r="T278" s="1760"/>
      <c r="U278" s="1760"/>
      <c r="V278" s="1760"/>
      <c r="W278" s="1760"/>
      <c r="X278" s="1760"/>
      <c r="Y278" s="1760"/>
      <c r="Z278" s="1760"/>
      <c r="AA278" s="1760"/>
      <c r="AB278" s="1760"/>
      <c r="AC278" s="1760"/>
      <c r="AD278" s="1760"/>
      <c r="AF278" s="4"/>
      <c r="AG278" s="4"/>
      <c r="AH278" s="4"/>
      <c r="AI278" s="4"/>
      <c r="AJ278" s="4"/>
      <c r="BN278" s="34"/>
    </row>
    <row r="279" spans="1:66" ht="12.95" customHeight="1">
      <c r="D279" s="3" t="s">
        <v>633</v>
      </c>
      <c r="E279" s="3"/>
      <c r="F279" s="3"/>
      <c r="G279" s="3"/>
      <c r="H279" s="3"/>
      <c r="I279" s="3"/>
      <c r="L279" s="1632" t="s">
        <v>2650</v>
      </c>
      <c r="M279" s="1632"/>
      <c r="N279" s="1632"/>
      <c r="O279" s="1632"/>
      <c r="P279" s="1632"/>
      <c r="Q279" s="1632"/>
      <c r="R279" s="1632"/>
      <c r="S279" s="1632"/>
      <c r="T279" s="1632"/>
      <c r="U279" s="1632"/>
      <c r="V279" s="1632"/>
      <c r="W279" s="1632"/>
      <c r="X279" s="1632"/>
      <c r="Y279" s="1632"/>
      <c r="Z279" s="1632"/>
      <c r="AA279" s="1632"/>
      <c r="AB279" s="1632"/>
      <c r="AC279" s="1632"/>
      <c r="AD279" s="1632"/>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8" t="s">
        <v>551</v>
      </c>
      <c r="B281" s="1648"/>
      <c r="C281" s="1648"/>
      <c r="D281" s="1648"/>
      <c r="E281" s="1648"/>
      <c r="F281" s="1648"/>
      <c r="G281" s="1648"/>
      <c r="H281" s="1648"/>
      <c r="I281" s="1648"/>
      <c r="J281" s="1648"/>
      <c r="K281" s="1648"/>
      <c r="L281" s="1648"/>
      <c r="M281" s="1648"/>
      <c r="N281" s="1648"/>
      <c r="O281" s="1648"/>
      <c r="P281" s="1648"/>
      <c r="Q281" s="1648"/>
      <c r="R281" s="1648"/>
      <c r="S281" s="1648"/>
      <c r="T281" s="1648"/>
      <c r="U281" s="1648"/>
      <c r="V281" s="1648"/>
      <c r="W281" s="1648"/>
      <c r="X281" s="1648"/>
      <c r="Y281" s="1648"/>
      <c r="Z281" s="1648"/>
      <c r="AA281" s="1648"/>
      <c r="AB281" s="1648"/>
      <c r="AC281" s="1648"/>
      <c r="AD281" s="1648"/>
      <c r="AE281" s="1648"/>
      <c r="AF281" s="1648"/>
      <c r="AG281" s="1648"/>
      <c r="AH281" s="1648"/>
      <c r="AI281" s="1648"/>
      <c r="AJ281" s="1648"/>
      <c r="AK281" s="1648"/>
      <c r="AL281" s="1648"/>
      <c r="AM281" s="95"/>
      <c r="AN281" s="95"/>
      <c r="AO281" s="95"/>
      <c r="AP281" s="95"/>
      <c r="AQ281" s="95"/>
      <c r="AR281" s="95"/>
      <c r="AS281" s="95"/>
      <c r="AT281" s="95"/>
      <c r="AU281" s="95"/>
      <c r="AV281" s="95"/>
      <c r="AW281" s="95"/>
      <c r="AX281" s="95"/>
      <c r="AY281" s="95"/>
      <c r="BN281" s="34"/>
    </row>
    <row r="282" spans="1:66" ht="12.95" customHeight="1" thickBot="1">
      <c r="A282" s="1649"/>
      <c r="B282" s="1649"/>
      <c r="C282" s="1649"/>
      <c r="D282" s="1649"/>
      <c r="E282" s="1649"/>
      <c r="F282" s="1649"/>
      <c r="G282" s="1649"/>
      <c r="H282" s="1649"/>
      <c r="I282" s="1649"/>
      <c r="J282" s="1649"/>
      <c r="K282" s="1649"/>
      <c r="L282" s="1649"/>
      <c r="M282" s="1649"/>
      <c r="N282" s="1649"/>
      <c r="O282" s="1649"/>
      <c r="P282" s="1649"/>
      <c r="Q282" s="1649"/>
      <c r="R282" s="1649"/>
      <c r="S282" s="1649"/>
      <c r="T282" s="1649"/>
      <c r="U282" s="1649"/>
      <c r="V282" s="1649"/>
      <c r="W282" s="1649"/>
      <c r="X282" s="1649"/>
      <c r="Y282" s="1649"/>
      <c r="Z282" s="1649"/>
      <c r="AA282" s="1649"/>
      <c r="AB282" s="1649"/>
      <c r="AC282" s="1649"/>
      <c r="AD282" s="1649"/>
      <c r="AE282" s="1649"/>
      <c r="AF282" s="1649"/>
      <c r="AG282" s="1649"/>
      <c r="AH282" s="1649"/>
      <c r="AI282" s="1649"/>
      <c r="AJ282" s="1649"/>
      <c r="AK282" s="1649"/>
      <c r="AL282" s="1649"/>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8" t="s">
        <v>2702</v>
      </c>
      <c r="I286" s="1358"/>
      <c r="J286" s="1358"/>
      <c r="K286" s="1358"/>
      <c r="L286" s="1358"/>
      <c r="M286" s="1358"/>
      <c r="N286" s="1358"/>
      <c r="O286" s="1358"/>
      <c r="P286" s="1358"/>
      <c r="Q286" s="1358"/>
      <c r="R286" s="1358"/>
      <c r="T286" s="3" t="s">
        <v>577</v>
      </c>
      <c r="V286" s="3"/>
      <c r="W286" s="3"/>
      <c r="X286" s="3"/>
      <c r="Y286" s="3"/>
      <c r="AA286" s="1358" t="s">
        <v>2653</v>
      </c>
      <c r="AB286" s="1358"/>
      <c r="AC286" s="1358"/>
      <c r="AD286" s="1358"/>
      <c r="AE286" s="1358"/>
      <c r="AF286" s="1358"/>
      <c r="AG286" s="1358"/>
      <c r="AH286" s="1358"/>
      <c r="AI286" s="1358"/>
      <c r="AJ286" s="1358"/>
      <c r="AK286" s="1358"/>
      <c r="BN286" s="34"/>
    </row>
    <row r="287" spans="1:66" ht="12.95" customHeight="1">
      <c r="B287" s="3" t="s">
        <v>481</v>
      </c>
      <c r="C287" s="3"/>
      <c r="D287" s="3"/>
      <c r="E287" s="3"/>
      <c r="F287" s="3"/>
      <c r="H287" s="1398" t="s">
        <v>2651</v>
      </c>
      <c r="I287" s="1398"/>
      <c r="J287" s="1398"/>
      <c r="K287" s="1398"/>
      <c r="L287" s="1398"/>
      <c r="M287" s="1398"/>
      <c r="N287" s="1398"/>
      <c r="O287" s="1398"/>
      <c r="P287" s="1398"/>
      <c r="Q287" s="1398"/>
      <c r="R287" s="1398"/>
      <c r="T287" s="3" t="s">
        <v>481</v>
      </c>
      <c r="V287" s="3"/>
      <c r="W287" s="3"/>
      <c r="X287" s="3"/>
      <c r="Y287" s="3"/>
      <c r="AA287" s="1398" t="s">
        <v>2654</v>
      </c>
      <c r="AB287" s="1398"/>
      <c r="AC287" s="1398"/>
      <c r="AD287" s="1398"/>
      <c r="AE287" s="1398"/>
      <c r="AF287" s="1398"/>
      <c r="AG287" s="1398"/>
      <c r="AH287" s="1398"/>
      <c r="AI287" s="1398"/>
      <c r="AJ287" s="1398"/>
      <c r="AK287" s="1398"/>
      <c r="BN287" s="34"/>
    </row>
    <row r="288" spans="1:66" ht="12.95" customHeight="1">
      <c r="B288" s="3" t="s">
        <v>482</v>
      </c>
      <c r="C288" s="3"/>
      <c r="D288" s="3"/>
      <c r="E288" s="3"/>
      <c r="F288" s="3"/>
      <c r="H288" s="1398" t="s">
        <v>2652</v>
      </c>
      <c r="I288" s="1398"/>
      <c r="J288" s="1398"/>
      <c r="K288" s="1398"/>
      <c r="L288" s="1398"/>
      <c r="M288" s="1398"/>
      <c r="N288" s="1398"/>
      <c r="O288" s="1398"/>
      <c r="P288" s="1398"/>
      <c r="Q288" s="1398"/>
      <c r="R288" s="1398"/>
      <c r="T288" s="3" t="s">
        <v>76</v>
      </c>
      <c r="V288" s="3"/>
      <c r="W288" s="3"/>
      <c r="X288" s="3"/>
      <c r="Y288" s="3"/>
      <c r="AA288" s="1398" t="s">
        <v>2655</v>
      </c>
      <c r="AB288" s="1398"/>
      <c r="AC288" s="1398"/>
      <c r="AD288" s="1398"/>
      <c r="AE288" s="1398"/>
      <c r="AF288" s="1398"/>
      <c r="AG288" s="1398"/>
      <c r="AH288" s="1398"/>
      <c r="AI288" s="1398"/>
      <c r="AJ288" s="1398"/>
      <c r="AK288" s="1398"/>
      <c r="BN288" s="34"/>
    </row>
    <row r="289" spans="2:66" ht="12.95" customHeight="1">
      <c r="B289" s="3" t="s">
        <v>88</v>
      </c>
      <c r="C289" s="3"/>
      <c r="D289" s="3"/>
      <c r="E289" s="3"/>
      <c r="F289" s="3"/>
      <c r="H289" s="1398" t="s">
        <v>2641</v>
      </c>
      <c r="I289" s="1398"/>
      <c r="J289" s="1398"/>
      <c r="K289" s="1398"/>
      <c r="L289" s="1398"/>
      <c r="M289" s="1398"/>
      <c r="N289" s="1398"/>
      <c r="O289" s="1398"/>
      <c r="P289" s="1398"/>
      <c r="Q289" s="1398"/>
      <c r="R289" s="1398"/>
      <c r="T289" s="3" t="s">
        <v>88</v>
      </c>
      <c r="V289" s="3"/>
      <c r="W289" s="3"/>
      <c r="X289" s="3"/>
      <c r="Y289" s="3"/>
      <c r="AA289" s="1632" t="s">
        <v>2656</v>
      </c>
      <c r="AB289" s="1398"/>
      <c r="AC289" s="1398"/>
      <c r="AD289" s="1398"/>
      <c r="AE289" s="1398"/>
      <c r="AF289" s="1398"/>
      <c r="AG289" s="1398"/>
      <c r="AH289" s="1398"/>
      <c r="AI289" s="1398"/>
      <c r="AJ289" s="1398"/>
      <c r="AK289" s="1398"/>
      <c r="BN289" s="34"/>
    </row>
    <row r="290" spans="2:66" ht="12.95" customHeight="1">
      <c r="B290" s="3" t="s">
        <v>89</v>
      </c>
      <c r="C290" s="3"/>
      <c r="D290" s="3"/>
      <c r="E290" s="3"/>
      <c r="F290" s="3"/>
      <c r="G290" s="3"/>
      <c r="H290" s="1655">
        <v>9168653981</v>
      </c>
      <c r="I290" s="1655"/>
      <c r="J290" s="1655"/>
      <c r="K290" s="1655"/>
      <c r="L290" s="1655"/>
      <c r="M290" s="1655"/>
      <c r="N290" s="4" t="s">
        <v>208</v>
      </c>
      <c r="O290" s="4"/>
      <c r="P290" s="1654"/>
      <c r="Q290" s="1654"/>
      <c r="R290" s="1654"/>
      <c r="S290" s="3"/>
      <c r="T290" s="3" t="s">
        <v>89</v>
      </c>
      <c r="V290" s="3"/>
      <c r="W290" s="3"/>
      <c r="X290" s="3"/>
      <c r="Y290" s="3"/>
      <c r="AA290" s="1674">
        <v>7146399860</v>
      </c>
      <c r="AB290" s="1674"/>
      <c r="AC290" s="1674"/>
      <c r="AD290" s="1674"/>
      <c r="AE290" s="1674"/>
      <c r="AF290" s="1674"/>
      <c r="AG290" s="4" t="s">
        <v>208</v>
      </c>
      <c r="AH290" s="4"/>
      <c r="AI290" s="1654"/>
      <c r="AJ290" s="1654"/>
      <c r="AK290" s="1654"/>
      <c r="BN290" s="34"/>
    </row>
    <row r="291" spans="2:66" ht="12.95" customHeight="1">
      <c r="B291" s="3" t="s">
        <v>90</v>
      </c>
      <c r="C291" s="3"/>
      <c r="D291" s="3"/>
      <c r="E291" s="3"/>
      <c r="F291" s="3"/>
      <c r="G291" s="3"/>
      <c r="H291" s="1361">
        <v>9167735866</v>
      </c>
      <c r="I291" s="1361"/>
      <c r="J291" s="1361"/>
      <c r="K291" s="1361"/>
      <c r="L291" s="1361"/>
      <c r="M291" s="1361"/>
      <c r="N291" s="4"/>
      <c r="O291" s="4"/>
      <c r="P291" s="35"/>
      <c r="Q291" s="35"/>
      <c r="R291" s="35"/>
      <c r="S291" s="3"/>
      <c r="T291" s="3" t="s">
        <v>90</v>
      </c>
      <c r="V291" s="3"/>
      <c r="W291" s="3"/>
      <c r="X291" s="3"/>
      <c r="Y291" s="3"/>
      <c r="AA291" s="1360" t="s">
        <v>2636</v>
      </c>
      <c r="AB291" s="1361"/>
      <c r="AC291" s="1361"/>
      <c r="AD291" s="1361"/>
      <c r="AE291" s="1361"/>
      <c r="AF291" s="1361"/>
      <c r="AG291" s="4"/>
      <c r="AH291" s="4"/>
      <c r="AI291" s="35"/>
      <c r="AJ291" s="35"/>
      <c r="AK291" s="35"/>
      <c r="BN291" s="34"/>
    </row>
    <row r="292" spans="2:66" ht="12.95" customHeight="1">
      <c r="B292" s="3" t="s">
        <v>77</v>
      </c>
      <c r="C292" s="3"/>
      <c r="D292" s="3"/>
      <c r="E292" s="3"/>
      <c r="F292" s="3"/>
      <c r="G292" s="3"/>
      <c r="H292" s="1666" t="s">
        <v>2649</v>
      </c>
      <c r="I292" s="1398"/>
      <c r="J292" s="1398"/>
      <c r="K292" s="1398"/>
      <c r="L292" s="1398"/>
      <c r="M292" s="1398"/>
      <c r="N292" s="1358"/>
      <c r="O292" s="1358"/>
      <c r="P292" s="1358"/>
      <c r="Q292" s="1358"/>
      <c r="R292" s="1358"/>
      <c r="S292" s="3"/>
      <c r="T292" s="3" t="s">
        <v>77</v>
      </c>
      <c r="V292" s="3"/>
      <c r="W292" s="3"/>
      <c r="X292" s="3"/>
      <c r="Y292" s="3"/>
      <c r="AA292" s="1632" t="s">
        <v>2657</v>
      </c>
      <c r="AB292" s="1398"/>
      <c r="AC292" s="1398"/>
      <c r="AD292" s="1398"/>
      <c r="AE292" s="1398"/>
      <c r="AF292" s="1398"/>
      <c r="AG292" s="1358"/>
      <c r="AH292" s="1358"/>
      <c r="AI292" s="1358"/>
      <c r="AJ292" s="1358"/>
      <c r="AK292" s="1358"/>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8" t="s">
        <v>2658</v>
      </c>
      <c r="I294" s="1358"/>
      <c r="J294" s="1358"/>
      <c r="K294" s="1358"/>
      <c r="L294" s="1358"/>
      <c r="M294" s="1358"/>
      <c r="N294" s="1358"/>
      <c r="O294" s="1358"/>
      <c r="P294" s="1358"/>
      <c r="Q294" s="1358"/>
      <c r="R294" s="1358"/>
      <c r="T294" s="3" t="s">
        <v>366</v>
      </c>
      <c r="V294" s="3"/>
      <c r="W294" s="3"/>
      <c r="X294" s="3"/>
      <c r="Y294" s="3"/>
      <c r="AA294" s="1358" t="s">
        <v>2663</v>
      </c>
      <c r="AB294" s="1358"/>
      <c r="AC294" s="1358"/>
      <c r="AD294" s="1358"/>
      <c r="AE294" s="1358"/>
      <c r="AF294" s="1358"/>
      <c r="AG294" s="1358"/>
      <c r="AH294" s="1358"/>
      <c r="AI294" s="1358"/>
      <c r="AJ294" s="1358"/>
      <c r="AK294" s="1358"/>
      <c r="BN294" s="34"/>
    </row>
    <row r="295" spans="2:66" ht="12.95" customHeight="1">
      <c r="B295" s="3" t="s">
        <v>481</v>
      </c>
      <c r="C295" s="3"/>
      <c r="D295" s="3"/>
      <c r="E295" s="3"/>
      <c r="F295" s="3"/>
      <c r="H295" s="1398" t="s">
        <v>2659</v>
      </c>
      <c r="I295" s="1398"/>
      <c r="J295" s="1398"/>
      <c r="K295" s="1398"/>
      <c r="L295" s="1398"/>
      <c r="M295" s="1398"/>
      <c r="N295" s="1398"/>
      <c r="O295" s="1398"/>
      <c r="P295" s="1398"/>
      <c r="Q295" s="1398"/>
      <c r="R295" s="1398"/>
      <c r="T295" s="3" t="s">
        <v>481</v>
      </c>
      <c r="V295" s="3"/>
      <c r="W295" s="3"/>
      <c r="X295" s="3"/>
      <c r="Y295" s="3"/>
      <c r="AA295" s="1398" t="s">
        <v>2651</v>
      </c>
      <c r="AB295" s="1398"/>
      <c r="AC295" s="1398"/>
      <c r="AD295" s="1398"/>
      <c r="AE295" s="1398"/>
      <c r="AF295" s="1398"/>
      <c r="AG295" s="1398"/>
      <c r="AH295" s="1398"/>
      <c r="AI295" s="1398"/>
      <c r="AJ295" s="1398"/>
      <c r="AK295" s="1398"/>
      <c r="BN295" s="34"/>
    </row>
    <row r="296" spans="2:66" ht="12.95" customHeight="1">
      <c r="B296" s="3" t="s">
        <v>482</v>
      </c>
      <c r="C296" s="3"/>
      <c r="D296" s="3"/>
      <c r="E296" s="3"/>
      <c r="F296" s="3"/>
      <c r="H296" s="1398" t="s">
        <v>2660</v>
      </c>
      <c r="I296" s="1398"/>
      <c r="J296" s="1398"/>
      <c r="K296" s="1398"/>
      <c r="L296" s="1398"/>
      <c r="M296" s="1398"/>
      <c r="N296" s="1398"/>
      <c r="O296" s="1398"/>
      <c r="P296" s="1398"/>
      <c r="Q296" s="1398"/>
      <c r="R296" s="1398"/>
      <c r="T296" s="3" t="s">
        <v>76</v>
      </c>
      <c r="V296" s="3"/>
      <c r="W296" s="3"/>
      <c r="X296" s="3"/>
      <c r="Y296" s="3"/>
      <c r="AA296" s="1398" t="s">
        <v>2664</v>
      </c>
      <c r="AB296" s="1398"/>
      <c r="AC296" s="1398"/>
      <c r="AD296" s="1398"/>
      <c r="AE296" s="1398"/>
      <c r="AF296" s="1398"/>
      <c r="AG296" s="1398"/>
      <c r="AH296" s="1398"/>
      <c r="AI296" s="1398"/>
      <c r="AJ296" s="1398"/>
      <c r="AK296" s="1398"/>
      <c r="BN296" s="34"/>
    </row>
    <row r="297" spans="2:66" ht="12.95" customHeight="1">
      <c r="B297" s="3" t="s">
        <v>88</v>
      </c>
      <c r="C297" s="3"/>
      <c r="D297" s="3"/>
      <c r="E297" s="3"/>
      <c r="F297" s="3"/>
      <c r="H297" s="1398" t="s">
        <v>2661</v>
      </c>
      <c r="I297" s="1398"/>
      <c r="J297" s="1398"/>
      <c r="K297" s="1398"/>
      <c r="L297" s="1398"/>
      <c r="M297" s="1398"/>
      <c r="N297" s="1398"/>
      <c r="O297" s="1398"/>
      <c r="P297" s="1398"/>
      <c r="Q297" s="1398"/>
      <c r="R297" s="1398"/>
      <c r="T297" s="3" t="s">
        <v>88</v>
      </c>
      <c r="V297" s="3"/>
      <c r="W297" s="3"/>
      <c r="X297" s="3"/>
      <c r="Y297" s="3"/>
      <c r="AA297" s="1398" t="s">
        <v>2665</v>
      </c>
      <c r="AB297" s="1398"/>
      <c r="AC297" s="1398"/>
      <c r="AD297" s="1398"/>
      <c r="AE297" s="1398"/>
      <c r="AF297" s="1398"/>
      <c r="AG297" s="1398"/>
      <c r="AH297" s="1398"/>
      <c r="AI297" s="1398"/>
      <c r="AJ297" s="1398"/>
      <c r="AK297" s="1398"/>
      <c r="BN297" s="34"/>
    </row>
    <row r="298" spans="2:66" ht="12.95" customHeight="1">
      <c r="B298" s="3" t="s">
        <v>89</v>
      </c>
      <c r="C298" s="3"/>
      <c r="D298" s="3"/>
      <c r="E298" s="3"/>
      <c r="F298" s="3"/>
      <c r="G298" s="3"/>
      <c r="H298" s="1674">
        <v>2132398048</v>
      </c>
      <c r="I298" s="1674"/>
      <c r="J298" s="1674"/>
      <c r="K298" s="1674"/>
      <c r="L298" s="1674"/>
      <c r="M298" s="1674"/>
      <c r="N298" s="4" t="s">
        <v>208</v>
      </c>
      <c r="O298" s="4"/>
      <c r="P298" s="1654"/>
      <c r="Q298" s="1654"/>
      <c r="R298" s="1654"/>
      <c r="S298" s="3"/>
      <c r="T298" s="3" t="s">
        <v>89</v>
      </c>
      <c r="V298" s="3"/>
      <c r="W298" s="3"/>
      <c r="X298" s="3"/>
      <c r="Y298" s="3"/>
      <c r="AA298" s="1674">
        <v>9167243856</v>
      </c>
      <c r="AB298" s="1674"/>
      <c r="AC298" s="1674"/>
      <c r="AD298" s="1674"/>
      <c r="AE298" s="1674"/>
      <c r="AF298" s="1674"/>
      <c r="AG298" s="4" t="s">
        <v>208</v>
      </c>
      <c r="AH298" s="4"/>
      <c r="AI298" s="1654"/>
      <c r="AJ298" s="1654"/>
      <c r="AK298" s="1654"/>
      <c r="BN298" s="34"/>
    </row>
    <row r="299" spans="2:66" ht="12.95" customHeight="1">
      <c r="B299" s="3" t="s">
        <v>90</v>
      </c>
      <c r="C299" s="3"/>
      <c r="D299" s="3"/>
      <c r="E299" s="3"/>
      <c r="F299" s="3"/>
      <c r="G299" s="3"/>
      <c r="H299" s="1360">
        <v>2132930410</v>
      </c>
      <c r="I299" s="1360"/>
      <c r="J299" s="1360"/>
      <c r="K299" s="1360"/>
      <c r="L299" s="1360"/>
      <c r="M299" s="1360"/>
      <c r="N299" s="4"/>
      <c r="O299" s="4"/>
      <c r="P299" s="35"/>
      <c r="Q299" s="35"/>
      <c r="R299" s="35"/>
      <c r="S299" s="3"/>
      <c r="T299" s="3" t="s">
        <v>90</v>
      </c>
      <c r="V299" s="3"/>
      <c r="W299" s="3"/>
      <c r="X299" s="3"/>
      <c r="Y299" s="3"/>
      <c r="AA299" s="1360">
        <v>9167735866</v>
      </c>
      <c r="AB299" s="1360"/>
      <c r="AC299" s="1360"/>
      <c r="AD299" s="1360"/>
      <c r="AE299" s="1360"/>
      <c r="AF299" s="1360"/>
      <c r="AG299" s="4"/>
      <c r="AH299" s="4"/>
      <c r="AI299" s="35"/>
      <c r="AJ299" s="35"/>
      <c r="AK299" s="35"/>
      <c r="BN299" s="34"/>
    </row>
    <row r="300" spans="2:66" ht="12.95" customHeight="1">
      <c r="B300" s="3" t="s">
        <v>77</v>
      </c>
      <c r="C300" s="3"/>
      <c r="D300" s="3"/>
      <c r="E300" s="3"/>
      <c r="F300" s="3"/>
      <c r="G300" s="3"/>
      <c r="H300" s="1398" t="s">
        <v>2662</v>
      </c>
      <c r="I300" s="1398"/>
      <c r="J300" s="1398"/>
      <c r="K300" s="1398"/>
      <c r="L300" s="1398"/>
      <c r="M300" s="1398"/>
      <c r="N300" s="1358"/>
      <c r="O300" s="1358"/>
      <c r="P300" s="1358"/>
      <c r="Q300" s="1358"/>
      <c r="R300" s="1358"/>
      <c r="S300" s="3"/>
      <c r="T300" s="3" t="s">
        <v>77</v>
      </c>
      <c r="V300" s="3"/>
      <c r="W300" s="3"/>
      <c r="X300" s="3"/>
      <c r="Y300" s="3"/>
      <c r="AA300" s="1398" t="s">
        <v>2666</v>
      </c>
      <c r="AB300" s="1398"/>
      <c r="AC300" s="1398"/>
      <c r="AD300" s="1398"/>
      <c r="AE300" s="1398"/>
      <c r="AF300" s="1398"/>
      <c r="AG300" s="1358"/>
      <c r="AH300" s="1358"/>
      <c r="AI300" s="1358"/>
      <c r="AJ300" s="1358"/>
      <c r="AK300" s="1358"/>
      <c r="BN300" s="34"/>
    </row>
    <row r="301" spans="2:66" ht="12.95" customHeight="1">
      <c r="BN301" s="34"/>
    </row>
    <row r="302" spans="2:66" ht="12.95" customHeight="1">
      <c r="B302" s="3" t="s">
        <v>78</v>
      </c>
      <c r="C302" s="3"/>
      <c r="D302" s="3"/>
      <c r="E302" s="3"/>
      <c r="F302" s="3"/>
      <c r="H302" s="1358" t="s">
        <v>2636</v>
      </c>
      <c r="I302" s="1358"/>
      <c r="J302" s="1358"/>
      <c r="K302" s="1358"/>
      <c r="L302" s="1358"/>
      <c r="M302" s="1358"/>
      <c r="N302" s="1358"/>
      <c r="O302" s="1358"/>
      <c r="P302" s="1358"/>
      <c r="Q302" s="1358"/>
      <c r="R302" s="1358"/>
      <c r="T302" s="4" t="s">
        <v>908</v>
      </c>
      <c r="V302" s="3"/>
      <c r="W302" s="3"/>
      <c r="X302" s="3"/>
      <c r="Y302" s="3"/>
      <c r="AA302" s="1358" t="s">
        <v>2636</v>
      </c>
      <c r="AB302" s="1358"/>
      <c r="AC302" s="1358"/>
      <c r="AD302" s="1358"/>
      <c r="AE302" s="1358"/>
      <c r="AF302" s="1358"/>
      <c r="AG302" s="1358"/>
      <c r="AH302" s="1358"/>
      <c r="AI302" s="1358"/>
      <c r="AJ302" s="1358"/>
      <c r="AK302" s="1358"/>
      <c r="BN302" s="34"/>
    </row>
    <row r="303" spans="2:66" ht="12.95" customHeight="1">
      <c r="B303" s="3" t="s">
        <v>481</v>
      </c>
      <c r="C303" s="3"/>
      <c r="D303" s="3"/>
      <c r="E303" s="3"/>
      <c r="F303" s="3"/>
      <c r="H303" s="1398"/>
      <c r="I303" s="1398"/>
      <c r="J303" s="1398"/>
      <c r="K303" s="1398"/>
      <c r="L303" s="1398"/>
      <c r="M303" s="1398"/>
      <c r="N303" s="1398"/>
      <c r="O303" s="1398"/>
      <c r="P303" s="1398"/>
      <c r="Q303" s="1398"/>
      <c r="R303" s="1398"/>
      <c r="T303" s="3" t="s">
        <v>481</v>
      </c>
      <c r="V303" s="3"/>
      <c r="W303" s="3"/>
      <c r="X303" s="3"/>
      <c r="Y303" s="3"/>
      <c r="AA303" s="1398"/>
      <c r="AB303" s="1398"/>
      <c r="AC303" s="1398"/>
      <c r="AD303" s="1398"/>
      <c r="AE303" s="1398"/>
      <c r="AF303" s="1398"/>
      <c r="AG303" s="1398"/>
      <c r="AH303" s="1398"/>
      <c r="AI303" s="1398"/>
      <c r="AJ303" s="1398"/>
      <c r="AK303" s="1398"/>
      <c r="BN303" s="34"/>
    </row>
    <row r="304" spans="2:66" ht="12.95" customHeight="1">
      <c r="B304" s="3" t="s">
        <v>482</v>
      </c>
      <c r="C304" s="3"/>
      <c r="D304" s="3"/>
      <c r="E304" s="3"/>
      <c r="F304" s="3"/>
      <c r="H304" s="1398"/>
      <c r="I304" s="1398"/>
      <c r="J304" s="1398"/>
      <c r="K304" s="1398"/>
      <c r="L304" s="1398"/>
      <c r="M304" s="1398"/>
      <c r="N304" s="1398"/>
      <c r="O304" s="1398"/>
      <c r="P304" s="1398"/>
      <c r="Q304" s="1398"/>
      <c r="R304" s="1398"/>
      <c r="T304" s="3" t="s">
        <v>76</v>
      </c>
      <c r="V304" s="3"/>
      <c r="W304" s="3"/>
      <c r="X304" s="3"/>
      <c r="Y304" s="3"/>
      <c r="AA304" s="1398"/>
      <c r="AB304" s="1398"/>
      <c r="AC304" s="1398"/>
      <c r="AD304" s="1398"/>
      <c r="AE304" s="1398"/>
      <c r="AF304" s="1398"/>
      <c r="AG304" s="1398"/>
      <c r="AH304" s="1398"/>
      <c r="AI304" s="1398"/>
      <c r="AJ304" s="1398"/>
      <c r="AK304" s="1398"/>
      <c r="BN304" s="34"/>
    </row>
    <row r="305" spans="2:66" ht="12.95" customHeight="1">
      <c r="B305" s="3" t="s">
        <v>88</v>
      </c>
      <c r="C305" s="3"/>
      <c r="D305" s="3"/>
      <c r="E305" s="3"/>
      <c r="F305" s="3"/>
      <c r="H305" s="1398"/>
      <c r="I305" s="1398"/>
      <c r="J305" s="1398"/>
      <c r="K305" s="1398"/>
      <c r="L305" s="1398"/>
      <c r="M305" s="1398"/>
      <c r="N305" s="1398"/>
      <c r="O305" s="1398"/>
      <c r="P305" s="1398"/>
      <c r="Q305" s="1398"/>
      <c r="R305" s="1398"/>
      <c r="T305" s="3" t="s">
        <v>88</v>
      </c>
      <c r="V305" s="3"/>
      <c r="W305" s="3"/>
      <c r="X305" s="3"/>
      <c r="Y305" s="3"/>
      <c r="AA305" s="1398"/>
      <c r="AB305" s="1398"/>
      <c r="AC305" s="1398"/>
      <c r="AD305" s="1398"/>
      <c r="AE305" s="1398"/>
      <c r="AF305" s="1398"/>
      <c r="AG305" s="1398"/>
      <c r="AH305" s="1398"/>
      <c r="AI305" s="1398"/>
      <c r="AJ305" s="1398"/>
      <c r="AK305" s="1398"/>
      <c r="BN305" s="34"/>
    </row>
    <row r="306" spans="2:66" ht="12.95" customHeight="1">
      <c r="B306" s="3" t="s">
        <v>89</v>
      </c>
      <c r="C306" s="3"/>
      <c r="D306" s="3"/>
      <c r="E306" s="3"/>
      <c r="F306" s="3"/>
      <c r="G306" s="3"/>
      <c r="H306" s="1655"/>
      <c r="I306" s="1655"/>
      <c r="J306" s="1655"/>
      <c r="K306" s="1655"/>
      <c r="L306" s="1655"/>
      <c r="M306" s="1655"/>
      <c r="N306" s="4" t="s">
        <v>208</v>
      </c>
      <c r="O306" s="4"/>
      <c r="P306" s="1654"/>
      <c r="Q306" s="1654"/>
      <c r="R306" s="1654"/>
      <c r="S306" s="3"/>
      <c r="T306" s="3" t="s">
        <v>89</v>
      </c>
      <c r="V306" s="3"/>
      <c r="W306" s="3"/>
      <c r="X306" s="3"/>
      <c r="Y306" s="3"/>
      <c r="AA306" s="1655"/>
      <c r="AB306" s="1655"/>
      <c r="AC306" s="1655"/>
      <c r="AD306" s="1655"/>
      <c r="AE306" s="1655"/>
      <c r="AF306" s="1655"/>
      <c r="AG306" s="4" t="s">
        <v>208</v>
      </c>
      <c r="AH306" s="4"/>
      <c r="AI306" s="1654"/>
      <c r="AJ306" s="1654"/>
      <c r="AK306" s="1654"/>
      <c r="BN306" s="34"/>
    </row>
    <row r="307" spans="2:66" ht="12.95" customHeight="1">
      <c r="B307" s="3" t="s">
        <v>90</v>
      </c>
      <c r="C307" s="3"/>
      <c r="D307" s="3"/>
      <c r="E307" s="3"/>
      <c r="F307" s="3"/>
      <c r="G307" s="3"/>
      <c r="H307" s="1361"/>
      <c r="I307" s="1361"/>
      <c r="J307" s="1361"/>
      <c r="K307" s="1361"/>
      <c r="L307" s="1361"/>
      <c r="M307" s="1361"/>
      <c r="N307" s="4"/>
      <c r="O307" s="4"/>
      <c r="P307" s="35"/>
      <c r="Q307" s="35"/>
      <c r="R307" s="35"/>
      <c r="S307" s="3"/>
      <c r="T307" s="3" t="s">
        <v>90</v>
      </c>
      <c r="V307" s="3"/>
      <c r="W307" s="3"/>
      <c r="X307" s="3"/>
      <c r="Y307" s="3"/>
      <c r="AA307" s="1361"/>
      <c r="AB307" s="1361"/>
      <c r="AC307" s="1361"/>
      <c r="AD307" s="1361"/>
      <c r="AE307" s="1361"/>
      <c r="AF307" s="1361"/>
      <c r="AG307" s="4"/>
      <c r="AH307" s="4"/>
      <c r="AI307" s="35"/>
      <c r="AJ307" s="35"/>
      <c r="AK307" s="35"/>
      <c r="BN307" s="34"/>
    </row>
    <row r="308" spans="2:66" ht="12.95" customHeight="1">
      <c r="B308" s="3" t="s">
        <v>77</v>
      </c>
      <c r="C308" s="3"/>
      <c r="D308" s="3"/>
      <c r="E308" s="3"/>
      <c r="F308" s="3"/>
      <c r="G308" s="3"/>
      <c r="H308" s="1398"/>
      <c r="I308" s="1398"/>
      <c r="J308" s="1398"/>
      <c r="K308" s="1398"/>
      <c r="L308" s="1398"/>
      <c r="M308" s="1398"/>
      <c r="N308" s="1358"/>
      <c r="O308" s="1358"/>
      <c r="P308" s="1358"/>
      <c r="Q308" s="1358"/>
      <c r="R308" s="1358"/>
      <c r="S308" s="3"/>
      <c r="T308" s="3" t="s">
        <v>77</v>
      </c>
      <c r="V308" s="3"/>
      <c r="W308" s="3"/>
      <c r="X308" s="3"/>
      <c r="Y308" s="3"/>
      <c r="AA308" s="1398"/>
      <c r="AB308" s="1398"/>
      <c r="AC308" s="1398"/>
      <c r="AD308" s="1398"/>
      <c r="AE308" s="1398"/>
      <c r="AF308" s="1398"/>
      <c r="AG308" s="1358"/>
      <c r="AH308" s="1358"/>
      <c r="AI308" s="1358"/>
      <c r="AJ308" s="1358"/>
      <c r="AK308" s="1358"/>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8" t="s">
        <v>2667</v>
      </c>
      <c r="I310" s="1358"/>
      <c r="J310" s="1358"/>
      <c r="K310" s="1358"/>
      <c r="L310" s="1358"/>
      <c r="M310" s="1358"/>
      <c r="N310" s="1358"/>
      <c r="O310" s="1358"/>
      <c r="P310" s="1358"/>
      <c r="Q310" s="1358"/>
      <c r="R310" s="1358"/>
      <c r="S310" s="3"/>
      <c r="T310" s="3" t="s">
        <v>367</v>
      </c>
      <c r="V310" s="3"/>
      <c r="W310" s="3"/>
      <c r="X310" s="3"/>
      <c r="Y310" s="3"/>
      <c r="AA310" s="1358" t="s">
        <v>2731</v>
      </c>
      <c r="AB310" s="1358"/>
      <c r="AC310" s="1358"/>
      <c r="AD310" s="1358"/>
      <c r="AE310" s="1358"/>
      <c r="AF310" s="1358"/>
      <c r="AG310" s="1358"/>
      <c r="AH310" s="1358"/>
      <c r="AI310" s="1358"/>
      <c r="AJ310" s="1358"/>
      <c r="AK310" s="1358"/>
      <c r="BN310" s="34"/>
    </row>
    <row r="311" spans="2:66" ht="12.95" customHeight="1">
      <c r="B311" s="3" t="s">
        <v>481</v>
      </c>
      <c r="C311" s="3"/>
      <c r="D311" s="3"/>
      <c r="E311" s="3"/>
      <c r="F311" s="3"/>
      <c r="H311" s="1398" t="s">
        <v>2668</v>
      </c>
      <c r="I311" s="1398"/>
      <c r="J311" s="1398"/>
      <c r="K311" s="1398"/>
      <c r="L311" s="1398"/>
      <c r="M311" s="1398"/>
      <c r="N311" s="1398"/>
      <c r="O311" s="1398"/>
      <c r="P311" s="1398"/>
      <c r="Q311" s="1398"/>
      <c r="R311" s="1398"/>
      <c r="S311" s="3"/>
      <c r="T311" s="3" t="s">
        <v>481</v>
      </c>
      <c r="V311" s="3"/>
      <c r="W311" s="3"/>
      <c r="X311" s="3"/>
      <c r="Y311" s="3"/>
      <c r="AA311" s="1398" t="s">
        <v>2682</v>
      </c>
      <c r="AB311" s="1398"/>
      <c r="AC311" s="1398"/>
      <c r="AD311" s="1398"/>
      <c r="AE311" s="1398"/>
      <c r="AF311" s="1398"/>
      <c r="AG311" s="1398"/>
      <c r="AH311" s="1398"/>
      <c r="AI311" s="1398"/>
      <c r="AJ311" s="1398"/>
      <c r="AK311" s="1398"/>
      <c r="BN311" s="34"/>
    </row>
    <row r="312" spans="2:66" ht="12.95" customHeight="1">
      <c r="B312" s="3" t="s">
        <v>482</v>
      </c>
      <c r="C312" s="3"/>
      <c r="D312" s="3"/>
      <c r="E312" s="3"/>
      <c r="F312" s="3"/>
      <c r="H312" s="1398" t="s">
        <v>2669</v>
      </c>
      <c r="I312" s="1398"/>
      <c r="J312" s="1398"/>
      <c r="K312" s="1398"/>
      <c r="L312" s="1398"/>
      <c r="M312" s="1398"/>
      <c r="N312" s="1398"/>
      <c r="O312" s="1398"/>
      <c r="P312" s="1398"/>
      <c r="Q312" s="1398"/>
      <c r="R312" s="1398"/>
      <c r="S312" s="3"/>
      <c r="T312" s="3" t="s">
        <v>76</v>
      </c>
      <c r="V312" s="3"/>
      <c r="W312" s="3"/>
      <c r="X312" s="3"/>
      <c r="Y312" s="3"/>
      <c r="AA312" s="1398" t="s">
        <v>2683</v>
      </c>
      <c r="AB312" s="1398"/>
      <c r="AC312" s="1398"/>
      <c r="AD312" s="1398"/>
      <c r="AE312" s="1398"/>
      <c r="AF312" s="1398"/>
      <c r="AG312" s="1398"/>
      <c r="AH312" s="1398"/>
      <c r="AI312" s="1398"/>
      <c r="AJ312" s="1398"/>
      <c r="AK312" s="1398"/>
      <c r="BN312" s="34"/>
    </row>
    <row r="313" spans="2:66" ht="12.95" customHeight="1">
      <c r="B313" s="3" t="s">
        <v>88</v>
      </c>
      <c r="C313" s="3"/>
      <c r="D313" s="3"/>
      <c r="E313" s="3"/>
      <c r="F313" s="3"/>
      <c r="H313" s="1398" t="s">
        <v>2670</v>
      </c>
      <c r="I313" s="1398"/>
      <c r="J313" s="1398"/>
      <c r="K313" s="1398"/>
      <c r="L313" s="1398"/>
      <c r="M313" s="1398"/>
      <c r="N313" s="1398"/>
      <c r="O313" s="1398"/>
      <c r="P313" s="1398"/>
      <c r="Q313" s="1398"/>
      <c r="R313" s="1398"/>
      <c r="S313" s="3"/>
      <c r="T313" s="3" t="s">
        <v>88</v>
      </c>
      <c r="V313" s="3"/>
      <c r="W313" s="3"/>
      <c r="X313" s="3"/>
      <c r="Y313" s="3"/>
      <c r="AA313" s="1398" t="s">
        <v>2684</v>
      </c>
      <c r="AB313" s="1398"/>
      <c r="AC313" s="1398"/>
      <c r="AD313" s="1398"/>
      <c r="AE313" s="1398"/>
      <c r="AF313" s="1398"/>
      <c r="AG313" s="1398"/>
      <c r="AH313" s="1398"/>
      <c r="AI313" s="1398"/>
      <c r="AJ313" s="1398"/>
      <c r="AK313" s="1398"/>
      <c r="BN313" s="34"/>
    </row>
    <row r="314" spans="2:66" ht="12.95" customHeight="1">
      <c r="B314" s="3" t="s">
        <v>89</v>
      </c>
      <c r="C314" s="3"/>
      <c r="D314" s="3"/>
      <c r="E314" s="3"/>
      <c r="F314" s="3"/>
      <c r="G314" s="3"/>
      <c r="H314" s="1674" t="s">
        <v>2671</v>
      </c>
      <c r="I314" s="1674"/>
      <c r="J314" s="1674"/>
      <c r="K314" s="1674"/>
      <c r="L314" s="1674"/>
      <c r="M314" s="1674"/>
      <c r="N314" s="4" t="s">
        <v>208</v>
      </c>
      <c r="O314" s="4"/>
      <c r="P314" s="1654"/>
      <c r="Q314" s="1654"/>
      <c r="R314" s="1654"/>
      <c r="S314" s="3"/>
      <c r="T314" s="3" t="s">
        <v>89</v>
      </c>
      <c r="V314" s="3"/>
      <c r="W314" s="3"/>
      <c r="X314" s="3"/>
      <c r="Y314" s="3"/>
      <c r="AA314" s="1674">
        <v>9494392616</v>
      </c>
      <c r="AB314" s="1674"/>
      <c r="AC314" s="1674"/>
      <c r="AD314" s="1674"/>
      <c r="AE314" s="1674"/>
      <c r="AF314" s="1674"/>
      <c r="AG314" s="4" t="s">
        <v>208</v>
      </c>
      <c r="AH314" s="4"/>
      <c r="AI314" s="1654"/>
      <c r="AJ314" s="1654"/>
      <c r="AK314" s="1654"/>
      <c r="BN314" s="34"/>
    </row>
    <row r="315" spans="2:66" ht="12.95" customHeight="1">
      <c r="B315" s="3" t="s">
        <v>90</v>
      </c>
      <c r="C315" s="3"/>
      <c r="D315" s="3"/>
      <c r="E315" s="3"/>
      <c r="F315" s="3"/>
      <c r="G315" s="3"/>
      <c r="H315" s="1360" t="s">
        <v>2636</v>
      </c>
      <c r="I315" s="1361"/>
      <c r="J315" s="1361"/>
      <c r="K315" s="1361"/>
      <c r="L315" s="1361"/>
      <c r="M315" s="1361"/>
      <c r="N315" s="4"/>
      <c r="O315" s="4"/>
      <c r="P315" s="35"/>
      <c r="Q315" s="35"/>
      <c r="R315" s="35"/>
      <c r="S315" s="3"/>
      <c r="T315" s="3" t="s">
        <v>90</v>
      </c>
      <c r="V315" s="3"/>
      <c r="W315" s="3"/>
      <c r="X315" s="3"/>
      <c r="Y315" s="3"/>
      <c r="AA315" s="1361" t="s">
        <v>2636</v>
      </c>
      <c r="AB315" s="1361"/>
      <c r="AC315" s="1361"/>
      <c r="AD315" s="1361"/>
      <c r="AE315" s="1361"/>
      <c r="AF315" s="1361"/>
      <c r="AG315" s="4"/>
      <c r="AH315" s="4"/>
      <c r="AI315" s="35"/>
      <c r="AJ315" s="35"/>
      <c r="AK315" s="35"/>
      <c r="BN315" s="34"/>
    </row>
    <row r="316" spans="2:66" ht="12.95" customHeight="1">
      <c r="B316" s="3" t="s">
        <v>77</v>
      </c>
      <c r="C316" s="3"/>
      <c r="D316" s="3"/>
      <c r="E316" s="3"/>
      <c r="F316" s="3"/>
      <c r="G316" s="3"/>
      <c r="H316" s="1398" t="s">
        <v>2672</v>
      </c>
      <c r="I316" s="1398"/>
      <c r="J316" s="1398"/>
      <c r="K316" s="1398"/>
      <c r="L316" s="1398"/>
      <c r="M316" s="1398"/>
      <c r="N316" s="1358"/>
      <c r="O316" s="1358"/>
      <c r="P316" s="1358"/>
      <c r="Q316" s="1358"/>
      <c r="R316" s="1358"/>
      <c r="S316" s="3"/>
      <c r="T316" s="3" t="s">
        <v>77</v>
      </c>
      <c r="V316" s="3"/>
      <c r="W316" s="3"/>
      <c r="X316" s="3"/>
      <c r="Y316" s="3"/>
      <c r="AA316" s="1398" t="s">
        <v>2685</v>
      </c>
      <c r="AB316" s="1398"/>
      <c r="AC316" s="1398"/>
      <c r="AD316" s="1398"/>
      <c r="AE316" s="1398"/>
      <c r="AF316" s="1398"/>
      <c r="AG316" s="1358"/>
      <c r="AH316" s="1358"/>
      <c r="AI316" s="1358"/>
      <c r="AJ316" s="1358"/>
      <c r="AK316" s="1358"/>
      <c r="BN316" s="34"/>
    </row>
    <row r="317" spans="2:66" ht="12.95" customHeight="1">
      <c r="BN317" s="34"/>
    </row>
    <row r="318" spans="2:66" ht="12.95" customHeight="1">
      <c r="B318" s="4" t="s">
        <v>942</v>
      </c>
      <c r="C318" s="3"/>
      <c r="D318" s="3"/>
      <c r="E318" s="3"/>
      <c r="F318" s="3"/>
      <c r="H318" s="1398"/>
      <c r="I318" s="1398"/>
      <c r="J318" s="1398"/>
      <c r="K318" s="1398"/>
      <c r="L318" s="1398"/>
      <c r="M318" s="1398"/>
      <c r="N318" s="1358"/>
      <c r="O318" s="1358"/>
      <c r="P318" s="1358"/>
      <c r="Q318" s="1358"/>
      <c r="R318" s="1358"/>
      <c r="T318" s="3" t="s">
        <v>368</v>
      </c>
      <c r="V318" s="3"/>
      <c r="W318" s="3"/>
      <c r="X318" s="3"/>
      <c r="Y318" s="3"/>
      <c r="AA318" s="1358" t="s">
        <v>2673</v>
      </c>
      <c r="AB318" s="1358"/>
      <c r="AC318" s="1358"/>
      <c r="AD318" s="1358"/>
      <c r="AE318" s="1358"/>
      <c r="AF318" s="1358"/>
      <c r="AG318" s="1358"/>
      <c r="AH318" s="1358"/>
      <c r="AI318" s="1358"/>
      <c r="AJ318" s="1358"/>
      <c r="AK318" s="1358"/>
      <c r="BN318" s="34"/>
    </row>
    <row r="319" spans="2:66" ht="12.95" customHeight="1">
      <c r="B319" s="3" t="s">
        <v>481</v>
      </c>
      <c r="C319" s="3"/>
      <c r="D319" s="3"/>
      <c r="E319" s="3"/>
      <c r="F319" s="3"/>
      <c r="H319" s="1398"/>
      <c r="I319" s="1398"/>
      <c r="J319" s="1398"/>
      <c r="K319" s="1398"/>
      <c r="L319" s="1398"/>
      <c r="M319" s="1398"/>
      <c r="N319" s="1398"/>
      <c r="O319" s="1398"/>
      <c r="P319" s="1398"/>
      <c r="Q319" s="1398"/>
      <c r="R319" s="1398"/>
      <c r="T319" s="3" t="s">
        <v>481</v>
      </c>
      <c r="V319" s="3"/>
      <c r="W319" s="3"/>
      <c r="X319" s="3"/>
      <c r="Y319" s="3"/>
      <c r="AA319" s="1398" t="s">
        <v>2674</v>
      </c>
      <c r="AB319" s="1398"/>
      <c r="AC319" s="1398"/>
      <c r="AD319" s="1398"/>
      <c r="AE319" s="1398"/>
      <c r="AF319" s="1398"/>
      <c r="AG319" s="1398"/>
      <c r="AH319" s="1398"/>
      <c r="AI319" s="1398"/>
      <c r="AJ319" s="1398"/>
      <c r="AK319" s="1398"/>
      <c r="BN319" s="34"/>
    </row>
    <row r="320" spans="2:66" ht="12.95" customHeight="1">
      <c r="B320" s="3" t="s">
        <v>482</v>
      </c>
      <c r="C320" s="3"/>
      <c r="D320" s="3"/>
      <c r="E320" s="3"/>
      <c r="F320" s="3"/>
      <c r="H320" s="1398"/>
      <c r="I320" s="1398"/>
      <c r="J320" s="1398"/>
      <c r="K320" s="1398"/>
      <c r="L320" s="1398"/>
      <c r="M320" s="1398"/>
      <c r="N320" s="1398"/>
      <c r="O320" s="1398"/>
      <c r="P320" s="1398"/>
      <c r="Q320" s="1398"/>
      <c r="R320" s="1398"/>
      <c r="T320" s="3" t="s">
        <v>76</v>
      </c>
      <c r="V320" s="3"/>
      <c r="W320" s="3"/>
      <c r="X320" s="3"/>
      <c r="Y320" s="3"/>
      <c r="AA320" s="1398" t="s">
        <v>2675</v>
      </c>
      <c r="AB320" s="1398"/>
      <c r="AC320" s="1398"/>
      <c r="AD320" s="1398"/>
      <c r="AE320" s="1398"/>
      <c r="AF320" s="1398"/>
      <c r="AG320" s="1398"/>
      <c r="AH320" s="1398"/>
      <c r="AI320" s="1398"/>
      <c r="AJ320" s="1398"/>
      <c r="AK320" s="1398"/>
      <c r="BN320" s="34"/>
    </row>
    <row r="321" spans="2:66" ht="12.95" customHeight="1">
      <c r="B321" s="3" t="s">
        <v>88</v>
      </c>
      <c r="C321" s="3"/>
      <c r="D321" s="3"/>
      <c r="E321" s="3"/>
      <c r="F321" s="3"/>
      <c r="H321" s="1398"/>
      <c r="I321" s="1398"/>
      <c r="J321" s="1398"/>
      <c r="K321" s="1398"/>
      <c r="L321" s="1398"/>
      <c r="M321" s="1398"/>
      <c r="N321" s="1398"/>
      <c r="O321" s="1398"/>
      <c r="P321" s="1398"/>
      <c r="Q321" s="1398"/>
      <c r="R321" s="1398"/>
      <c r="T321" s="3" t="s">
        <v>88</v>
      </c>
      <c r="V321" s="3"/>
      <c r="W321" s="3"/>
      <c r="X321" s="3"/>
      <c r="Y321" s="3"/>
      <c r="AA321" s="1632" t="s">
        <v>2676</v>
      </c>
      <c r="AB321" s="1398"/>
      <c r="AC321" s="1398"/>
      <c r="AD321" s="1398"/>
      <c r="AE321" s="1398"/>
      <c r="AF321" s="1398"/>
      <c r="AG321" s="1398"/>
      <c r="AH321" s="1398"/>
      <c r="AI321" s="1398"/>
      <c r="AJ321" s="1398"/>
      <c r="AK321" s="1398"/>
      <c r="BN321" s="34"/>
    </row>
    <row r="322" spans="2:66" ht="12.95" customHeight="1">
      <c r="B322" s="3" t="s">
        <v>89</v>
      </c>
      <c r="C322" s="3"/>
      <c r="D322" s="3"/>
      <c r="E322" s="3"/>
      <c r="F322" s="3"/>
      <c r="G322" s="3"/>
      <c r="H322" s="1655"/>
      <c r="I322" s="1655"/>
      <c r="J322" s="1655"/>
      <c r="K322" s="1655"/>
      <c r="L322" s="1655"/>
      <c r="M322" s="1655"/>
      <c r="N322" s="4" t="s">
        <v>208</v>
      </c>
      <c r="O322" s="4"/>
      <c r="P322" s="1654"/>
      <c r="Q322" s="1654"/>
      <c r="R322" s="1654"/>
      <c r="S322" s="3"/>
      <c r="T322" s="3" t="s">
        <v>89</v>
      </c>
      <c r="V322" s="3"/>
      <c r="W322" s="3"/>
      <c r="X322" s="3"/>
      <c r="Y322" s="3"/>
      <c r="AA322" s="1674">
        <v>4022020771</v>
      </c>
      <c r="AB322" s="1674"/>
      <c r="AC322" s="1674"/>
      <c r="AD322" s="1674"/>
      <c r="AE322" s="1674"/>
      <c r="AF322" s="1674"/>
      <c r="AG322" s="4" t="s">
        <v>208</v>
      </c>
      <c r="AH322" s="4"/>
      <c r="AI322" s="1654"/>
      <c r="AJ322" s="1654"/>
      <c r="AK322" s="1654"/>
      <c r="BN322" s="34"/>
    </row>
    <row r="323" spans="2:66" ht="12.95" customHeight="1">
      <c r="B323" s="3" t="s">
        <v>90</v>
      </c>
      <c r="C323" s="3"/>
      <c r="D323" s="3"/>
      <c r="E323" s="3"/>
      <c r="F323" s="3"/>
      <c r="G323" s="3"/>
      <c r="H323" s="1361"/>
      <c r="I323" s="1361"/>
      <c r="J323" s="1361"/>
      <c r="K323" s="1361"/>
      <c r="L323" s="1361"/>
      <c r="M323" s="1361"/>
      <c r="N323" s="4"/>
      <c r="O323" s="4"/>
      <c r="P323" s="35"/>
      <c r="Q323" s="35"/>
      <c r="R323" s="35"/>
      <c r="S323" s="3"/>
      <c r="T323" s="3" t="s">
        <v>90</v>
      </c>
      <c r="V323" s="3"/>
      <c r="W323" s="3"/>
      <c r="X323" s="3"/>
      <c r="Y323" s="3"/>
      <c r="AA323" s="1360" t="s">
        <v>601</v>
      </c>
      <c r="AB323" s="1360"/>
      <c r="AC323" s="1360"/>
      <c r="AD323" s="1360"/>
      <c r="AE323" s="1360"/>
      <c r="AF323" s="1360"/>
      <c r="AG323" s="4"/>
      <c r="AH323" s="4"/>
      <c r="AI323" s="35"/>
      <c r="AJ323" s="35"/>
      <c r="AK323" s="35"/>
    </row>
    <row r="324" spans="2:66" ht="12.95" customHeight="1">
      <c r="B324" s="3" t="s">
        <v>77</v>
      </c>
      <c r="C324" s="3"/>
      <c r="D324" s="3"/>
      <c r="E324" s="3"/>
      <c r="F324" s="3"/>
      <c r="G324" s="3"/>
      <c r="H324" s="1666"/>
      <c r="I324" s="1398"/>
      <c r="J324" s="1398"/>
      <c r="K324" s="1398"/>
      <c r="L324" s="1398"/>
      <c r="M324" s="1398"/>
      <c r="N324" s="1358"/>
      <c r="O324" s="1358"/>
      <c r="P324" s="1358"/>
      <c r="Q324" s="1358"/>
      <c r="R324" s="1358"/>
      <c r="S324" s="3"/>
      <c r="T324" s="3" t="s">
        <v>77</v>
      </c>
      <c r="V324" s="3"/>
      <c r="W324" s="3"/>
      <c r="X324" s="3"/>
      <c r="Y324" s="3"/>
      <c r="AA324" s="1632" t="s">
        <v>2677</v>
      </c>
      <c r="AB324" s="1398"/>
      <c r="AC324" s="1398"/>
      <c r="AD324" s="1398"/>
      <c r="AE324" s="1398"/>
      <c r="AF324" s="1398"/>
      <c r="AG324" s="1358"/>
      <c r="AH324" s="1358"/>
      <c r="AI324" s="1358"/>
      <c r="AJ324" s="1358"/>
      <c r="AK324" s="1358"/>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8"/>
      <c r="I326" s="1398"/>
      <c r="J326" s="1398"/>
      <c r="K326" s="1398"/>
      <c r="L326" s="1398"/>
      <c r="M326" s="1398"/>
      <c r="N326" s="1358"/>
      <c r="O326" s="1358"/>
      <c r="P326" s="1358"/>
      <c r="Q326" s="1358"/>
      <c r="R326" s="1358"/>
      <c r="T326" s="3" t="s">
        <v>370</v>
      </c>
      <c r="V326" s="3"/>
      <c r="W326" s="3"/>
      <c r="X326" s="3"/>
      <c r="Y326" s="3"/>
      <c r="AA326" s="1358"/>
      <c r="AB326" s="1358"/>
      <c r="AC326" s="1358"/>
      <c r="AD326" s="1358"/>
      <c r="AE326" s="1358"/>
      <c r="AF326" s="1358"/>
      <c r="AG326" s="1358"/>
      <c r="AH326" s="1358"/>
      <c r="AI326" s="1358"/>
      <c r="AJ326" s="1358"/>
      <c r="AK326" s="1358"/>
    </row>
    <row r="327" spans="2:66" ht="12.95" customHeight="1">
      <c r="B327" s="3" t="s">
        <v>481</v>
      </c>
      <c r="C327" s="3"/>
      <c r="D327" s="3"/>
      <c r="E327" s="3"/>
      <c r="F327" s="3"/>
      <c r="H327" s="1398"/>
      <c r="I327" s="1398"/>
      <c r="J327" s="1398"/>
      <c r="K327" s="1398"/>
      <c r="L327" s="1398"/>
      <c r="M327" s="1398"/>
      <c r="N327" s="1398"/>
      <c r="O327" s="1398"/>
      <c r="P327" s="1398"/>
      <c r="Q327" s="1398"/>
      <c r="R327" s="1398"/>
      <c r="T327" s="3" t="s">
        <v>481</v>
      </c>
      <c r="V327" s="3"/>
      <c r="W327" s="3"/>
      <c r="X327" s="3"/>
      <c r="Y327" s="3"/>
      <c r="AA327" s="1398"/>
      <c r="AB327" s="1398"/>
      <c r="AC327" s="1398"/>
      <c r="AD327" s="1398"/>
      <c r="AE327" s="1398"/>
      <c r="AF327" s="1398"/>
      <c r="AG327" s="1398"/>
      <c r="AH327" s="1398"/>
      <c r="AI327" s="1398"/>
      <c r="AJ327" s="1398"/>
      <c r="AK327" s="1398"/>
    </row>
    <row r="328" spans="2:66" ht="12.95" customHeight="1">
      <c r="B328" s="3" t="s">
        <v>482</v>
      </c>
      <c r="C328" s="3"/>
      <c r="D328" s="3"/>
      <c r="E328" s="3"/>
      <c r="F328" s="3"/>
      <c r="H328" s="1398"/>
      <c r="I328" s="1398"/>
      <c r="J328" s="1398"/>
      <c r="K328" s="1398"/>
      <c r="L328" s="1398"/>
      <c r="M328" s="1398"/>
      <c r="N328" s="1398"/>
      <c r="O328" s="1398"/>
      <c r="P328" s="1398"/>
      <c r="Q328" s="1398"/>
      <c r="R328" s="1398"/>
      <c r="T328" s="3" t="s">
        <v>76</v>
      </c>
      <c r="V328" s="3"/>
      <c r="W328" s="3"/>
      <c r="X328" s="3"/>
      <c r="Y328" s="3"/>
      <c r="AA328" s="1398"/>
      <c r="AB328" s="1398"/>
      <c r="AC328" s="1398"/>
      <c r="AD328" s="1398"/>
      <c r="AE328" s="1398"/>
      <c r="AF328" s="1398"/>
      <c r="AG328" s="1398"/>
      <c r="AH328" s="1398"/>
      <c r="AI328" s="1398"/>
      <c r="AJ328" s="1398"/>
      <c r="AK328" s="1398"/>
    </row>
    <row r="329" spans="2:66" ht="12.95" customHeight="1">
      <c r="B329" s="3" t="s">
        <v>88</v>
      </c>
      <c r="C329" s="3"/>
      <c r="D329" s="3"/>
      <c r="E329" s="3"/>
      <c r="F329" s="3"/>
      <c r="H329" s="1398"/>
      <c r="I329" s="1398"/>
      <c r="J329" s="1398"/>
      <c r="K329" s="1398"/>
      <c r="L329" s="1398"/>
      <c r="M329" s="1398"/>
      <c r="N329" s="1398"/>
      <c r="O329" s="1398"/>
      <c r="P329" s="1398"/>
      <c r="Q329" s="1398"/>
      <c r="R329" s="1398"/>
      <c r="T329" s="3" t="s">
        <v>88</v>
      </c>
      <c r="V329" s="3"/>
      <c r="W329" s="3"/>
      <c r="X329" s="3"/>
      <c r="Y329" s="3"/>
      <c r="AA329" s="1398"/>
      <c r="AB329" s="1398"/>
      <c r="AC329" s="1398"/>
      <c r="AD329" s="1398"/>
      <c r="AE329" s="1398"/>
      <c r="AF329" s="1398"/>
      <c r="AG329" s="1398"/>
      <c r="AH329" s="1398"/>
      <c r="AI329" s="1398"/>
      <c r="AJ329" s="1398"/>
      <c r="AK329" s="1398"/>
    </row>
    <row r="330" spans="2:66" ht="12.95" customHeight="1">
      <c r="B330" s="3" t="s">
        <v>89</v>
      </c>
      <c r="C330" s="3"/>
      <c r="D330" s="3"/>
      <c r="E330" s="3"/>
      <c r="F330" s="3"/>
      <c r="G330" s="3"/>
      <c r="H330" s="1655"/>
      <c r="I330" s="1655"/>
      <c r="J330" s="1655"/>
      <c r="K330" s="1655"/>
      <c r="L330" s="1655"/>
      <c r="M330" s="1655"/>
      <c r="N330" s="4" t="s">
        <v>208</v>
      </c>
      <c r="O330" s="4"/>
      <c r="P330" s="1654"/>
      <c r="Q330" s="1654"/>
      <c r="R330" s="1654"/>
      <c r="S330" s="3"/>
      <c r="T330" s="3" t="s">
        <v>89</v>
      </c>
      <c r="V330" s="3"/>
      <c r="W330" s="3"/>
      <c r="X330" s="3"/>
      <c r="Y330" s="3"/>
      <c r="AA330" s="1655"/>
      <c r="AB330" s="1655"/>
      <c r="AC330" s="1655"/>
      <c r="AD330" s="1655"/>
      <c r="AE330" s="1655"/>
      <c r="AF330" s="1655"/>
      <c r="AG330" s="4" t="s">
        <v>208</v>
      </c>
      <c r="AH330" s="4"/>
      <c r="AI330" s="1654"/>
      <c r="AJ330" s="1654"/>
      <c r="AK330" s="1654"/>
    </row>
    <row r="331" spans="2:66" ht="12.95" customHeight="1">
      <c r="B331" s="3" t="s">
        <v>90</v>
      </c>
      <c r="C331" s="3"/>
      <c r="D331" s="3"/>
      <c r="E331" s="3"/>
      <c r="F331" s="3"/>
      <c r="G331" s="3"/>
      <c r="H331" s="1361"/>
      <c r="I331" s="1361"/>
      <c r="J331" s="1361"/>
      <c r="K331" s="1361"/>
      <c r="L331" s="1361"/>
      <c r="M331" s="1361"/>
      <c r="N331" s="4"/>
      <c r="O331" s="4"/>
      <c r="P331" s="35"/>
      <c r="Q331" s="35"/>
      <c r="R331" s="35"/>
      <c r="S331" s="3"/>
      <c r="T331" s="3" t="s">
        <v>90</v>
      </c>
      <c r="V331" s="3"/>
      <c r="W331" s="3"/>
      <c r="X331" s="3"/>
      <c r="Y331" s="3"/>
      <c r="AA331" s="1361"/>
      <c r="AB331" s="1361"/>
      <c r="AC331" s="1361"/>
      <c r="AD331" s="1361"/>
      <c r="AE331" s="1361"/>
      <c r="AF331" s="1361"/>
      <c r="AG331" s="4"/>
      <c r="AH331" s="4"/>
      <c r="AI331" s="35"/>
      <c r="AJ331" s="35"/>
      <c r="AK331" s="35"/>
    </row>
    <row r="332" spans="2:66" ht="12.95" customHeight="1">
      <c r="B332" s="3" t="s">
        <v>77</v>
      </c>
      <c r="C332" s="3"/>
      <c r="D332" s="3"/>
      <c r="E332" s="3"/>
      <c r="F332" s="3"/>
      <c r="G332" s="3"/>
      <c r="H332" s="1398"/>
      <c r="I332" s="1398"/>
      <c r="J332" s="1398"/>
      <c r="K332" s="1398"/>
      <c r="L332" s="1398"/>
      <c r="M332" s="1398"/>
      <c r="N332" s="1358"/>
      <c r="O332" s="1358"/>
      <c r="P332" s="1358"/>
      <c r="Q332" s="1358"/>
      <c r="R332" s="1358"/>
      <c r="S332" s="3"/>
      <c r="T332" s="3" t="s">
        <v>77</v>
      </c>
      <c r="V332" s="3"/>
      <c r="W332" s="3"/>
      <c r="X332" s="3"/>
      <c r="Y332" s="3"/>
      <c r="AA332" s="1398"/>
      <c r="AB332" s="1398"/>
      <c r="AC332" s="1398"/>
      <c r="AD332" s="1398"/>
      <c r="AE332" s="1398"/>
      <c r="AF332" s="1398"/>
      <c r="AG332" s="1358"/>
      <c r="AH332" s="1358"/>
      <c r="AI332" s="1358"/>
      <c r="AJ332" s="1358"/>
      <c r="AK332" s="1358"/>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8" t="s">
        <v>2678</v>
      </c>
      <c r="I334" s="1358"/>
      <c r="J334" s="1358"/>
      <c r="K334" s="1358"/>
      <c r="L334" s="1358"/>
      <c r="M334" s="1358"/>
      <c r="N334" s="1358"/>
      <c r="O334" s="1358"/>
      <c r="P334" s="1358"/>
      <c r="Q334" s="1358"/>
      <c r="R334" s="1358"/>
      <c r="T334" s="218" t="s">
        <v>917</v>
      </c>
      <c r="V334" s="3"/>
      <c r="W334" s="3"/>
      <c r="X334" s="3"/>
      <c r="Y334" s="3"/>
      <c r="AA334" s="1358" t="s">
        <v>2687</v>
      </c>
      <c r="AB334" s="1358"/>
      <c r="AC334" s="1358"/>
      <c r="AD334" s="1358"/>
      <c r="AE334" s="1358"/>
      <c r="AF334" s="1358"/>
      <c r="AG334" s="1358"/>
      <c r="AH334" s="1358"/>
      <c r="AI334" s="1358"/>
      <c r="AJ334" s="1358"/>
      <c r="AK334" s="1358"/>
    </row>
    <row r="335" spans="2:66" ht="12.95" customHeight="1">
      <c r="B335" s="3" t="s">
        <v>481</v>
      </c>
      <c r="C335" s="3"/>
      <c r="D335" s="3"/>
      <c r="E335" s="3"/>
      <c r="F335" s="3"/>
      <c r="H335" s="1398" t="s">
        <v>2686</v>
      </c>
      <c r="I335" s="1398"/>
      <c r="J335" s="1398"/>
      <c r="K335" s="1398"/>
      <c r="L335" s="1398"/>
      <c r="M335" s="1398"/>
      <c r="N335" s="1398"/>
      <c r="O335" s="1398"/>
      <c r="P335" s="1398"/>
      <c r="Q335" s="1398"/>
      <c r="R335" s="1398"/>
      <c r="T335" s="3" t="s">
        <v>481</v>
      </c>
      <c r="V335" s="3"/>
      <c r="W335" s="3"/>
      <c r="X335" s="3"/>
      <c r="Y335" s="3"/>
      <c r="AA335" s="1398" t="s">
        <v>2651</v>
      </c>
      <c r="AB335" s="1398"/>
      <c r="AC335" s="1398"/>
      <c r="AD335" s="1398"/>
      <c r="AE335" s="1398"/>
      <c r="AF335" s="1398"/>
      <c r="AG335" s="1398"/>
      <c r="AH335" s="1398"/>
      <c r="AI335" s="1398"/>
      <c r="AJ335" s="1398"/>
      <c r="AK335" s="1398"/>
    </row>
    <row r="336" spans="2:66" ht="12.95" customHeight="1">
      <c r="B336" s="3" t="s">
        <v>76</v>
      </c>
      <c r="C336" s="3"/>
      <c r="D336" s="3"/>
      <c r="E336" s="3"/>
      <c r="F336" s="3"/>
      <c r="H336" s="1398" t="s">
        <v>2679</v>
      </c>
      <c r="I336" s="1398"/>
      <c r="J336" s="1398"/>
      <c r="K336" s="1398"/>
      <c r="L336" s="1398"/>
      <c r="M336" s="1398"/>
      <c r="N336" s="1398"/>
      <c r="O336" s="1398"/>
      <c r="P336" s="1398"/>
      <c r="Q336" s="1398"/>
      <c r="R336" s="1398"/>
      <c r="T336" s="3" t="s">
        <v>76</v>
      </c>
      <c r="V336" s="3"/>
      <c r="W336" s="3"/>
      <c r="X336" s="3"/>
      <c r="Y336" s="3"/>
      <c r="AA336" s="1398" t="s">
        <v>2664</v>
      </c>
      <c r="AB336" s="1398"/>
      <c r="AC336" s="1398"/>
      <c r="AD336" s="1398"/>
      <c r="AE336" s="1398"/>
      <c r="AF336" s="1398"/>
      <c r="AG336" s="1398"/>
      <c r="AH336" s="1398"/>
      <c r="AI336" s="1398"/>
      <c r="AJ336" s="1398"/>
      <c r="AK336" s="1398"/>
    </row>
    <row r="337" spans="1:66" ht="12.95" customHeight="1">
      <c r="B337" s="3" t="s">
        <v>88</v>
      </c>
      <c r="C337" s="3"/>
      <c r="D337" s="3"/>
      <c r="E337" s="3"/>
      <c r="F337" s="3"/>
      <c r="G337" s="3"/>
      <c r="H337" s="1398" t="s">
        <v>2680</v>
      </c>
      <c r="I337" s="1398"/>
      <c r="J337" s="1398"/>
      <c r="K337" s="1398"/>
      <c r="L337" s="1398"/>
      <c r="M337" s="1398"/>
      <c r="N337" s="1398"/>
      <c r="O337" s="1398"/>
      <c r="P337" s="1398"/>
      <c r="Q337" s="1398"/>
      <c r="R337" s="1398"/>
      <c r="T337" s="3" t="s">
        <v>88</v>
      </c>
      <c r="V337" s="3"/>
      <c r="W337" s="3"/>
      <c r="X337" s="3"/>
      <c r="Y337" s="3"/>
      <c r="AA337" s="1398" t="s">
        <v>2688</v>
      </c>
      <c r="AB337" s="1398"/>
      <c r="AC337" s="1398"/>
      <c r="AD337" s="1398"/>
      <c r="AE337" s="1398"/>
      <c r="AF337" s="1398"/>
      <c r="AG337" s="1398"/>
      <c r="AH337" s="1398"/>
      <c r="AI337" s="1398"/>
      <c r="AJ337" s="1398"/>
      <c r="AK337" s="1398"/>
    </row>
    <row r="338" spans="1:66" ht="12.95" customHeight="1">
      <c r="B338" s="3" t="s">
        <v>89</v>
      </c>
      <c r="C338" s="3"/>
      <c r="D338" s="3"/>
      <c r="E338" s="3"/>
      <c r="F338" s="3"/>
      <c r="G338" s="3"/>
      <c r="H338" s="1655">
        <v>7609301221</v>
      </c>
      <c r="I338" s="1655"/>
      <c r="J338" s="1655"/>
      <c r="K338" s="1655"/>
      <c r="L338" s="1655"/>
      <c r="M338" s="1655"/>
      <c r="N338" s="4" t="s">
        <v>208</v>
      </c>
      <c r="O338" s="4"/>
      <c r="P338" s="1654"/>
      <c r="Q338" s="1654"/>
      <c r="R338" s="1654"/>
      <c r="S338" s="3"/>
      <c r="T338" s="3" t="s">
        <v>89</v>
      </c>
      <c r="V338" s="3"/>
      <c r="W338" s="3"/>
      <c r="X338" s="3"/>
      <c r="Y338" s="3"/>
      <c r="AA338" s="1674">
        <v>9167243939</v>
      </c>
      <c r="AB338" s="1674"/>
      <c r="AC338" s="1674"/>
      <c r="AD338" s="1674"/>
      <c r="AE338" s="1674"/>
      <c r="AF338" s="1674"/>
      <c r="AG338" s="4" t="s">
        <v>208</v>
      </c>
      <c r="AH338" s="4"/>
      <c r="AI338" s="1654"/>
      <c r="AJ338" s="1654"/>
      <c r="AK338" s="1654"/>
    </row>
    <row r="339" spans="1:66" ht="12.95" customHeight="1">
      <c r="B339" s="3" t="s">
        <v>90</v>
      </c>
      <c r="C339" s="3"/>
      <c r="D339" s="3"/>
      <c r="E339" s="3"/>
      <c r="F339" s="3"/>
      <c r="G339" s="3"/>
      <c r="H339" s="1361">
        <v>7606833390</v>
      </c>
      <c r="I339" s="1361"/>
      <c r="J339" s="1361"/>
      <c r="K339" s="1361"/>
      <c r="L339" s="1361"/>
      <c r="M339" s="1361"/>
      <c r="N339" s="4"/>
      <c r="O339" s="4"/>
      <c r="P339" s="35"/>
      <c r="Q339" s="35"/>
      <c r="R339" s="35"/>
      <c r="S339" s="3"/>
      <c r="T339" s="3" t="s">
        <v>90</v>
      </c>
      <c r="V339" s="3"/>
      <c r="W339" s="3"/>
      <c r="X339" s="3"/>
      <c r="Y339" s="3"/>
      <c r="AA339" s="1360">
        <v>9167735866</v>
      </c>
      <c r="AB339" s="1360"/>
      <c r="AC339" s="1360"/>
      <c r="AD339" s="1360"/>
      <c r="AE339" s="1360"/>
      <c r="AF339" s="1360"/>
      <c r="AG339" s="4"/>
      <c r="AH339" s="4"/>
      <c r="AI339" s="35"/>
      <c r="AJ339" s="35"/>
      <c r="AK339" s="35"/>
    </row>
    <row r="340" spans="1:66" ht="12.95" customHeight="1">
      <c r="B340" s="3" t="s">
        <v>77</v>
      </c>
      <c r="C340" s="3"/>
      <c r="D340" s="3"/>
      <c r="E340" s="3"/>
      <c r="F340" s="3"/>
      <c r="G340" s="3"/>
      <c r="H340" s="1666" t="s">
        <v>2681</v>
      </c>
      <c r="I340" s="1398"/>
      <c r="J340" s="1398"/>
      <c r="K340" s="1398"/>
      <c r="L340" s="1398"/>
      <c r="M340" s="1398"/>
      <c r="N340" s="1358"/>
      <c r="O340" s="1358"/>
      <c r="P340" s="1358"/>
      <c r="Q340" s="1358"/>
      <c r="R340" s="1358"/>
      <c r="S340" s="3"/>
      <c r="T340" s="3" t="s">
        <v>77</v>
      </c>
      <c r="V340" s="3"/>
      <c r="W340" s="3"/>
      <c r="X340" s="3"/>
      <c r="Y340" s="3"/>
      <c r="AA340" s="1398" t="s">
        <v>2689</v>
      </c>
      <c r="AB340" s="1398"/>
      <c r="AC340" s="1398"/>
      <c r="AD340" s="1398"/>
      <c r="AE340" s="1398"/>
      <c r="AF340" s="1398"/>
      <c r="AG340" s="1358"/>
      <c r="AH340" s="1358"/>
      <c r="AI340" s="1358"/>
      <c r="AJ340" s="1358"/>
      <c r="AK340" s="135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8"/>
      <c r="Q342" s="1358"/>
      <c r="R342" s="1358"/>
      <c r="S342" s="1358"/>
      <c r="T342" s="1358"/>
      <c r="U342" s="1358"/>
      <c r="V342" s="1358"/>
      <c r="W342" s="1358"/>
      <c r="X342" s="1358"/>
      <c r="Y342" s="1358"/>
      <c r="Z342" s="1358"/>
      <c r="AA342" s="1358"/>
      <c r="AB342" s="1358"/>
      <c r="AC342" s="1358"/>
      <c r="AD342" s="1358"/>
      <c r="AE342" s="1358"/>
      <c r="BN342" t="s">
        <v>601</v>
      </c>
    </row>
    <row r="343" spans="1:66" ht="12.95" customHeight="1">
      <c r="B343" s="4"/>
      <c r="C343" s="4"/>
      <c r="D343" s="4"/>
      <c r="E343" s="4"/>
      <c r="F343" s="4"/>
      <c r="I343" s="4" t="s">
        <v>481</v>
      </c>
      <c r="P343" s="1398"/>
      <c r="Q343" s="1398"/>
      <c r="R343" s="1398"/>
      <c r="S343" s="1398"/>
      <c r="T343" s="1398"/>
      <c r="U343" s="1398"/>
      <c r="V343" s="1398"/>
      <c r="W343" s="1398"/>
      <c r="X343" s="1398"/>
      <c r="Y343" s="1398"/>
      <c r="Z343" s="1398"/>
      <c r="AA343" s="1398"/>
      <c r="AB343" s="1398"/>
      <c r="AC343" s="1398"/>
      <c r="AD343" s="1398"/>
      <c r="AE343" s="1398"/>
      <c r="BN343" t="s">
        <v>679</v>
      </c>
    </row>
    <row r="344" spans="1:66" ht="12.95" customHeight="1">
      <c r="B344" s="4"/>
      <c r="C344" s="4"/>
      <c r="D344" s="4"/>
      <c r="E344" s="4"/>
      <c r="F344" s="4"/>
      <c r="I344" s="4" t="s">
        <v>76</v>
      </c>
      <c r="P344" s="1398"/>
      <c r="Q344" s="1398"/>
      <c r="R344" s="1398"/>
      <c r="S344" s="1398"/>
      <c r="T344" s="1398"/>
      <c r="U344" s="1398"/>
      <c r="V344" s="1398"/>
      <c r="W344" s="1398"/>
      <c r="X344" s="1398"/>
      <c r="Y344" s="1398"/>
      <c r="Z344" s="1398"/>
      <c r="AA344" s="1398"/>
      <c r="AB344" s="1398"/>
      <c r="AC344" s="1398"/>
      <c r="AD344" s="1398"/>
      <c r="AE344" s="1398"/>
      <c r="BN344" t="s">
        <v>555</v>
      </c>
    </row>
    <row r="345" spans="1:66" ht="12.95" customHeight="1">
      <c r="B345" s="4"/>
      <c r="C345" s="4"/>
      <c r="D345" s="4"/>
      <c r="E345" s="4"/>
      <c r="F345" s="4"/>
      <c r="G345" s="4"/>
      <c r="I345" s="4" t="s">
        <v>88</v>
      </c>
      <c r="P345" s="1398"/>
      <c r="Q345" s="1398"/>
      <c r="R345" s="1398"/>
      <c r="S345" s="1398"/>
      <c r="T345" s="1398"/>
      <c r="U345" s="1398"/>
      <c r="V345" s="1398"/>
      <c r="W345" s="1398"/>
      <c r="X345" s="1398"/>
      <c r="Y345" s="1398"/>
      <c r="Z345" s="1398"/>
      <c r="AA345" s="1398"/>
      <c r="AB345" s="1398"/>
      <c r="AC345" s="1398"/>
      <c r="AD345" s="1398"/>
      <c r="AE345" s="1398"/>
    </row>
    <row r="346" spans="1:66" ht="12.95" customHeight="1">
      <c r="B346" s="4"/>
      <c r="C346" s="4"/>
      <c r="D346" s="4"/>
      <c r="E346" s="4"/>
      <c r="F346" s="4"/>
      <c r="G346" s="4"/>
      <c r="H346" s="324"/>
      <c r="I346" s="4" t="s">
        <v>89</v>
      </c>
      <c r="P346" s="1361"/>
      <c r="Q346" s="1361"/>
      <c r="R346" s="1361"/>
      <c r="S346" s="1361"/>
      <c r="T346" s="1361"/>
      <c r="U346" s="1361"/>
      <c r="V346" s="1361"/>
      <c r="W346" s="1361"/>
      <c r="X346" s="1361"/>
      <c r="Y346" s="1361"/>
      <c r="Z346" s="1361"/>
      <c r="AA346" s="4" t="s">
        <v>208</v>
      </c>
      <c r="AB346" s="4"/>
      <c r="AC346" s="1362"/>
      <c r="AD346" s="1362"/>
      <c r="AE346" s="1362"/>
      <c r="AF346" s="324"/>
      <c r="AG346" s="4"/>
      <c r="AH346" s="4"/>
      <c r="AI346" s="4"/>
      <c r="AJ346" s="4"/>
      <c r="AK346" s="4"/>
    </row>
    <row r="347" spans="1:66" ht="12.95" customHeight="1">
      <c r="B347" s="4"/>
      <c r="C347" s="4"/>
      <c r="D347" s="4"/>
      <c r="E347" s="4"/>
      <c r="F347" s="4"/>
      <c r="G347" s="4"/>
      <c r="H347" s="324"/>
      <c r="I347" s="4" t="s">
        <v>90</v>
      </c>
      <c r="P347" s="1361"/>
      <c r="Q347" s="1361"/>
      <c r="R347" s="1361"/>
      <c r="S347" s="1361"/>
      <c r="T347" s="1361"/>
      <c r="U347" s="1361"/>
      <c r="V347" s="1361"/>
      <c r="W347" s="1361"/>
      <c r="X347" s="1361"/>
      <c r="Y347" s="1361"/>
      <c r="Z347" s="1361"/>
      <c r="AF347" s="324"/>
      <c r="AG347" s="4"/>
      <c r="AH347" s="4"/>
      <c r="AI347" s="35"/>
      <c r="AJ347" s="35"/>
      <c r="AK347" s="35"/>
    </row>
    <row r="348" spans="1:66" ht="12.95" customHeight="1">
      <c r="B348" s="4"/>
      <c r="C348" s="4"/>
      <c r="D348" s="4"/>
      <c r="E348" s="4"/>
      <c r="F348" s="4"/>
      <c r="G348" s="4"/>
      <c r="I348" s="4" t="s">
        <v>77</v>
      </c>
      <c r="P348" s="1358"/>
      <c r="Q348" s="1358"/>
      <c r="R348" s="1358"/>
      <c r="S348" s="1358"/>
      <c r="T348" s="1358"/>
      <c r="U348" s="1358"/>
      <c r="V348" s="1358"/>
      <c r="W348" s="1358"/>
      <c r="X348" s="1358"/>
      <c r="Y348" s="1358"/>
      <c r="Z348" s="1358"/>
      <c r="AA348" s="1358"/>
      <c r="AB348" s="1358"/>
      <c r="AC348" s="1358"/>
      <c r="AD348" s="1358"/>
      <c r="AE348" s="1358"/>
    </row>
    <row r="349" spans="1:66" ht="12.95" customHeight="1">
      <c r="T349" s="8"/>
      <c r="U349" s="8"/>
      <c r="V349" s="8"/>
      <c r="W349" s="8"/>
      <c r="X349" s="8"/>
      <c r="Y349" s="8"/>
      <c r="Z349" s="8"/>
    </row>
    <row r="350" spans="1:66" ht="12.95" customHeight="1">
      <c r="A350" s="1648" t="s">
        <v>552</v>
      </c>
      <c r="B350" s="1648"/>
      <c r="C350" s="1648"/>
      <c r="D350" s="1648"/>
      <c r="E350" s="1648"/>
      <c r="F350" s="1648"/>
      <c r="G350" s="1648"/>
      <c r="H350" s="1648"/>
      <c r="I350" s="1648"/>
      <c r="J350" s="1648"/>
      <c r="K350" s="1648"/>
      <c r="L350" s="1648"/>
      <c r="M350" s="1648"/>
      <c r="N350" s="1648"/>
      <c r="O350" s="1648"/>
      <c r="P350" s="1648"/>
      <c r="Q350" s="1648"/>
      <c r="R350" s="1648"/>
      <c r="S350" s="1648"/>
      <c r="T350" s="1648"/>
      <c r="U350" s="1648"/>
      <c r="V350" s="1648"/>
      <c r="W350" s="1648"/>
      <c r="X350" s="1648"/>
      <c r="Y350" s="1648"/>
      <c r="Z350" s="1648"/>
      <c r="AA350" s="1648"/>
      <c r="AB350" s="1648"/>
      <c r="AC350" s="1648"/>
      <c r="AD350" s="1648"/>
      <c r="AE350" s="1648"/>
      <c r="AF350" s="1648"/>
      <c r="AG350" s="1648"/>
      <c r="AH350" s="1648"/>
      <c r="AI350" s="1648"/>
      <c r="AJ350" s="1648"/>
      <c r="AK350" s="1648"/>
      <c r="AL350" s="1648"/>
      <c r="AM350" s="95"/>
      <c r="AN350" s="95"/>
      <c r="AO350" s="95"/>
      <c r="AP350" s="95"/>
      <c r="AQ350" s="95"/>
      <c r="AR350" s="95"/>
      <c r="AS350" s="95"/>
      <c r="AT350" s="95"/>
      <c r="AU350" s="95"/>
      <c r="AV350" s="95"/>
      <c r="AW350" s="95"/>
      <c r="AX350" s="95"/>
      <c r="AY350" s="95"/>
    </row>
    <row r="351" spans="1:66" ht="12.95" customHeight="1" thickBot="1">
      <c r="A351" s="1649"/>
      <c r="B351" s="1649"/>
      <c r="C351" s="1649"/>
      <c r="D351" s="1649"/>
      <c r="E351" s="1649"/>
      <c r="F351" s="1649"/>
      <c r="G351" s="1649"/>
      <c r="H351" s="1649"/>
      <c r="I351" s="1649"/>
      <c r="J351" s="1649"/>
      <c r="K351" s="1649"/>
      <c r="L351" s="1649"/>
      <c r="M351" s="1649"/>
      <c r="N351" s="1649"/>
      <c r="O351" s="1649"/>
      <c r="P351" s="1649"/>
      <c r="Q351" s="1649"/>
      <c r="R351" s="1649"/>
      <c r="S351" s="1649"/>
      <c r="T351" s="1649"/>
      <c r="U351" s="1649"/>
      <c r="V351" s="1649"/>
      <c r="W351" s="1649"/>
      <c r="X351" s="1649"/>
      <c r="Y351" s="1649"/>
      <c r="Z351" s="1649"/>
      <c r="AA351" s="1649"/>
      <c r="AB351" s="1649"/>
      <c r="AC351" s="1649"/>
      <c r="AD351" s="1649"/>
      <c r="AE351" s="1649"/>
      <c r="AF351" s="1649"/>
      <c r="AG351" s="1649"/>
      <c r="AH351" s="1649"/>
      <c r="AI351" s="1649"/>
      <c r="AJ351" s="1649"/>
      <c r="AK351" s="1649"/>
      <c r="AL351" s="1649"/>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2522</v>
      </c>
      <c r="M354" s="1359" t="s">
        <v>555</v>
      </c>
      <c r="N354" s="1359"/>
      <c r="P354" t="s">
        <v>1831</v>
      </c>
      <c r="AJ354" s="1359" t="s">
        <v>555</v>
      </c>
      <c r="AK354" s="1359"/>
    </row>
    <row r="355" spans="1:37" ht="12.95" customHeight="1">
      <c r="D355" s="3" t="s">
        <v>1820</v>
      </c>
      <c r="M355" s="1359" t="s">
        <v>601</v>
      </c>
      <c r="N355" s="1359"/>
      <c r="P355" s="3" t="s">
        <v>1980</v>
      </c>
      <c r="AJ355" s="1430"/>
      <c r="AK355" s="1430"/>
    </row>
    <row r="356" spans="1:37" ht="12.95" customHeight="1">
      <c r="D356" s="3" t="s">
        <v>717</v>
      </c>
      <c r="M356" s="1359" t="s">
        <v>601</v>
      </c>
      <c r="N356" s="1359"/>
      <c r="P356" t="s">
        <v>1830</v>
      </c>
      <c r="AJ356" s="1359" t="s">
        <v>679</v>
      </c>
      <c r="AK356" s="1359"/>
    </row>
    <row r="357" spans="1:37" ht="12.95" customHeight="1">
      <c r="D357" s="3" t="s">
        <v>718</v>
      </c>
      <c r="M357" s="1359" t="s">
        <v>601</v>
      </c>
      <c r="N357" s="1359"/>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9" t="s">
        <v>601</v>
      </c>
      <c r="O362" s="1359"/>
      <c r="P362" s="40"/>
      <c r="Q362" s="40"/>
      <c r="R362" s="40"/>
      <c r="S362" s="40"/>
      <c r="T362" s="40"/>
      <c r="U362" s="40"/>
      <c r="V362" s="40"/>
      <c r="W362" s="40"/>
      <c r="X362" s="40"/>
      <c r="Y362" s="40"/>
      <c r="Z362" s="40"/>
      <c r="AC362" s="40"/>
      <c r="AD362" s="40"/>
      <c r="AE362" s="40"/>
    </row>
    <row r="363" spans="1:37" ht="12.95" customHeight="1">
      <c r="E363" t="s">
        <v>372</v>
      </c>
      <c r="Y363" s="1359" t="s">
        <v>601</v>
      </c>
      <c r="Z363" s="1359"/>
    </row>
    <row r="364" spans="1:37" ht="12.95" customHeight="1">
      <c r="D364" s="4" t="s">
        <v>1019</v>
      </c>
      <c r="Q364" s="1358"/>
      <c r="R364" s="1358"/>
      <c r="S364" s="1358"/>
      <c r="T364" s="1358"/>
      <c r="U364" s="1358"/>
      <c r="V364" s="1358"/>
      <c r="W364" s="1358"/>
      <c r="X364" s="1358"/>
      <c r="Y364" s="1358"/>
      <c r="Z364" s="1358"/>
      <c r="AA364" s="1358"/>
      <c r="AB364" s="1358"/>
      <c r="AC364" s="1358"/>
      <c r="AD364" s="1358"/>
      <c r="AE364" s="1358"/>
      <c r="AF364" s="1358"/>
      <c r="AG364" s="1358"/>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9" t="s">
        <v>601</v>
      </c>
      <c r="K366" s="1359"/>
      <c r="L366" s="40"/>
      <c r="M366" s="40"/>
      <c r="N366" s="40"/>
      <c r="O366" s="40"/>
      <c r="P366" s="40"/>
      <c r="Q366" s="40"/>
      <c r="R366" s="40"/>
      <c r="S366" s="40"/>
      <c r="T366" s="40"/>
      <c r="U366" s="40"/>
      <c r="V366" s="40"/>
      <c r="W366" s="40"/>
      <c r="X366" s="40"/>
      <c r="Y366" s="40"/>
      <c r="Z366" s="40"/>
      <c r="AC366" s="40"/>
      <c r="AD366" s="40"/>
      <c r="AE366" s="40"/>
    </row>
    <row r="367" spans="1:37" ht="12.95" customHeight="1">
      <c r="E367" s="1757" t="s">
        <v>719</v>
      </c>
      <c r="F367" s="1757"/>
      <c r="G367" s="1757"/>
      <c r="H367" s="1757"/>
      <c r="I367" s="1757"/>
      <c r="J367" s="1757"/>
      <c r="K367" s="1757"/>
      <c r="L367" s="1757"/>
      <c r="M367" s="1757"/>
      <c r="N367" s="1757"/>
      <c r="O367" s="1757"/>
      <c r="P367" s="1757"/>
      <c r="Q367" s="1757"/>
      <c r="R367" s="1757"/>
      <c r="S367" s="1757"/>
      <c r="T367" s="1757"/>
      <c r="U367" s="1757"/>
      <c r="V367" s="1757"/>
      <c r="W367" s="1757"/>
      <c r="X367" s="1757"/>
      <c r="Y367" s="1757"/>
      <c r="Z367" s="1757"/>
      <c r="AA367" s="1757"/>
      <c r="AB367" s="1757"/>
      <c r="AC367" s="1757"/>
      <c r="AD367" s="1757"/>
      <c r="AE367" s="1757"/>
      <c r="AF367" s="1757"/>
      <c r="AG367" s="1757"/>
      <c r="AH367" s="1757"/>
    </row>
    <row r="368" spans="1:37" ht="12.95" customHeight="1">
      <c r="E368" s="1757"/>
      <c r="F368" s="1757"/>
      <c r="G368" s="1757"/>
      <c r="H368" s="1757"/>
      <c r="I368" s="1757"/>
      <c r="J368" s="1757"/>
      <c r="K368" s="1757"/>
      <c r="L368" s="1757"/>
      <c r="M368" s="1757"/>
      <c r="N368" s="1757"/>
      <c r="O368" s="1757"/>
      <c r="P368" s="1757"/>
      <c r="Q368" s="1757"/>
      <c r="R368" s="1757"/>
      <c r="S368" s="1757"/>
      <c r="T368" s="1757"/>
      <c r="U368" s="1757"/>
      <c r="V368" s="1757"/>
      <c r="W368" s="1757"/>
      <c r="X368" s="1757"/>
      <c r="Y368" s="1757"/>
      <c r="Z368" s="1757"/>
      <c r="AA368" s="1757"/>
      <c r="AB368" s="1757"/>
      <c r="AC368" s="1757"/>
      <c r="AD368" s="1757"/>
      <c r="AE368" s="1757"/>
      <c r="AF368" s="1757"/>
      <c r="AG368" s="1757"/>
      <c r="AH368" s="1757"/>
    </row>
    <row r="369" spans="1:36" ht="12.95" customHeight="1">
      <c r="E369" s="4" t="s">
        <v>458</v>
      </c>
      <c r="F369" s="4"/>
      <c r="G369" s="4"/>
      <c r="H369" s="4"/>
      <c r="I369" s="4"/>
      <c r="J369" s="4"/>
      <c r="K369" s="4"/>
      <c r="L369" s="4"/>
      <c r="N369" s="1740"/>
      <c r="O369" s="1740"/>
      <c r="P369" s="1740"/>
      <c r="Q369" s="1740"/>
      <c r="R369" s="4"/>
      <c r="U369" s="4" t="s">
        <v>459</v>
      </c>
      <c r="V369" s="4"/>
      <c r="W369" s="4"/>
      <c r="X369" s="4"/>
      <c r="Y369" s="4"/>
      <c r="Z369" s="4"/>
      <c r="AA369" s="4"/>
      <c r="AB369" s="4"/>
      <c r="AC369" s="1740"/>
      <c r="AD369" s="1740"/>
      <c r="AE369" s="1740"/>
      <c r="AF369" s="1740"/>
    </row>
    <row r="370" spans="1:36" ht="12.95" customHeight="1">
      <c r="E370" s="4" t="s">
        <v>460</v>
      </c>
      <c r="F370" s="4"/>
      <c r="G370" s="4"/>
      <c r="H370" s="4"/>
      <c r="I370" s="4"/>
      <c r="J370" s="4"/>
      <c r="K370" s="4"/>
      <c r="L370" s="4"/>
      <c r="N370" s="1740"/>
      <c r="O370" s="1740"/>
      <c r="P370" s="1740"/>
      <c r="Q370" s="1740"/>
      <c r="R370" s="4"/>
      <c r="U370" s="4" t="s">
        <v>0</v>
      </c>
      <c r="V370" s="4"/>
      <c r="W370" s="4"/>
      <c r="X370" s="4"/>
      <c r="Y370" s="4"/>
      <c r="Z370" s="4"/>
      <c r="AA370" s="4"/>
      <c r="AB370" s="4"/>
      <c r="AC370" s="1740"/>
      <c r="AD370" s="1740"/>
      <c r="AE370" s="1740"/>
      <c r="AF370" s="1740"/>
    </row>
    <row r="371" spans="1:36" ht="12.95" customHeight="1">
      <c r="E371" s="4" t="s">
        <v>1</v>
      </c>
      <c r="F371" s="4"/>
      <c r="G371" s="4"/>
      <c r="H371" s="4"/>
      <c r="I371" s="4"/>
      <c r="J371" s="4"/>
      <c r="K371" s="4"/>
      <c r="L371" s="4"/>
      <c r="N371" s="1740"/>
      <c r="O371" s="1740"/>
      <c r="P371" s="1740"/>
      <c r="Q371" s="1740"/>
      <c r="R371" s="4"/>
      <c r="V371" s="4"/>
      <c r="W371" s="4"/>
      <c r="X371" s="4"/>
      <c r="Y371" s="4"/>
      <c r="Z371" s="4"/>
      <c r="AA371" s="4"/>
      <c r="AB371" s="4"/>
    </row>
    <row r="372" spans="1:36" ht="12.95" customHeight="1">
      <c r="E372" s="4" t="s">
        <v>2</v>
      </c>
      <c r="F372" s="4"/>
      <c r="G372" s="4"/>
      <c r="H372" s="4"/>
      <c r="I372" s="4"/>
      <c r="J372" s="4"/>
      <c r="K372" s="4"/>
      <c r="L372" s="4"/>
      <c r="N372" s="1844"/>
      <c r="O372" s="1844"/>
      <c r="P372" s="1844"/>
      <c r="Q372" s="1844"/>
      <c r="R372" s="1844"/>
      <c r="S372" s="1844"/>
      <c r="T372" s="1844"/>
      <c r="U372" s="1844"/>
      <c r="V372" s="1844"/>
      <c r="W372" s="1844"/>
      <c r="X372" s="1844"/>
      <c r="Y372" s="1844"/>
      <c r="Z372" s="1844"/>
      <c r="AA372" s="1844"/>
      <c r="AB372" s="1844"/>
      <c r="AC372" s="1844"/>
      <c r="AD372" s="1844"/>
      <c r="AE372" s="1844"/>
      <c r="AF372" s="1844"/>
    </row>
    <row r="373" spans="1:36" ht="12.95" customHeight="1">
      <c r="E373" s="4"/>
      <c r="F373" s="4"/>
      <c r="G373" s="4"/>
      <c r="H373" s="4"/>
      <c r="I373" s="4"/>
      <c r="J373" s="4"/>
      <c r="K373" s="4"/>
      <c r="L373" s="4"/>
      <c r="N373" s="1845"/>
      <c r="O373" s="1845"/>
      <c r="P373" s="1845"/>
      <c r="Q373" s="1845"/>
      <c r="R373" s="1845"/>
      <c r="S373" s="1845"/>
      <c r="T373" s="1845"/>
      <c r="U373" s="1845"/>
      <c r="V373" s="1845"/>
      <c r="W373" s="1845"/>
      <c r="X373" s="1845"/>
      <c r="Y373" s="1845"/>
      <c r="Z373" s="1845"/>
      <c r="AA373" s="1845"/>
      <c r="AB373" s="1845"/>
      <c r="AC373" s="1845"/>
      <c r="AD373" s="1845"/>
      <c r="AE373" s="1845"/>
      <c r="AF373" s="1845"/>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750"/>
      <c r="T376" s="1750"/>
      <c r="U376" s="1" t="s">
        <v>308</v>
      </c>
      <c r="V376" s="1750"/>
      <c r="W376" s="1750"/>
      <c r="Y376" t="s">
        <v>2499</v>
      </c>
      <c r="AC376" s="27" t="s">
        <v>307</v>
      </c>
      <c r="AD376" s="1750"/>
      <c r="AE376" s="1750"/>
      <c r="AF376" s="1" t="s">
        <v>308</v>
      </c>
      <c r="AG376" s="1750"/>
      <c r="AH376" s="1750"/>
    </row>
    <row r="377" spans="1:36" ht="12.95" customHeight="1">
      <c r="E377" s="4" t="s">
        <v>1045</v>
      </c>
      <c r="F377" s="4"/>
      <c r="G377" s="4"/>
      <c r="H377" s="4"/>
      <c r="I377" s="4"/>
      <c r="J377" s="4"/>
      <c r="K377" s="4"/>
      <c r="L377" s="4"/>
      <c r="N377" s="1750"/>
      <c r="O377" s="1750"/>
      <c r="P377" s="1750"/>
    </row>
    <row r="378" spans="1:36" ht="12.95" customHeight="1">
      <c r="E378" s="218" t="s">
        <v>2506</v>
      </c>
      <c r="F378" s="4"/>
      <c r="G378" s="4"/>
      <c r="H378" s="4"/>
      <c r="I378" s="4"/>
      <c r="J378" s="4"/>
      <c r="K378" s="4"/>
      <c r="L378" s="4"/>
      <c r="AG378" s="1659" t="s">
        <v>601</v>
      </c>
      <c r="AH378" s="1659"/>
    </row>
    <row r="379" spans="1:36" ht="12.95" customHeight="1">
      <c r="E379" s="4"/>
      <c r="F379" s="4"/>
      <c r="G379" s="4" t="s">
        <v>2507</v>
      </c>
      <c r="H379" s="4"/>
      <c r="I379" s="4"/>
      <c r="J379" s="4"/>
      <c r="K379" s="4"/>
      <c r="L379" s="4"/>
      <c r="AG379" s="1659" t="s">
        <v>601</v>
      </c>
      <c r="AH379" s="1659"/>
    </row>
    <row r="380" spans="1:36" ht="12.95" customHeight="1">
      <c r="E380" s="4"/>
      <c r="F380" s="4"/>
      <c r="G380" s="349" t="s">
        <v>1046</v>
      </c>
      <c r="H380" s="4"/>
      <c r="I380" s="4"/>
      <c r="J380" s="4"/>
      <c r="K380" s="4"/>
      <c r="L380" s="4"/>
      <c r="V380" s="1359" t="s">
        <v>601</v>
      </c>
      <c r="W380" s="1359"/>
      <c r="Y380" s="22" t="s">
        <v>1021</v>
      </c>
    </row>
    <row r="381" spans="1:36" ht="12.95" customHeight="1">
      <c r="E381" s="4" t="s">
        <v>1022</v>
      </c>
      <c r="F381" s="4"/>
      <c r="G381" s="4"/>
      <c r="H381" s="4"/>
      <c r="I381" s="4"/>
      <c r="J381" s="4"/>
      <c r="K381" s="4"/>
      <c r="L381" s="4"/>
      <c r="V381" s="1359" t="s">
        <v>601</v>
      </c>
      <c r="W381" s="1359"/>
      <c r="Y381" s="4" t="s">
        <v>1023</v>
      </c>
    </row>
    <row r="382" spans="1:36" ht="12.95" customHeight="1"/>
    <row r="383" spans="1:36" ht="12.95" customHeight="1">
      <c r="A383" s="2" t="s">
        <v>79</v>
      </c>
      <c r="B383" s="2"/>
    </row>
    <row r="384" spans="1:36" ht="12.95" customHeight="1">
      <c r="D384" t="s">
        <v>430</v>
      </c>
      <c r="J384" s="1358"/>
      <c r="K384" s="1358"/>
      <c r="L384" s="1358"/>
      <c r="M384" s="1358"/>
      <c r="N384" s="1358"/>
      <c r="O384" s="1358"/>
      <c r="P384" s="1358"/>
      <c r="Q384" s="1358"/>
      <c r="R384" s="1358"/>
      <c r="S384" s="1358"/>
      <c r="T384" s="1358"/>
      <c r="U384" s="1358"/>
      <c r="V384" s="8" t="s">
        <v>84</v>
      </c>
      <c r="W384" s="8"/>
      <c r="X384" s="8"/>
      <c r="Y384" s="8"/>
      <c r="Z384" s="8"/>
      <c r="AA384" s="8"/>
      <c r="AB384" s="8"/>
      <c r="AC384" s="1358"/>
      <c r="AD384" s="1358"/>
      <c r="AE384" s="1358"/>
      <c r="AF384" s="1358"/>
      <c r="AG384" s="1358"/>
      <c r="AH384" s="1358"/>
      <c r="AI384" s="1358"/>
      <c r="AJ384" s="1358"/>
    </row>
    <row r="385" spans="4:36" ht="12.95" customHeight="1">
      <c r="D385" s="3" t="s">
        <v>1326</v>
      </c>
      <c r="J385" s="1398"/>
      <c r="K385" s="1398"/>
      <c r="L385" s="1398"/>
      <c r="M385" s="1398"/>
      <c r="N385" s="1398"/>
      <c r="O385" s="1398"/>
      <c r="P385" s="1398"/>
      <c r="Q385" s="1398"/>
      <c r="R385" s="1398"/>
      <c r="S385" s="1398"/>
      <c r="T385" s="1398"/>
      <c r="U385" s="1398"/>
      <c r="V385" s="3" t="s">
        <v>1326</v>
      </c>
      <c r="W385" s="8"/>
      <c r="X385" s="8"/>
      <c r="Y385" s="8"/>
      <c r="Z385" s="8"/>
      <c r="AA385" s="8"/>
      <c r="AB385" s="8"/>
      <c r="AC385" s="1358"/>
      <c r="AD385" s="1358"/>
      <c r="AE385" s="1358"/>
      <c r="AF385" s="1358"/>
      <c r="AG385" s="1358"/>
      <c r="AH385" s="1358"/>
      <c r="AI385" s="1358"/>
      <c r="AJ385" s="1358"/>
    </row>
    <row r="386" spans="4:36" ht="12.95" customHeight="1">
      <c r="D386" s="3" t="s">
        <v>445</v>
      </c>
      <c r="J386" s="1398"/>
      <c r="K386" s="1398"/>
      <c r="L386" s="1398"/>
      <c r="M386" s="1398"/>
      <c r="N386" s="1398"/>
      <c r="O386" s="1398"/>
      <c r="P386" s="1398"/>
      <c r="Q386" s="1398"/>
      <c r="R386" s="1398"/>
      <c r="S386" s="1398"/>
      <c r="T386" s="1398"/>
      <c r="U386" s="1398"/>
      <c r="V386" s="3" t="s">
        <v>445</v>
      </c>
      <c r="W386" s="8"/>
      <c r="X386" s="8"/>
      <c r="Y386" s="8"/>
      <c r="Z386" s="8"/>
      <c r="AA386" s="8"/>
      <c r="AB386" s="8"/>
      <c r="AC386" s="1358"/>
      <c r="AD386" s="1358"/>
      <c r="AE386" s="1358"/>
      <c r="AF386" s="1358"/>
      <c r="AG386" s="1358"/>
      <c r="AH386" s="1358"/>
      <c r="AI386" s="1358"/>
      <c r="AJ386" s="1358"/>
    </row>
    <row r="387" spans="4:36" ht="12.95" customHeight="1">
      <c r="D387" t="s">
        <v>1322</v>
      </c>
      <c r="J387" s="1517"/>
      <c r="K387" s="1517"/>
      <c r="L387" s="1517"/>
      <c r="M387" s="1517"/>
      <c r="N387" s="1517"/>
      <c r="O387" s="1517"/>
      <c r="P387" s="1517"/>
      <c r="Q387" s="1517"/>
      <c r="R387" s="1517"/>
      <c r="S387" s="1517"/>
      <c r="T387" s="1517"/>
      <c r="U387" s="1517"/>
      <c r="V387" s="1358"/>
      <c r="W387" s="1358"/>
      <c r="X387" s="1358"/>
      <c r="Y387" s="1358"/>
      <c r="Z387" s="1358"/>
      <c r="AA387" s="1358"/>
      <c r="AB387" s="1358"/>
      <c r="AC387" s="1358"/>
      <c r="AD387" s="1358"/>
      <c r="AE387" s="1358"/>
      <c r="AF387" s="1358"/>
      <c r="AG387" s="1358"/>
      <c r="AH387" s="1358"/>
      <c r="AI387" s="1358"/>
      <c r="AJ387" s="1358"/>
    </row>
    <row r="388" spans="4:36" ht="12.95" customHeight="1">
      <c r="D388" t="s">
        <v>4</v>
      </c>
      <c r="Q388" s="1623"/>
      <c r="R388" s="1623"/>
      <c r="S388" s="1623"/>
      <c r="T388" s="1623"/>
      <c r="U388" s="1623"/>
      <c r="V388" t="s">
        <v>311</v>
      </c>
      <c r="AI388" s="1359" t="s">
        <v>679</v>
      </c>
      <c r="AJ388" s="1359"/>
    </row>
    <row r="389" spans="4:36" ht="12.95" customHeight="1">
      <c r="D389" t="s">
        <v>5</v>
      </c>
      <c r="Q389" s="1689"/>
      <c r="R389" s="1746"/>
      <c r="S389" s="1746"/>
      <c r="T389" s="1746"/>
      <c r="U389" s="1746"/>
      <c r="W389" s="21" t="s">
        <v>75</v>
      </c>
      <c r="AG389" s="1678"/>
      <c r="AH389" s="1678"/>
      <c r="AI389" s="1678"/>
      <c r="AJ389" s="1678"/>
    </row>
    <row r="390" spans="4:36" ht="12.95" customHeight="1">
      <c r="D390" t="s">
        <v>429</v>
      </c>
      <c r="Q390" s="1749"/>
      <c r="R390" s="1749"/>
      <c r="S390" s="1749"/>
      <c r="T390" s="1749"/>
      <c r="U390" s="1749"/>
      <c r="V390" s="3" t="s">
        <v>1325</v>
      </c>
      <c r="AG390" s="1839"/>
      <c r="AH390" s="1839"/>
      <c r="AI390" s="1839"/>
      <c r="AJ390" s="1839"/>
    </row>
    <row r="391" spans="4:36" ht="12.95" customHeight="1">
      <c r="D391" t="s">
        <v>89</v>
      </c>
      <c r="I391" s="1655"/>
      <c r="J391" s="1655"/>
      <c r="K391" s="1655"/>
      <c r="L391" s="1655"/>
      <c r="M391" s="1655"/>
      <c r="N391" s="1655"/>
      <c r="Q391" s="4" t="s">
        <v>208</v>
      </c>
      <c r="S391" s="1748"/>
      <c r="T391" s="1748"/>
      <c r="U391" s="1748"/>
      <c r="V391" t="s">
        <v>74</v>
      </c>
      <c r="AI391" s="1359" t="s">
        <v>679</v>
      </c>
      <c r="AJ391" s="1359"/>
    </row>
    <row r="392" spans="4:36" ht="12.95" customHeight="1">
      <c r="D392" t="s">
        <v>312</v>
      </c>
      <c r="Q392" s="1529"/>
      <c r="R392" s="1529"/>
      <c r="S392" s="1529"/>
      <c r="T392" s="1529"/>
      <c r="U392" s="1529"/>
      <c r="V392" t="s">
        <v>313</v>
      </c>
      <c r="AG392" s="1678"/>
      <c r="AH392" s="1678"/>
      <c r="AI392" s="1678"/>
      <c r="AJ392" s="1678"/>
    </row>
    <row r="393" spans="4:36" ht="12.95" customHeight="1">
      <c r="D393" t="s">
        <v>314</v>
      </c>
      <c r="Q393" s="1677"/>
      <c r="R393" s="1677"/>
      <c r="S393" s="1677"/>
      <c r="T393" s="1677"/>
      <c r="U393" s="1677"/>
      <c r="V393" t="s">
        <v>1306</v>
      </c>
      <c r="AG393" s="1678"/>
      <c r="AH393" s="1678"/>
      <c r="AI393" s="1678"/>
      <c r="AJ393" s="1678"/>
    </row>
    <row r="394" spans="4:36" ht="12.95" customHeight="1">
      <c r="D394" t="s">
        <v>1305</v>
      </c>
      <c r="AG394" s="1678"/>
      <c r="AH394" s="1678"/>
      <c r="AI394" s="1678"/>
      <c r="AJ394" s="1678"/>
    </row>
    <row r="395" spans="4:36" ht="12.95" customHeight="1">
      <c r="AG395" s="491"/>
      <c r="AH395" s="491"/>
      <c r="AI395" s="491"/>
      <c r="AJ395" s="491"/>
    </row>
    <row r="396" spans="4:36" ht="12.95" customHeight="1">
      <c r="D396" s="3" t="s">
        <v>2617</v>
      </c>
      <c r="AG396" s="491"/>
      <c r="AH396" s="491"/>
      <c r="AI396" s="1359" t="s">
        <v>679</v>
      </c>
      <c r="AJ396" s="1359"/>
    </row>
    <row r="397" spans="4:36" ht="12.95" customHeight="1">
      <c r="D397" s="3" t="s">
        <v>1849</v>
      </c>
      <c r="T397" s="1799"/>
      <c r="U397" s="1799"/>
      <c r="V397" s="1799"/>
      <c r="W397" s="1799"/>
      <c r="X397" s="1799"/>
      <c r="Y397" s="1799"/>
      <c r="Z397" s="1799"/>
      <c r="AA397" s="1799"/>
      <c r="AB397" s="1799"/>
      <c r="AC397" s="1799"/>
      <c r="AD397" s="1799"/>
      <c r="AE397" s="1799"/>
      <c r="AF397" s="1799"/>
      <c r="AG397" s="1799"/>
      <c r="AH397" s="1799"/>
      <c r="AI397" s="1799"/>
      <c r="AJ397" s="1799"/>
    </row>
    <row r="398" spans="4:36" ht="12.95" customHeight="1">
      <c r="D398" s="3" t="s">
        <v>1848</v>
      </c>
      <c r="T398" s="1799"/>
      <c r="U398" s="1799"/>
      <c r="V398" s="1799"/>
      <c r="W398" s="1799"/>
      <c r="X398" s="1799"/>
      <c r="Y398" s="1799"/>
      <c r="Z398" s="1799"/>
      <c r="AA398" s="1799"/>
      <c r="AB398" s="1799"/>
      <c r="AC398" s="1799"/>
      <c r="AD398" s="1799"/>
      <c r="AE398" s="1799"/>
      <c r="AF398" s="1799"/>
      <c r="AG398" s="1799"/>
      <c r="AH398" s="1799"/>
      <c r="AI398" s="1799"/>
      <c r="AJ398" s="1799"/>
    </row>
    <row r="399" spans="4:36" ht="12.95" customHeight="1">
      <c r="AG399" s="491"/>
      <c r="AH399" s="491"/>
      <c r="AI399" s="491"/>
      <c r="AJ399" s="491"/>
    </row>
    <row r="400" spans="4:36" ht="12.95" customHeight="1">
      <c r="D400" s="3" t="s">
        <v>1842</v>
      </c>
      <c r="S400" s="1799" t="s">
        <v>555</v>
      </c>
      <c r="T400" s="1799"/>
      <c r="U400" s="1799"/>
      <c r="V400" t="s">
        <v>1843</v>
      </c>
      <c r="AG400" s="1846">
        <v>99</v>
      </c>
      <c r="AH400" s="1846"/>
      <c r="AI400" s="1846"/>
      <c r="AJ400" s="1846"/>
    </row>
    <row r="401" spans="1:36" ht="12.95" customHeight="1">
      <c r="D401" s="3" t="s">
        <v>1840</v>
      </c>
      <c r="S401" s="1799" t="s">
        <v>555</v>
      </c>
      <c r="T401" s="1799"/>
      <c r="U401" s="1799"/>
      <c r="V401" t="s">
        <v>1845</v>
      </c>
      <c r="AE401" s="1810">
        <v>744000</v>
      </c>
      <c r="AF401" s="1810"/>
      <c r="AG401" s="1810"/>
      <c r="AH401" s="1810"/>
      <c r="AI401" s="1810"/>
      <c r="AJ401" s="1810"/>
    </row>
    <row r="402" spans="1:36" ht="12.95" customHeight="1">
      <c r="D402" s="3" t="s">
        <v>1841</v>
      </c>
      <c r="K402" s="1827"/>
      <c r="L402" s="1827"/>
      <c r="M402" s="1827"/>
      <c r="N402" s="1827"/>
      <c r="O402" s="1827"/>
      <c r="P402" s="1827"/>
      <c r="Q402" s="1827"/>
      <c r="R402" s="1827"/>
      <c r="S402" s="1827"/>
      <c r="T402" s="1827"/>
      <c r="U402" s="1827"/>
      <c r="V402" s="1827"/>
      <c r="W402" s="1827"/>
      <c r="X402" s="1827"/>
      <c r="Y402" s="1827"/>
      <c r="Z402" s="1827"/>
      <c r="AA402" s="1827"/>
      <c r="AB402" s="1827"/>
      <c r="AC402" s="1827"/>
      <c r="AD402" s="1827"/>
      <c r="AE402" s="1827"/>
      <c r="AF402" s="1827"/>
      <c r="AG402" s="1827"/>
      <c r="AH402" s="1827"/>
      <c r="AI402" s="1827"/>
      <c r="AJ402" s="1827"/>
    </row>
    <row r="403" spans="1:36" ht="12.95" customHeight="1">
      <c r="D403" s="3" t="s">
        <v>1844</v>
      </c>
      <c r="K403" s="1827" t="s">
        <v>2737</v>
      </c>
      <c r="L403" s="1827"/>
      <c r="M403" s="1827"/>
      <c r="N403" s="1827"/>
      <c r="O403" s="1827"/>
      <c r="P403" s="1827"/>
      <c r="Q403" s="1827"/>
      <c r="R403" s="1827"/>
      <c r="S403" s="1827"/>
      <c r="T403" s="1827"/>
      <c r="U403" s="1827"/>
      <c r="V403" s="1827"/>
      <c r="W403" s="1827"/>
      <c r="X403" s="1827"/>
      <c r="Y403" s="1827"/>
      <c r="Z403" s="1827"/>
      <c r="AA403" s="1827"/>
      <c r="AB403" s="1827"/>
      <c r="AC403" s="1827"/>
      <c r="AD403" s="1827"/>
      <c r="AE403" s="1827"/>
      <c r="AF403" s="1827"/>
      <c r="AG403" s="1827"/>
      <c r="AH403" s="1827"/>
      <c r="AI403" s="1827"/>
      <c r="AJ403" s="1827"/>
    </row>
    <row r="404" spans="1:36" ht="12.95" customHeight="1">
      <c r="D404" s="3" t="s">
        <v>1847</v>
      </c>
      <c r="E404" s="512"/>
      <c r="F404" s="512"/>
      <c r="G404" s="512"/>
      <c r="H404" s="512"/>
      <c r="I404" s="512"/>
      <c r="J404" s="512"/>
      <c r="K404" s="512"/>
      <c r="L404" s="512"/>
      <c r="M404" s="512"/>
      <c r="N404" s="512"/>
      <c r="O404" s="512"/>
      <c r="P404" s="512"/>
      <c r="Q404" s="512"/>
      <c r="R404" s="512"/>
      <c r="S404" s="1756" t="s">
        <v>2736</v>
      </c>
      <c r="T404" s="1756"/>
      <c r="U404" s="1756"/>
      <c r="V404" s="1756"/>
      <c r="W404" s="1756"/>
      <c r="X404" s="1756"/>
      <c r="Y404" s="1756"/>
      <c r="Z404" s="1756"/>
      <c r="AA404" s="1756"/>
      <c r="AB404" s="1756"/>
      <c r="AC404" s="1756"/>
      <c r="AD404" s="1756"/>
      <c r="AE404" s="1756"/>
      <c r="AF404" s="1756"/>
      <c r="AG404" s="1756"/>
      <c r="AH404" s="1756"/>
      <c r="AI404" s="1756"/>
      <c r="AJ404" s="1756"/>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88" t="s">
        <v>2697</v>
      </c>
      <c r="J409" s="1388"/>
      <c r="K409" s="1388"/>
      <c r="L409" s="1388"/>
      <c r="M409" s="1388"/>
      <c r="N409" s="1388"/>
      <c r="O409" s="1388"/>
      <c r="P409" s="1388"/>
      <c r="Q409" s="1388"/>
      <c r="R409" s="1388"/>
      <c r="S409" s="1388"/>
      <c r="T409" s="1388"/>
      <c r="U409" s="1388"/>
      <c r="V409" s="1388"/>
      <c r="W409" s="1388"/>
      <c r="X409" s="1388"/>
      <c r="Y409" s="1388"/>
      <c r="Z409" s="1388"/>
      <c r="AA409" s="1388"/>
      <c r="AB409" s="1388"/>
      <c r="AC409" s="1388"/>
      <c r="AD409" s="1388"/>
      <c r="AE409" s="1388"/>
    </row>
    <row r="410" spans="1:36" ht="12.95" customHeight="1">
      <c r="E410" t="s">
        <v>107</v>
      </c>
      <c r="R410" s="1359" t="s">
        <v>555</v>
      </c>
      <c r="S410" s="1359"/>
      <c r="T410" t="s">
        <v>580</v>
      </c>
      <c r="AD410" s="1740">
        <v>4</v>
      </c>
      <c r="AE410" s="1740"/>
    </row>
    <row r="411" spans="1:36" ht="12.95" customHeight="1">
      <c r="E411" t="s">
        <v>108</v>
      </c>
      <c r="R411" s="1359" t="s">
        <v>601</v>
      </c>
      <c r="S411" s="1359"/>
      <c r="T411" t="s">
        <v>580</v>
      </c>
      <c r="AD411" s="1740">
        <v>0</v>
      </c>
      <c r="AE411" s="1740"/>
    </row>
    <row r="412" spans="1:36" ht="12.95" customHeight="1">
      <c r="E412" t="s">
        <v>109</v>
      </c>
      <c r="S412" s="1359" t="s">
        <v>601</v>
      </c>
      <c r="T412" s="1359"/>
    </row>
    <row r="413" spans="1:36" ht="12.95" customHeight="1">
      <c r="E413" t="s">
        <v>171</v>
      </c>
      <c r="H413" s="1675" t="s">
        <v>2690</v>
      </c>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row>
    <row r="414" spans="1:36" ht="12.95" customHeight="1">
      <c r="H414" s="1676"/>
      <c r="I414" s="1676"/>
      <c r="J414" s="1676"/>
      <c r="K414" s="1676"/>
      <c r="L414" s="1676"/>
      <c r="M414" s="1676"/>
      <c r="N414" s="1676"/>
      <c r="O414" s="1676"/>
      <c r="P414" s="1676"/>
      <c r="Q414" s="1676"/>
      <c r="R414" s="1676"/>
      <c r="S414" s="1676"/>
      <c r="T414" s="1676"/>
      <c r="U414" s="1676"/>
      <c r="V414" s="1676"/>
      <c r="W414" s="1676"/>
      <c r="X414" s="1676"/>
      <c r="Y414" s="1676"/>
      <c r="Z414" s="1676"/>
      <c r="AA414" s="1676"/>
      <c r="AB414" s="1676"/>
      <c r="AC414" s="1676"/>
      <c r="AD414" s="1676"/>
      <c r="AE414" s="1676"/>
    </row>
    <row r="415" spans="1:36" ht="12.95" customHeight="1"/>
    <row r="416" spans="1:36" ht="12.95" customHeight="1">
      <c r="A416" s="2" t="s">
        <v>600</v>
      </c>
      <c r="B416" s="2"/>
      <c r="C416" s="2"/>
      <c r="D416" s="2" t="s">
        <v>115</v>
      </c>
      <c r="AF416" s="2" t="s">
        <v>998</v>
      </c>
    </row>
    <row r="417" spans="1:39" ht="12.95" customHeight="1">
      <c r="E417" s="1750"/>
      <c r="F417" s="1750"/>
      <c r="G417" s="1750"/>
      <c r="H417" s="13" t="s">
        <v>116</v>
      </c>
      <c r="I417" s="1750"/>
      <c r="J417" s="1750"/>
      <c r="K417" s="1750"/>
      <c r="L417" t="s">
        <v>117</v>
      </c>
      <c r="N417" s="27" t="s">
        <v>585</v>
      </c>
      <c r="P417" s="1747">
        <v>3.85</v>
      </c>
      <c r="Q417" s="1747"/>
      <c r="R417" s="1747"/>
      <c r="S417" t="s">
        <v>118</v>
      </c>
      <c r="W417" s="1864">
        <f>IF(E417&gt;0,(E417*I417),(P417*43560))</f>
        <v>167706</v>
      </c>
      <c r="X417" s="1864"/>
      <c r="Y417" s="1864"/>
      <c r="Z417" t="s">
        <v>119</v>
      </c>
      <c r="AF417" s="1752">
        <f>IF(P417&gt;0,(AG436/P417),(AG436/(W417/43560)))</f>
        <v>43.116883116883116</v>
      </c>
      <c r="AG417" s="1752"/>
      <c r="AH417" s="1752"/>
      <c r="AM417" s="3"/>
    </row>
    <row r="418" spans="1:39" ht="12.95" customHeight="1">
      <c r="E418" t="s">
        <v>51</v>
      </c>
    </row>
    <row r="419" spans="1:39" ht="12.95" customHeight="1">
      <c r="E419" s="1808"/>
      <c r="F419" s="1808"/>
      <c r="G419" s="1808"/>
      <c r="H419" s="1808"/>
      <c r="I419" s="1808"/>
      <c r="J419" s="1808"/>
      <c r="K419" s="1808"/>
      <c r="L419" s="1808"/>
      <c r="M419" s="1808"/>
      <c r="N419" s="1808"/>
      <c r="O419" s="1808"/>
      <c r="P419" s="1808"/>
      <c r="Q419" s="1808"/>
      <c r="R419" s="1808"/>
      <c r="S419" s="1808"/>
      <c r="T419" s="1808"/>
      <c r="U419" s="1808"/>
      <c r="V419" s="1808"/>
      <c r="W419" s="1808"/>
      <c r="X419" s="1808"/>
      <c r="Y419" s="1808"/>
      <c r="Z419" s="1808"/>
      <c r="AA419" s="1808"/>
      <c r="AB419" s="1808"/>
      <c r="AC419" s="1808"/>
      <c r="AD419" s="1808"/>
      <c r="AE419" s="1808"/>
      <c r="AF419" s="1808"/>
      <c r="AG419" s="1808"/>
      <c r="AH419" s="1808"/>
      <c r="AI419" s="1808"/>
      <c r="AJ419" s="1808"/>
    </row>
    <row r="420" spans="1:39" ht="12.95" customHeight="1">
      <c r="E420" s="118" t="s">
        <v>1997</v>
      </c>
      <c r="F420" s="1050"/>
      <c r="G420" s="1050"/>
      <c r="H420" s="1050"/>
      <c r="I420" s="1669">
        <v>3.85</v>
      </c>
      <c r="J420" s="1669"/>
      <c r="K420" s="1669"/>
      <c r="L420" s="1050"/>
      <c r="M420" s="118"/>
      <c r="N420" s="1050"/>
      <c r="O420" s="1050"/>
      <c r="P420" s="1613">
        <f>(CS623+CS631+CS647)/I420</f>
        <v>57.402597402597401</v>
      </c>
      <c r="Q420" s="1613"/>
      <c r="R420" s="1613"/>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9">
        <v>3</v>
      </c>
      <c r="Q423" s="1359"/>
      <c r="S423" t="s">
        <v>191</v>
      </c>
      <c r="AE423" s="1359">
        <v>3</v>
      </c>
      <c r="AF423" s="1359"/>
    </row>
    <row r="424" spans="1:39" ht="12.95" customHeight="1">
      <c r="E424" t="s">
        <v>192</v>
      </c>
      <c r="P424" s="1359">
        <v>0</v>
      </c>
      <c r="Q424" s="1359"/>
      <c r="S424" t="s">
        <v>132</v>
      </c>
      <c r="AE424" s="1359" t="s">
        <v>601</v>
      </c>
      <c r="AF424" s="1359"/>
    </row>
    <row r="425" spans="1:39" ht="12.95" customHeight="1">
      <c r="F425" s="28" t="s">
        <v>133</v>
      </c>
    </row>
    <row r="426" spans="1:39" ht="12.95" customHeight="1">
      <c r="F426" s="1786"/>
      <c r="G426" s="1786"/>
      <c r="H426" s="1786"/>
      <c r="I426" s="1786"/>
      <c r="J426" s="1786"/>
      <c r="K426" s="1786"/>
      <c r="L426" s="1786"/>
      <c r="M426" s="1786"/>
      <c r="N426" s="1786"/>
      <c r="O426" s="1786"/>
      <c r="P426" s="1786"/>
      <c r="Q426" s="1786"/>
      <c r="R426" s="1786"/>
      <c r="S426" s="1786"/>
      <c r="T426" s="1786"/>
      <c r="U426" s="1786"/>
      <c r="V426" s="1786"/>
      <c r="W426" s="1786"/>
      <c r="X426" s="1786"/>
      <c r="Y426" s="1786"/>
      <c r="Z426" s="1786"/>
      <c r="AA426" s="1786"/>
      <c r="AB426" s="1786"/>
      <c r="AC426" s="1786"/>
      <c r="AD426" s="1786"/>
      <c r="AE426" s="1786"/>
      <c r="AF426" s="1786"/>
      <c r="AG426" s="1786"/>
      <c r="AH426" s="1786"/>
    </row>
    <row r="427" spans="1:39" ht="12.95" customHeight="1">
      <c r="F427" s="1601"/>
      <c r="G427" s="1601"/>
      <c r="H427" s="1601"/>
      <c r="I427" s="1601"/>
      <c r="J427" s="1601"/>
      <c r="K427" s="1601"/>
      <c r="L427" s="1601"/>
      <c r="M427" s="1601"/>
      <c r="N427" s="1601"/>
      <c r="O427" s="1601"/>
      <c r="P427" s="1601"/>
      <c r="Q427" s="1601"/>
      <c r="R427" s="1601"/>
      <c r="S427" s="1601"/>
      <c r="T427" s="1601"/>
      <c r="U427" s="1601"/>
      <c r="V427" s="1601"/>
      <c r="W427" s="1601"/>
      <c r="X427" s="1601"/>
      <c r="Y427" s="1601"/>
      <c r="Z427" s="1601"/>
      <c r="AA427" s="1601"/>
      <c r="AB427" s="1601"/>
      <c r="AC427" s="1601"/>
      <c r="AD427" s="1601"/>
      <c r="AE427" s="1601"/>
      <c r="AF427" s="1601"/>
      <c r="AG427" s="1601"/>
      <c r="AH427" s="1601"/>
    </row>
    <row r="428" spans="1:39" ht="12.95" customHeight="1">
      <c r="E428" t="s">
        <v>618</v>
      </c>
      <c r="P428" s="1"/>
      <c r="Q428" s="1359" t="s">
        <v>555</v>
      </c>
      <c r="R428" s="1359"/>
    </row>
    <row r="429" spans="1:39" ht="12.95" customHeight="1">
      <c r="F429" t="s">
        <v>619</v>
      </c>
      <c r="P429" s="1"/>
      <c r="Q429" s="1"/>
      <c r="AF429" s="1359" t="s">
        <v>601</v>
      </c>
      <c r="AG429" s="1745"/>
    </row>
    <row r="430" spans="1:39" ht="12.95" customHeight="1"/>
    <row r="431" spans="1:39" ht="12.95" customHeight="1">
      <c r="A431" s="2"/>
      <c r="B431" s="2"/>
      <c r="C431" s="2"/>
      <c r="E431" s="4" t="s">
        <v>310</v>
      </c>
      <c r="Z431" s="1359" t="s">
        <v>679</v>
      </c>
      <c r="AA431" s="1359"/>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9" t="s">
        <v>601</v>
      </c>
      <c r="AA433" s="1359"/>
    </row>
    <row r="434" spans="1:110" ht="12.95" customHeight="1"/>
    <row r="435" spans="1:110" ht="12.95" customHeight="1">
      <c r="A435" s="2" t="s">
        <v>477</v>
      </c>
      <c r="B435" s="2"/>
      <c r="C435" s="2"/>
      <c r="D435" s="2" t="s">
        <v>789</v>
      </c>
      <c r="AF435" s="48"/>
    </row>
    <row r="436" spans="1:110" ht="12.95" customHeight="1">
      <c r="D436" s="1646" t="s">
        <v>43</v>
      </c>
      <c r="E436" s="1591"/>
      <c r="F436" s="1591"/>
      <c r="G436" s="1591"/>
      <c r="H436" s="1591"/>
      <c r="I436" s="1591"/>
      <c r="J436" s="1591"/>
      <c r="K436" s="1591"/>
      <c r="L436" s="1591"/>
      <c r="M436" s="1591"/>
      <c r="N436" s="1591"/>
      <c r="O436" s="1591"/>
      <c r="P436" s="1591"/>
      <c r="Q436" s="1591"/>
      <c r="R436" s="1591"/>
      <c r="S436" s="1591"/>
      <c r="T436" s="1591"/>
      <c r="U436" s="1591"/>
      <c r="V436" s="1591"/>
      <c r="W436" s="1591"/>
      <c r="X436" s="1591"/>
      <c r="Y436" s="1591"/>
      <c r="Z436" s="1591"/>
      <c r="AA436" s="1591"/>
      <c r="AB436" s="1591"/>
      <c r="AC436" s="1591"/>
      <c r="AD436" s="1591"/>
      <c r="AE436" s="1591"/>
      <c r="AF436" s="1840"/>
      <c r="AG436" s="1833">
        <v>166</v>
      </c>
      <c r="AH436" s="1833"/>
      <c r="AI436" s="1833"/>
      <c r="AJ436" s="1833"/>
    </row>
    <row r="437" spans="1:110" ht="12.95" customHeight="1">
      <c r="D437" s="1660" t="s">
        <v>1370</v>
      </c>
      <c r="E437" s="1661"/>
      <c r="F437" s="1661"/>
      <c r="G437" s="1661"/>
      <c r="H437" s="1661"/>
      <c r="I437" s="1661"/>
      <c r="J437" s="1661"/>
      <c r="K437" s="1661"/>
      <c r="L437" s="1661"/>
      <c r="M437" s="1661"/>
      <c r="N437" s="1661"/>
      <c r="O437" s="1661"/>
      <c r="P437" s="1661"/>
      <c r="Q437" s="1661"/>
      <c r="R437" s="1661"/>
      <c r="S437" s="1661"/>
      <c r="T437" s="1661"/>
      <c r="U437" s="1661"/>
      <c r="V437" s="1661"/>
      <c r="W437" s="1661"/>
      <c r="X437" s="1661"/>
      <c r="Y437" s="1661"/>
      <c r="Z437" s="1661"/>
      <c r="AA437" s="1661"/>
      <c r="AB437" s="1661"/>
      <c r="AC437" s="1661"/>
      <c r="AD437" s="1661"/>
      <c r="AE437" s="1661"/>
      <c r="AF437" s="1662"/>
      <c r="AG437" s="1865">
        <v>164</v>
      </c>
      <c r="AH437" s="1866"/>
      <c r="AI437" s="1866"/>
      <c r="AJ437" s="1866"/>
    </row>
    <row r="438" spans="1:110" ht="12.95" customHeight="1">
      <c r="D438" s="1660" t="s">
        <v>1093</v>
      </c>
      <c r="E438" s="1661"/>
      <c r="F438" s="1661"/>
      <c r="G438" s="1661"/>
      <c r="H438" s="1661"/>
      <c r="I438" s="1661"/>
      <c r="J438" s="1661"/>
      <c r="K438" s="1661"/>
      <c r="L438" s="1661"/>
      <c r="M438" s="1661"/>
      <c r="N438" s="1661"/>
      <c r="O438" s="1661"/>
      <c r="P438" s="1661"/>
      <c r="Q438" s="1661"/>
      <c r="R438" s="1661"/>
      <c r="S438" s="1661"/>
      <c r="T438" s="1661"/>
      <c r="U438" s="1661"/>
      <c r="V438" s="1661"/>
      <c r="W438" s="1661"/>
      <c r="X438" s="1661"/>
      <c r="Y438" s="1661"/>
      <c r="Z438" s="1661"/>
      <c r="AA438" s="1661"/>
      <c r="AB438" s="1661"/>
      <c r="AC438" s="1661"/>
      <c r="AD438" s="1661"/>
      <c r="AE438" s="1661"/>
      <c r="AF438" s="1662"/>
      <c r="AG438" s="1833">
        <v>164</v>
      </c>
      <c r="AH438" s="1833"/>
      <c r="AI438" s="1833"/>
      <c r="AJ438" s="1833"/>
    </row>
    <row r="439" spans="1:110" ht="12.95" customHeight="1">
      <c r="D439" s="1660" t="s">
        <v>1094</v>
      </c>
      <c r="E439" s="1661"/>
      <c r="F439" s="1661"/>
      <c r="G439" s="1661"/>
      <c r="H439" s="1661"/>
      <c r="I439" s="1661"/>
      <c r="J439" s="1661"/>
      <c r="K439" s="1661"/>
      <c r="L439" s="1661"/>
      <c r="M439" s="1661"/>
      <c r="N439" s="1661"/>
      <c r="O439" s="1661"/>
      <c r="P439" s="1661"/>
      <c r="Q439" s="1661"/>
      <c r="R439" s="1661"/>
      <c r="S439" s="1661"/>
      <c r="T439" s="1661"/>
      <c r="U439" s="1661"/>
      <c r="V439" s="1661"/>
      <c r="W439" s="1661"/>
      <c r="X439" s="1661"/>
      <c r="Y439" s="1661"/>
      <c r="Z439" s="1661"/>
      <c r="AA439" s="1661"/>
      <c r="AB439" s="1661"/>
      <c r="AC439" s="1661"/>
      <c r="AD439" s="1661"/>
      <c r="AE439" s="1661"/>
      <c r="AF439" s="1662"/>
      <c r="AG439" s="1833">
        <v>164</v>
      </c>
      <c r="AH439" s="1833"/>
      <c r="AI439" s="1833"/>
      <c r="AJ439" s="1833"/>
    </row>
    <row r="440" spans="1:110" ht="12.95" customHeight="1">
      <c r="D440" s="1660" t="s">
        <v>1096</v>
      </c>
      <c r="E440" s="1661"/>
      <c r="F440" s="1661"/>
      <c r="G440" s="1661"/>
      <c r="H440" s="1661"/>
      <c r="I440" s="1661"/>
      <c r="J440" s="1661"/>
      <c r="K440" s="1661"/>
      <c r="L440" s="1661"/>
      <c r="M440" s="1661"/>
      <c r="N440" s="1661"/>
      <c r="O440" s="1661"/>
      <c r="P440" s="1661"/>
      <c r="Q440" s="1661"/>
      <c r="R440" s="1661"/>
      <c r="S440" s="1661"/>
      <c r="T440" s="1661"/>
      <c r="U440" s="1661"/>
      <c r="V440" s="1661"/>
      <c r="W440" s="1661"/>
      <c r="X440" s="1661"/>
      <c r="Y440" s="1661"/>
      <c r="Z440" s="1661"/>
      <c r="AA440" s="1661"/>
      <c r="AB440" s="1661"/>
      <c r="AC440" s="1661"/>
      <c r="AD440" s="1661"/>
      <c r="AE440" s="1661"/>
      <c r="AF440" s="1662"/>
      <c r="AG440" s="1843">
        <f>IF(ISERROR(AG439/AG438),"",AG439/AG438)</f>
        <v>1</v>
      </c>
      <c r="AH440" s="1843"/>
      <c r="AI440" s="1843"/>
      <c r="AJ440" s="1843"/>
    </row>
    <row r="441" spans="1:110" ht="12.95" customHeight="1">
      <c r="D441" s="1660" t="s">
        <v>1095</v>
      </c>
      <c r="E441" s="1661"/>
      <c r="F441" s="1661"/>
      <c r="G441" s="1661"/>
      <c r="H441" s="1661"/>
      <c r="I441" s="1661"/>
      <c r="J441" s="1661"/>
      <c r="K441" s="1661"/>
      <c r="L441" s="1661"/>
      <c r="M441" s="1661"/>
      <c r="N441" s="1661"/>
      <c r="O441" s="1661"/>
      <c r="P441" s="1661"/>
      <c r="Q441" s="1661"/>
      <c r="R441" s="1661"/>
      <c r="S441" s="1661"/>
      <c r="T441" s="1661"/>
      <c r="U441" s="1661"/>
      <c r="V441" s="1661"/>
      <c r="W441" s="1661"/>
      <c r="X441" s="1661"/>
      <c r="Y441" s="1661"/>
      <c r="Z441" s="1661"/>
      <c r="AA441" s="1661"/>
      <c r="AB441" s="1661"/>
      <c r="AC441" s="1661"/>
      <c r="AD441" s="1661"/>
      <c r="AE441" s="1661"/>
      <c r="AF441" s="1662"/>
      <c r="AG441" s="1836">
        <v>97263</v>
      </c>
      <c r="AH441" s="1836"/>
      <c r="AI441" s="1836"/>
      <c r="AJ441" s="1836"/>
    </row>
    <row r="442" spans="1:110" ht="12.95" customHeight="1">
      <c r="D442" s="1660" t="s">
        <v>1097</v>
      </c>
      <c r="E442" s="1661"/>
      <c r="F442" s="1661"/>
      <c r="G442" s="1661"/>
      <c r="H442" s="1661"/>
      <c r="I442" s="1661"/>
      <c r="J442" s="1661"/>
      <c r="K442" s="1661"/>
      <c r="L442" s="1661"/>
      <c r="M442" s="1661"/>
      <c r="N442" s="1661"/>
      <c r="O442" s="1661"/>
      <c r="P442" s="1661"/>
      <c r="Q442" s="1661"/>
      <c r="R442" s="1661"/>
      <c r="S442" s="1661"/>
      <c r="T442" s="1661"/>
      <c r="U442" s="1661"/>
      <c r="V442" s="1661"/>
      <c r="W442" s="1661"/>
      <c r="X442" s="1661"/>
      <c r="Y442" s="1661"/>
      <c r="Z442" s="1661"/>
      <c r="AA442" s="1661"/>
      <c r="AB442" s="1661"/>
      <c r="AC442" s="1661"/>
      <c r="AD442" s="1661"/>
      <c r="AE442" s="1661"/>
      <c r="AF442" s="1662"/>
      <c r="AG442" s="1836">
        <v>97263</v>
      </c>
      <c r="AH442" s="1836"/>
      <c r="AI442" s="1836"/>
      <c r="AJ442" s="1836"/>
    </row>
    <row r="443" spans="1:110" ht="12.95" customHeight="1">
      <c r="D443" s="1660" t="s">
        <v>1098</v>
      </c>
      <c r="E443" s="1661"/>
      <c r="F443" s="1661"/>
      <c r="G443" s="1661"/>
      <c r="H443" s="1661"/>
      <c r="I443" s="1661"/>
      <c r="J443" s="1661"/>
      <c r="K443" s="1661"/>
      <c r="L443" s="1661"/>
      <c r="M443" s="1661"/>
      <c r="N443" s="1661"/>
      <c r="O443" s="1661"/>
      <c r="P443" s="1661"/>
      <c r="Q443" s="1661"/>
      <c r="R443" s="1661"/>
      <c r="S443" s="1661"/>
      <c r="T443" s="1661"/>
      <c r="U443" s="1661"/>
      <c r="V443" s="1661"/>
      <c r="W443" s="1661"/>
      <c r="X443" s="1661"/>
      <c r="Y443" s="1661"/>
      <c r="Z443" s="1661"/>
      <c r="AA443" s="1661"/>
      <c r="AB443" s="1661"/>
      <c r="AC443" s="1661"/>
      <c r="AD443" s="1661"/>
      <c r="AE443" s="1661"/>
      <c r="AF443" s="1662"/>
      <c r="AG443" s="1843">
        <f>IF(ISERROR(AG442/AG441),"",AG442/AG441)</f>
        <v>1</v>
      </c>
      <c r="AH443" s="1843"/>
      <c r="AI443" s="1843"/>
      <c r="AJ443" s="1843"/>
    </row>
    <row r="444" spans="1:110" ht="12.95" customHeight="1">
      <c r="D444" s="1660" t="s">
        <v>1099</v>
      </c>
      <c r="E444" s="1661"/>
      <c r="F444" s="1661"/>
      <c r="G444" s="1661"/>
      <c r="H444" s="1661"/>
      <c r="I444" s="1661"/>
      <c r="J444" s="1661"/>
      <c r="K444" s="1661"/>
      <c r="L444" s="1661"/>
      <c r="M444" s="1661"/>
      <c r="N444" s="1661"/>
      <c r="O444" s="1661"/>
      <c r="P444" s="1661"/>
      <c r="Q444" s="1661"/>
      <c r="R444" s="1661"/>
      <c r="S444" s="1661"/>
      <c r="T444" s="1661"/>
      <c r="U444" s="1661"/>
      <c r="V444" s="1661"/>
      <c r="W444" s="1661"/>
      <c r="X444" s="1661"/>
      <c r="Y444" s="1661"/>
      <c r="Z444" s="1661"/>
      <c r="AA444" s="1661"/>
      <c r="AB444" s="1661"/>
      <c r="AC444" s="1661"/>
      <c r="AD444" s="1661"/>
      <c r="AE444" s="1661"/>
      <c r="AF444" s="1662"/>
      <c r="AG444" s="1843">
        <f>MIN(IF(AG440&gt;AG443,AG443,AG440),1)</f>
        <v>1</v>
      </c>
      <c r="AH444" s="1843"/>
      <c r="AI444" s="1843"/>
      <c r="AJ444" s="1843"/>
    </row>
    <row r="445" spans="1:110" ht="12.95" customHeight="1">
      <c r="D445" s="1660" t="s">
        <v>2508</v>
      </c>
      <c r="E445" s="1591"/>
      <c r="F445" s="1591"/>
      <c r="G445" s="1591"/>
      <c r="H445" s="1591"/>
      <c r="I445" s="1591"/>
      <c r="J445" s="1591"/>
      <c r="K445" s="1591"/>
      <c r="L445" s="1591"/>
      <c r="M445" s="1591"/>
      <c r="N445" s="1591"/>
      <c r="O445" s="1591"/>
      <c r="P445" s="1591"/>
      <c r="Q445" s="1591"/>
      <c r="R445" s="1591"/>
      <c r="S445" s="1591"/>
      <c r="T445" s="1591"/>
      <c r="U445" s="1591"/>
      <c r="V445" s="1591"/>
      <c r="W445" s="1591"/>
      <c r="X445" s="1591"/>
      <c r="Y445" s="1591"/>
      <c r="Z445" s="1591"/>
      <c r="AA445" s="1591"/>
      <c r="AB445" s="1591"/>
      <c r="AC445" s="1591"/>
      <c r="AD445" s="1591"/>
      <c r="AE445" s="1591"/>
      <c r="AF445" s="1840"/>
      <c r="AG445" s="1836">
        <v>4255</v>
      </c>
      <c r="AH445" s="1836"/>
      <c r="AI445" s="1836"/>
      <c r="AJ445" s="1836"/>
    </row>
    <row r="446" spans="1:110" ht="12.95" customHeight="1">
      <c r="D446" s="1646" t="s">
        <v>579</v>
      </c>
      <c r="E446" s="1591"/>
      <c r="F446" s="1591"/>
      <c r="G446" s="1591"/>
      <c r="H446" s="1591"/>
      <c r="I446" s="1591"/>
      <c r="J446" s="1591"/>
      <c r="K446" s="1591"/>
      <c r="L446" s="1591"/>
      <c r="M446" s="1591"/>
      <c r="N446" s="1591"/>
      <c r="O446" s="1591"/>
      <c r="P446" s="1591"/>
      <c r="Q446" s="1591"/>
      <c r="R446" s="1591"/>
      <c r="S446" s="1591"/>
      <c r="T446" s="1591"/>
      <c r="U446" s="1591"/>
      <c r="V446" s="1591"/>
      <c r="W446" s="1591"/>
      <c r="X446" s="1591"/>
      <c r="Y446" s="1591"/>
      <c r="Z446" s="1591"/>
      <c r="AA446" s="1591"/>
      <c r="AB446" s="1591"/>
      <c r="AC446" s="1591"/>
      <c r="AD446" s="1591"/>
      <c r="AE446" s="1591"/>
      <c r="AF446" s="1840"/>
      <c r="AG446" s="1836">
        <v>0</v>
      </c>
      <c r="AH446" s="1836"/>
      <c r="AI446" s="1836"/>
      <c r="AJ446" s="183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0" t="s">
        <v>1349</v>
      </c>
      <c r="E447" s="1591"/>
      <c r="F447" s="1591"/>
      <c r="G447" s="1591"/>
      <c r="H447" s="1591"/>
      <c r="I447" s="1591"/>
      <c r="J447" s="1591"/>
      <c r="K447" s="1591"/>
      <c r="L447" s="1591"/>
      <c r="M447" s="1591"/>
      <c r="N447" s="1591"/>
      <c r="O447" s="1591"/>
      <c r="P447" s="1591"/>
      <c r="Q447" s="1591"/>
      <c r="R447" s="1591"/>
      <c r="S447" s="1591"/>
      <c r="T447" s="1591"/>
      <c r="U447" s="1591"/>
      <c r="V447" s="1591"/>
      <c r="W447" s="1591"/>
      <c r="X447" s="1591"/>
      <c r="Y447" s="1591"/>
      <c r="Z447" s="1591"/>
      <c r="AA447" s="1591"/>
      <c r="AB447" s="1591"/>
      <c r="AC447" s="1591"/>
      <c r="AD447" s="1591"/>
      <c r="AE447" s="1591"/>
      <c r="AF447" s="1840"/>
      <c r="AG447" s="1836">
        <v>36160</v>
      </c>
      <c r="AH447" s="1836"/>
      <c r="AI447" s="1836"/>
      <c r="AJ447" s="183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0" t="s">
        <v>1100</v>
      </c>
      <c r="E448" s="1591"/>
      <c r="F448" s="1591"/>
      <c r="G448" s="1591"/>
      <c r="H448" s="1591"/>
      <c r="I448" s="1591"/>
      <c r="J448" s="1591"/>
      <c r="K448" s="1591"/>
      <c r="L448" s="1591"/>
      <c r="M448" s="1591"/>
      <c r="N448" s="1591"/>
      <c r="O448" s="1591"/>
      <c r="P448" s="1591"/>
      <c r="Q448" s="1591"/>
      <c r="R448" s="1591"/>
      <c r="S448" s="1591"/>
      <c r="T448" s="1591"/>
      <c r="U448" s="1591"/>
      <c r="V448" s="1591"/>
      <c r="W448" s="1591"/>
      <c r="X448" s="1591"/>
      <c r="Y448" s="1591"/>
      <c r="Z448" s="1591"/>
      <c r="AA448" s="1591"/>
      <c r="AB448" s="1591"/>
      <c r="AC448" s="1591"/>
      <c r="AD448" s="1591"/>
      <c r="AE448" s="1591"/>
      <c r="AF448" s="1840"/>
      <c r="AG448" s="1836">
        <v>0</v>
      </c>
      <c r="AH448" s="1836"/>
      <c r="AI448" s="1836"/>
      <c r="AJ448" s="183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3" t="s">
        <v>1101</v>
      </c>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c r="Y449" s="1804"/>
      <c r="Z449" s="1804"/>
      <c r="AA449" s="1804"/>
      <c r="AB449" s="1804"/>
      <c r="AC449" s="1804"/>
      <c r="AD449" s="1804"/>
      <c r="AE449" s="1804"/>
      <c r="AF449" s="1805"/>
      <c r="AG449" s="1834">
        <f>AG441+AG445+AG447+AG448</f>
        <v>137678</v>
      </c>
      <c r="AH449" s="1834"/>
      <c r="AI449" s="1834"/>
      <c r="AJ449" s="18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6" t="s">
        <v>1350</v>
      </c>
      <c r="E450" s="1806"/>
      <c r="F450" s="1806"/>
      <c r="G450" s="1806"/>
      <c r="H450" s="1806"/>
      <c r="I450" s="1806"/>
      <c r="J450" s="1806"/>
      <c r="K450" s="1806"/>
      <c r="L450" s="1806"/>
      <c r="M450" s="1806"/>
      <c r="N450" s="1806"/>
      <c r="O450" s="1806"/>
      <c r="P450" s="1806"/>
      <c r="Q450" s="1806"/>
      <c r="R450" s="1806"/>
      <c r="S450" s="1806"/>
      <c r="T450" s="1806"/>
      <c r="U450" s="1806"/>
      <c r="V450" s="1806"/>
      <c r="W450" s="1806"/>
      <c r="X450" s="1806"/>
      <c r="Y450" s="1806"/>
      <c r="Z450" s="1806"/>
      <c r="AA450" s="1806"/>
      <c r="AB450" s="1806"/>
      <c r="AC450" s="1806"/>
      <c r="AD450" s="1806"/>
      <c r="AE450" s="1806"/>
      <c r="AF450" s="1806"/>
      <c r="AG450" s="1806"/>
      <c r="AH450" s="1806"/>
      <c r="AI450" s="1806"/>
      <c r="AJ450" s="180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7"/>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35">
        <f>'Sources and Uses Budget'!B105/Application!AG436</f>
        <v>356009.34939759038</v>
      </c>
      <c r="AD453" s="1835"/>
      <c r="AE453" s="1835"/>
      <c r="AF453" s="183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35">
        <f>'Sources and Uses Budget'!C105/Application!AG436</f>
        <v>356009.34939759038</v>
      </c>
      <c r="AD454" s="1835"/>
      <c r="AE454" s="1835"/>
      <c r="AF454" s="183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35">
        <f>('Sources and Uses Budget'!$S$107+'Sources and Uses Budget'!$T$107)/Application!AG436</f>
        <v>331370.2891566265</v>
      </c>
      <c r="AD455" s="1835"/>
      <c r="AE455" s="1835"/>
      <c r="AF455" s="183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9" t="str">
        <f>IFERROR(IF(AC453&gt;650000,"Please provide a justification of cost per unit in Tab 12 for all projects with per unit costs of greater than $650,000.",""),"")</f>
        <v/>
      </c>
      <c r="G456" s="1809"/>
      <c r="H456" s="1809"/>
      <c r="I456" s="1809"/>
      <c r="J456" s="1809"/>
      <c r="K456" s="1809"/>
      <c r="L456" s="1809"/>
      <c r="M456" s="1809"/>
      <c r="N456" s="1809"/>
      <c r="O456" s="1809"/>
      <c r="P456" s="1809"/>
      <c r="Q456" s="1809"/>
      <c r="R456" s="1809"/>
      <c r="S456" s="1809"/>
      <c r="T456" s="1809"/>
      <c r="U456" s="1809"/>
      <c r="V456" s="1809"/>
      <c r="W456" s="1809"/>
      <c r="X456" s="1809"/>
      <c r="Y456" s="1809"/>
      <c r="Z456" s="1809"/>
      <c r="AA456" s="1809"/>
      <c r="AB456" s="180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9"/>
      <c r="G457" s="1809"/>
      <c r="H457" s="1809"/>
      <c r="I457" s="1809"/>
      <c r="J457" s="1809"/>
      <c r="K457" s="1809"/>
      <c r="L457" s="1809"/>
      <c r="M457" s="1809"/>
      <c r="N457" s="1809"/>
      <c r="O457" s="1809"/>
      <c r="P457" s="1809"/>
      <c r="Q457" s="1809"/>
      <c r="R457" s="1809"/>
      <c r="S457" s="1809"/>
      <c r="T457" s="1809"/>
      <c r="U457" s="1809"/>
      <c r="V457" s="1809"/>
      <c r="W457" s="1809"/>
      <c r="X457" s="1809"/>
      <c r="Y457" s="1809"/>
      <c r="Z457" s="1809"/>
      <c r="AA457" s="1809"/>
      <c r="AB457" s="180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2" t="s">
        <v>2523</v>
      </c>
      <c r="E464" s="1754"/>
      <c r="F464" s="1754"/>
      <c r="G464" s="1754"/>
      <c r="H464" s="1754"/>
      <c r="I464" s="1754"/>
      <c r="J464" s="1754"/>
      <c r="K464" s="1754"/>
      <c r="L464" s="1754"/>
      <c r="M464" s="1754"/>
      <c r="N464" s="1754"/>
      <c r="O464" s="1754"/>
      <c r="P464" s="1754"/>
      <c r="Q464" s="1754"/>
      <c r="R464" s="1754"/>
      <c r="S464" s="1754"/>
      <c r="T464" s="1754"/>
      <c r="U464" s="1754"/>
      <c r="V464" s="1755"/>
      <c r="W464" s="1656">
        <v>0</v>
      </c>
      <c r="X464" s="1657"/>
      <c r="Y464" s="16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53" t="s">
        <v>704</v>
      </c>
      <c r="E465" s="1754"/>
      <c r="F465" s="1754"/>
      <c r="G465" s="1754"/>
      <c r="H465" s="1754"/>
      <c r="I465" s="1754"/>
      <c r="J465" s="1754"/>
      <c r="K465" s="1754"/>
      <c r="L465" s="1754"/>
      <c r="M465" s="1754"/>
      <c r="N465" s="1754"/>
      <c r="O465" s="1754"/>
      <c r="P465" s="1754"/>
      <c r="Q465" s="1754"/>
      <c r="R465" s="1754"/>
      <c r="S465" s="1754"/>
      <c r="T465" s="1754"/>
      <c r="U465" s="1754"/>
      <c r="V465" s="1755"/>
      <c r="W465" s="1656">
        <v>0</v>
      </c>
      <c r="X465" s="1657"/>
      <c r="Y465" s="16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53" t="s">
        <v>705</v>
      </c>
      <c r="E466" s="1754"/>
      <c r="F466" s="1754"/>
      <c r="G466" s="1754"/>
      <c r="H466" s="1754"/>
      <c r="I466" s="1754"/>
      <c r="J466" s="1754"/>
      <c r="K466" s="1754"/>
      <c r="L466" s="1754"/>
      <c r="M466" s="1754"/>
      <c r="N466" s="1754"/>
      <c r="O466" s="1754"/>
      <c r="P466" s="1754"/>
      <c r="Q466" s="1754"/>
      <c r="R466" s="1754"/>
      <c r="S466" s="1754"/>
      <c r="T466" s="1754"/>
      <c r="U466" s="1754"/>
      <c r="V466" s="1755"/>
      <c r="W466" s="1656">
        <v>0</v>
      </c>
      <c r="X466" s="1657"/>
      <c r="Y466" s="16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53" t="s">
        <v>706</v>
      </c>
      <c r="E467" s="1754"/>
      <c r="F467" s="1754"/>
      <c r="G467" s="1754"/>
      <c r="H467" s="1754"/>
      <c r="I467" s="1754"/>
      <c r="J467" s="1754"/>
      <c r="K467" s="1754"/>
      <c r="L467" s="1754"/>
      <c r="M467" s="1754"/>
      <c r="N467" s="1754"/>
      <c r="O467" s="1754"/>
      <c r="P467" s="1754"/>
      <c r="Q467" s="1754"/>
      <c r="R467" s="1754"/>
      <c r="S467" s="1754"/>
      <c r="T467" s="1754"/>
      <c r="U467" s="1754"/>
      <c r="V467" s="1755"/>
      <c r="W467" s="1656">
        <v>0</v>
      </c>
      <c r="X467" s="1657"/>
      <c r="Y467" s="16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53" t="s">
        <v>911</v>
      </c>
      <c r="E468" s="1754"/>
      <c r="F468" s="1754"/>
      <c r="G468" s="1754"/>
      <c r="H468" s="1754"/>
      <c r="I468" s="1754"/>
      <c r="J468" s="1754"/>
      <c r="K468" s="1754"/>
      <c r="L468" s="1754"/>
      <c r="M468" s="1754"/>
      <c r="N468" s="1754"/>
      <c r="O468" s="1754"/>
      <c r="P468" s="1754"/>
      <c r="Q468" s="1754"/>
      <c r="R468" s="1754"/>
      <c r="S468" s="1754"/>
      <c r="T468" s="1754"/>
      <c r="U468" s="1754"/>
      <c r="V468" s="1755"/>
      <c r="W468" s="1656">
        <v>0</v>
      </c>
      <c r="X468" s="1657"/>
      <c r="Y468" s="16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53" t="s">
        <v>707</v>
      </c>
      <c r="E469" s="1754"/>
      <c r="F469" s="1754"/>
      <c r="G469" s="1754"/>
      <c r="H469" s="1754"/>
      <c r="I469" s="1754"/>
      <c r="J469" s="1754"/>
      <c r="K469" s="1754"/>
      <c r="L469" s="1754"/>
      <c r="M469" s="1754"/>
      <c r="N469" s="1754"/>
      <c r="O469" s="1754"/>
      <c r="P469" s="1754"/>
      <c r="Q469" s="1754"/>
      <c r="R469" s="1754"/>
      <c r="S469" s="1754"/>
      <c r="T469" s="1754"/>
      <c r="U469" s="1754"/>
      <c r="V469" s="1755"/>
      <c r="W469" s="1656">
        <v>0</v>
      </c>
      <c r="X469" s="1657"/>
      <c r="Y469" s="16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53" t="s">
        <v>1070</v>
      </c>
      <c r="E470" s="1754"/>
      <c r="F470" s="1754"/>
      <c r="G470" s="1754"/>
      <c r="H470" s="1754"/>
      <c r="I470" s="1754"/>
      <c r="J470" s="1754"/>
      <c r="K470" s="1754"/>
      <c r="L470" s="1754"/>
      <c r="M470" s="1754"/>
      <c r="N470" s="1754"/>
      <c r="O470" s="1754"/>
      <c r="P470" s="1754"/>
      <c r="Q470" s="1754"/>
      <c r="R470" s="1754"/>
      <c r="S470" s="1754"/>
      <c r="T470" s="1754"/>
      <c r="U470" s="1754"/>
      <c r="V470" s="1755"/>
      <c r="W470" s="1656">
        <v>0</v>
      </c>
      <c r="X470" s="1657"/>
      <c r="Y470" s="1658"/>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2" t="s">
        <v>1835</v>
      </c>
      <c r="E471" s="1754"/>
      <c r="F471" s="1754"/>
      <c r="G471" s="1754"/>
      <c r="H471" s="1754"/>
      <c r="I471" s="1754"/>
      <c r="J471" s="1754"/>
      <c r="K471" s="1754"/>
      <c r="L471" s="1754"/>
      <c r="M471" s="1754"/>
      <c r="N471" s="1754"/>
      <c r="O471" s="1754"/>
      <c r="P471" s="1754"/>
      <c r="Q471" s="1754"/>
      <c r="R471" s="1754"/>
      <c r="S471" s="1754"/>
      <c r="T471" s="1754"/>
      <c r="U471" s="1754"/>
      <c r="V471" s="1755"/>
      <c r="W471" s="1656">
        <v>42</v>
      </c>
      <c r="X471" s="1657"/>
      <c r="Y471" s="16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29"/>
      <c r="H472" s="1830"/>
      <c r="I472" s="1830"/>
      <c r="J472" s="1830"/>
      <c r="K472" s="1830"/>
      <c r="L472" s="1830"/>
      <c r="M472" s="1830"/>
      <c r="N472" s="1830"/>
      <c r="O472" s="1830"/>
      <c r="P472" s="1830"/>
      <c r="Q472" s="1830"/>
      <c r="R472" s="1830"/>
      <c r="S472" s="1830"/>
      <c r="T472" s="1830"/>
      <c r="U472" s="1830"/>
      <c r="V472" s="1831"/>
      <c r="W472" s="1656">
        <v>0</v>
      </c>
      <c r="X472" s="1657"/>
      <c r="Y472" s="16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8" t="s">
        <v>836</v>
      </c>
      <c r="B478" s="1648"/>
      <c r="C478" s="1648"/>
      <c r="D478" s="1648"/>
      <c r="E478" s="1648"/>
      <c r="F478" s="1648"/>
      <c r="G478" s="1648"/>
      <c r="H478" s="1648"/>
      <c r="I478" s="1648"/>
      <c r="J478" s="1648"/>
      <c r="K478" s="1648"/>
      <c r="L478" s="1648"/>
      <c r="M478" s="1648"/>
      <c r="N478" s="1648"/>
      <c r="O478" s="1648"/>
      <c r="P478" s="1648"/>
      <c r="Q478" s="1648"/>
      <c r="R478" s="1648"/>
      <c r="S478" s="1648"/>
      <c r="T478" s="1648"/>
      <c r="U478" s="1648"/>
      <c r="V478" s="1648"/>
      <c r="W478" s="1648"/>
      <c r="X478" s="1648"/>
      <c r="Y478" s="1648"/>
      <c r="Z478" s="1648"/>
      <c r="AA478" s="1648"/>
      <c r="AB478" s="1648"/>
      <c r="AC478" s="1648"/>
      <c r="AD478" s="1648"/>
      <c r="AE478" s="1648"/>
      <c r="AF478" s="1648"/>
      <c r="AG478" s="1648"/>
      <c r="AH478" s="1648"/>
      <c r="AI478" s="1648"/>
      <c r="AJ478" s="1648"/>
      <c r="AK478" s="1648"/>
      <c r="AL478" s="1648"/>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9"/>
      <c r="B479" s="1649"/>
      <c r="C479" s="1649"/>
      <c r="D479" s="1649"/>
      <c r="E479" s="1649"/>
      <c r="F479" s="1649"/>
      <c r="G479" s="1649"/>
      <c r="H479" s="1649"/>
      <c r="I479" s="1649"/>
      <c r="J479" s="1649"/>
      <c r="K479" s="1649"/>
      <c r="L479" s="1649"/>
      <c r="M479" s="1649"/>
      <c r="N479" s="1649"/>
      <c r="O479" s="1649"/>
      <c r="P479" s="1649"/>
      <c r="Q479" s="1649"/>
      <c r="R479" s="1649"/>
      <c r="S479" s="1649"/>
      <c r="T479" s="1649"/>
      <c r="U479" s="1649"/>
      <c r="V479" s="1649"/>
      <c r="W479" s="1649"/>
      <c r="X479" s="1649"/>
      <c r="Y479" s="1649"/>
      <c r="Z479" s="1649"/>
      <c r="AA479" s="1649"/>
      <c r="AB479" s="1649"/>
      <c r="AC479" s="1649"/>
      <c r="AD479" s="1649"/>
      <c r="AE479" s="1649"/>
      <c r="AF479" s="1649"/>
      <c r="AG479" s="1649"/>
      <c r="AH479" s="1649"/>
      <c r="AI479" s="1649"/>
      <c r="AJ479" s="1649"/>
      <c r="AK479" s="1649"/>
      <c r="AL479" s="164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5" t="s">
        <v>395</v>
      </c>
      <c r="R483" s="1796"/>
      <c r="S483" s="1796"/>
      <c r="T483" s="1796"/>
      <c r="U483" s="1796"/>
      <c r="V483" s="1796"/>
      <c r="W483" s="1796"/>
      <c r="X483" s="1796"/>
      <c r="Y483" s="1796"/>
      <c r="Z483" s="1796"/>
      <c r="AA483" s="1796"/>
      <c r="AB483" s="1796"/>
      <c r="AC483" s="1796"/>
      <c r="AD483" s="1796"/>
      <c r="AE483" s="1796"/>
      <c r="AF483" s="1796"/>
      <c r="AG483" s="1796"/>
      <c r="AH483" s="1796"/>
      <c r="AI483" s="1796"/>
      <c r="AJ483" s="1796"/>
      <c r="AK483" s="179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31" t="s">
        <v>2691</v>
      </c>
      <c r="R484" s="1398"/>
      <c r="S484" s="1398"/>
      <c r="T484" s="1398"/>
      <c r="U484" s="1398"/>
      <c r="V484" s="1398"/>
      <c r="W484" s="1398"/>
      <c r="X484" s="1398"/>
      <c r="Y484" s="1398"/>
      <c r="Z484" s="1398"/>
      <c r="AA484" s="1398"/>
      <c r="AB484" s="1398"/>
      <c r="AC484" s="1398"/>
      <c r="AD484" s="1398"/>
      <c r="AE484" s="1398"/>
      <c r="AF484" s="1398"/>
      <c r="AG484" s="1398"/>
      <c r="AH484" s="1398"/>
      <c r="AI484" s="1398"/>
      <c r="AJ484" s="1398"/>
      <c r="AK484" s="169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31" t="s">
        <v>2692</v>
      </c>
      <c r="R485" s="1398"/>
      <c r="S485" s="1398"/>
      <c r="T485" s="1398"/>
      <c r="U485" s="1398"/>
      <c r="V485" s="1398"/>
      <c r="W485" s="1398"/>
      <c r="X485" s="1398"/>
      <c r="Y485" s="1398"/>
      <c r="Z485" s="1398"/>
      <c r="AA485" s="1398"/>
      <c r="AB485" s="1398"/>
      <c r="AC485" s="1398"/>
      <c r="AD485" s="1398"/>
      <c r="AE485" s="1398"/>
      <c r="AF485" s="1398"/>
      <c r="AG485" s="1398"/>
      <c r="AH485" s="1398"/>
      <c r="AI485" s="1398"/>
      <c r="AJ485" s="1398"/>
      <c r="AK485" s="169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31" t="s">
        <v>2692</v>
      </c>
      <c r="R486" s="1398"/>
      <c r="S486" s="1398"/>
      <c r="T486" s="1398"/>
      <c r="U486" s="1398"/>
      <c r="V486" s="1398"/>
      <c r="W486" s="1398"/>
      <c r="X486" s="1398"/>
      <c r="Y486" s="1398"/>
      <c r="Z486" s="1398"/>
      <c r="AA486" s="1398"/>
      <c r="AB486" s="1398"/>
      <c r="AC486" s="1398"/>
      <c r="AD486" s="1398"/>
      <c r="AE486" s="1398"/>
      <c r="AF486" s="1398"/>
      <c r="AG486" s="1398"/>
      <c r="AH486" s="1398"/>
      <c r="AI486" s="1398"/>
      <c r="AJ486" s="1398"/>
      <c r="AK486" s="169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51" t="s">
        <v>399</v>
      </c>
      <c r="C487" s="1852"/>
      <c r="D487" s="1852"/>
      <c r="E487" s="1852"/>
      <c r="F487" s="1852"/>
      <c r="G487" s="1852"/>
      <c r="H487" s="1852"/>
      <c r="I487" s="1852"/>
      <c r="J487" s="1852"/>
      <c r="K487" s="1852"/>
      <c r="L487" s="1852"/>
      <c r="M487" s="1852"/>
      <c r="N487" s="1852"/>
      <c r="O487" s="1852"/>
      <c r="P487" s="1853"/>
      <c r="Q487" s="1857" t="s">
        <v>679</v>
      </c>
      <c r="R487" s="1858"/>
      <c r="S487" s="1597" t="s">
        <v>167</v>
      </c>
      <c r="T487" s="1598"/>
      <c r="U487" s="1598"/>
      <c r="V487" s="1598"/>
      <c r="W487" s="1598"/>
      <c r="X487" s="1598"/>
      <c r="Y487" s="1598"/>
      <c r="Z487" s="1598"/>
      <c r="AA487" s="1598"/>
      <c r="AB487" s="1598"/>
      <c r="AC487" s="1598"/>
      <c r="AD487" s="1598"/>
      <c r="AE487" s="1598"/>
      <c r="AF487" s="1598"/>
      <c r="AG487" s="1598"/>
      <c r="AH487" s="1598"/>
      <c r="AI487" s="1598"/>
      <c r="AJ487" s="1598"/>
      <c r="AK487" s="159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54"/>
      <c r="C488" s="1855"/>
      <c r="D488" s="1855"/>
      <c r="E488" s="1855"/>
      <c r="F488" s="1855"/>
      <c r="G488" s="1855"/>
      <c r="H488" s="1855"/>
      <c r="I488" s="1855"/>
      <c r="J488" s="1855"/>
      <c r="K488" s="1855"/>
      <c r="L488" s="1855"/>
      <c r="M488" s="1855"/>
      <c r="N488" s="1855"/>
      <c r="O488" s="1855"/>
      <c r="P488" s="1856"/>
      <c r="Q488" s="1859"/>
      <c r="R488" s="1860"/>
      <c r="S488" s="1600"/>
      <c r="T488" s="1601"/>
      <c r="U488" s="1601"/>
      <c r="V488" s="1601"/>
      <c r="W488" s="1601"/>
      <c r="X488" s="1601"/>
      <c r="Y488" s="1601"/>
      <c r="Z488" s="1601"/>
      <c r="AA488" s="1601"/>
      <c r="AB488" s="1601"/>
      <c r="AC488" s="1601"/>
      <c r="AD488" s="1601"/>
      <c r="AE488" s="1601"/>
      <c r="AF488" s="1601"/>
      <c r="AG488" s="1601"/>
      <c r="AH488" s="1601"/>
      <c r="AI488" s="1601"/>
      <c r="AJ488" s="1601"/>
      <c r="AK488" s="160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861" t="s">
        <v>679</v>
      </c>
      <c r="R489" s="1862"/>
      <c r="S489" s="1862"/>
      <c r="T489" s="1862"/>
      <c r="U489" s="1862"/>
      <c r="V489" s="1862"/>
      <c r="W489" s="1862"/>
      <c r="X489" s="1862"/>
      <c r="Y489" s="1862"/>
      <c r="Z489" s="1862"/>
      <c r="AA489" s="1862"/>
      <c r="AB489" s="1862"/>
      <c r="AC489" s="1862"/>
      <c r="AD489" s="1862"/>
      <c r="AE489" s="1862"/>
      <c r="AF489" s="1862"/>
      <c r="AG489" s="1862"/>
      <c r="AH489" s="1862"/>
      <c r="AI489" s="1862"/>
      <c r="AJ489" s="1862"/>
      <c r="AK489" s="186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31" t="s">
        <v>2693</v>
      </c>
      <c r="R490" s="1398"/>
      <c r="S490" s="1398"/>
      <c r="T490" s="1398"/>
      <c r="U490" s="1398"/>
      <c r="V490" s="1398"/>
      <c r="W490" s="1398"/>
      <c r="X490" s="1398"/>
      <c r="Y490" s="1398"/>
      <c r="Z490" s="1398"/>
      <c r="AA490" s="1398"/>
      <c r="AB490" s="1398"/>
      <c r="AC490" s="1398"/>
      <c r="AD490" s="1398"/>
      <c r="AE490" s="1398"/>
      <c r="AF490" s="1398"/>
      <c r="AG490" s="1398"/>
      <c r="AH490" s="1398"/>
      <c r="AI490" s="1398"/>
      <c r="AJ490" s="1398"/>
      <c r="AK490" s="169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31" t="s">
        <v>2694</v>
      </c>
      <c r="R491" s="1398"/>
      <c r="S491" s="1398"/>
      <c r="T491" s="1398"/>
      <c r="U491" s="1398"/>
      <c r="V491" s="1398"/>
      <c r="W491" s="1398"/>
      <c r="X491" s="1398"/>
      <c r="Y491" s="1398"/>
      <c r="Z491" s="1398"/>
      <c r="AA491" s="1398"/>
      <c r="AB491" s="1398"/>
      <c r="AC491" s="1398"/>
      <c r="AD491" s="1398"/>
      <c r="AE491" s="1398"/>
      <c r="AF491" s="1398"/>
      <c r="AG491" s="1398"/>
      <c r="AH491" s="1398"/>
      <c r="AI491" s="1398"/>
      <c r="AJ491" s="1398"/>
      <c r="AK491" s="169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91">
        <v>172</v>
      </c>
      <c r="R492" s="1398"/>
      <c r="S492" s="1398"/>
      <c r="T492" s="1398"/>
      <c r="U492" s="1398"/>
      <c r="V492" s="1398"/>
      <c r="W492" s="1398"/>
      <c r="X492" s="1398"/>
      <c r="Y492" s="1398"/>
      <c r="Z492" s="1398"/>
      <c r="AA492" s="1398"/>
      <c r="AB492" s="1398"/>
      <c r="AC492" s="1398"/>
      <c r="AD492" s="1398"/>
      <c r="AE492" s="1398"/>
      <c r="AF492" s="1398"/>
      <c r="AG492" s="1398"/>
      <c r="AH492" s="1398"/>
      <c r="AI492" s="1398"/>
      <c r="AJ492" s="1398"/>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9"/>
      <c r="N493" s="1430"/>
      <c r="O493" s="1430"/>
      <c r="P493" s="1431"/>
      <c r="Q493" s="121" t="s">
        <v>1852</v>
      </c>
      <c r="R493" s="5"/>
      <c r="S493" s="5"/>
      <c r="T493" s="5"/>
      <c r="U493" s="5"/>
      <c r="V493" s="5"/>
      <c r="W493" s="5"/>
      <c r="X493" s="5"/>
      <c r="Y493" s="5"/>
      <c r="Z493" s="5"/>
      <c r="AA493" s="5"/>
      <c r="AB493" s="5"/>
      <c r="AC493" s="5"/>
      <c r="AD493" s="5"/>
      <c r="AE493" s="5"/>
      <c r="AF493" s="5"/>
      <c r="AG493" s="5"/>
      <c r="AH493" s="1429">
        <v>172</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5" t="s">
        <v>403</v>
      </c>
      <c r="AD497" s="1796"/>
      <c r="AE497" s="1796"/>
      <c r="AF497" s="1796"/>
      <c r="AG497" s="1796"/>
      <c r="AH497" s="1796"/>
      <c r="AI497" s="1796"/>
      <c r="AJ497" s="1796"/>
      <c r="AK497" s="179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5" t="s">
        <v>404</v>
      </c>
      <c r="AD498" s="1796"/>
      <c r="AE498" s="1796"/>
      <c r="AF498" s="1796"/>
      <c r="AG498" s="50" t="s">
        <v>405</v>
      </c>
      <c r="AH498" s="1796" t="s">
        <v>406</v>
      </c>
      <c r="AI498" s="1796"/>
      <c r="AJ498" s="1796"/>
      <c r="AK498" s="179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824" t="s">
        <v>407</v>
      </c>
      <c r="C499" s="1367"/>
      <c r="D499" s="1367"/>
      <c r="E499" s="1367"/>
      <c r="F499" s="1367"/>
      <c r="G499" s="1367"/>
      <c r="H499" s="1368"/>
      <c r="I499" s="42" t="s">
        <v>408</v>
      </c>
      <c r="J499" s="42"/>
      <c r="K499" s="42"/>
      <c r="L499" s="42"/>
      <c r="M499" s="42"/>
      <c r="N499" s="42"/>
      <c r="O499" s="42"/>
      <c r="P499" s="42"/>
      <c r="Q499" s="42"/>
      <c r="R499" s="42"/>
      <c r="S499" s="42"/>
      <c r="T499" s="42"/>
      <c r="U499" s="42"/>
      <c r="V499" s="42"/>
      <c r="W499" s="42"/>
      <c r="AC499" s="1847">
        <v>3</v>
      </c>
      <c r="AD499" s="1848"/>
      <c r="AE499" s="1848"/>
      <c r="AF499" s="1848"/>
      <c r="AG499" s="13" t="s">
        <v>405</v>
      </c>
      <c r="AH499" s="1517">
        <v>2022</v>
      </c>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825"/>
      <c r="C500" s="1369"/>
      <c r="D500" s="1369"/>
      <c r="E500" s="1369"/>
      <c r="F500" s="1369"/>
      <c r="G500" s="1369"/>
      <c r="H500" s="1370"/>
      <c r="I500" s="48" t="s">
        <v>409</v>
      </c>
      <c r="J500" s="48"/>
      <c r="K500" s="48"/>
      <c r="L500" s="48"/>
      <c r="M500" s="48"/>
      <c r="N500" s="48"/>
      <c r="O500" s="48"/>
      <c r="P500" s="48"/>
      <c r="Q500" s="48"/>
      <c r="R500" s="48"/>
      <c r="S500" s="48"/>
      <c r="T500" s="48"/>
      <c r="U500" s="48"/>
      <c r="V500" s="48"/>
      <c r="W500" s="48"/>
      <c r="X500" s="48"/>
      <c r="Y500" s="48"/>
      <c r="Z500" s="48"/>
      <c r="AA500" s="48"/>
      <c r="AB500" s="48"/>
      <c r="AC500" s="1847">
        <v>9</v>
      </c>
      <c r="AD500" s="1848"/>
      <c r="AE500" s="1848"/>
      <c r="AF500" s="1848"/>
      <c r="AG500" s="38" t="s">
        <v>405</v>
      </c>
      <c r="AH500" s="1517">
        <v>2022</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824" t="s">
        <v>410</v>
      </c>
      <c r="C501" s="1367"/>
      <c r="D501" s="1367"/>
      <c r="E501" s="1367"/>
      <c r="F501" s="1367"/>
      <c r="G501" s="1367"/>
      <c r="H501" s="1368"/>
      <c r="I501" s="42" t="s">
        <v>411</v>
      </c>
      <c r="J501" s="42"/>
      <c r="K501" s="42"/>
      <c r="L501" s="42"/>
      <c r="M501" s="42"/>
      <c r="N501" s="42"/>
      <c r="O501" s="42"/>
      <c r="P501" s="42"/>
      <c r="Q501" s="42"/>
      <c r="R501" s="42"/>
      <c r="S501" s="42"/>
      <c r="T501" s="42"/>
      <c r="U501" s="42"/>
      <c r="V501" s="42"/>
      <c r="W501" s="42"/>
      <c r="AC501" s="1847" t="s">
        <v>601</v>
      </c>
      <c r="AD501" s="1848"/>
      <c r="AE501" s="1848"/>
      <c r="AF501" s="1848"/>
      <c r="AG501" s="13" t="s">
        <v>405</v>
      </c>
      <c r="AH501" s="1517"/>
      <c r="AI501" s="1517"/>
      <c r="AJ501" s="1517"/>
      <c r="AK501" s="151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825"/>
      <c r="C502" s="1369"/>
      <c r="D502" s="1369"/>
      <c r="E502" s="1369"/>
      <c r="F502" s="1369"/>
      <c r="G502" s="1369"/>
      <c r="H502" s="1370"/>
      <c r="I502" t="s">
        <v>412</v>
      </c>
      <c r="AC502" s="1847" t="s">
        <v>601</v>
      </c>
      <c r="AD502" s="1848"/>
      <c r="AE502" s="1848"/>
      <c r="AF502" s="1848"/>
      <c r="AG502" s="13" t="s">
        <v>405</v>
      </c>
      <c r="AH502" s="1517"/>
      <c r="AI502" s="1517"/>
      <c r="AJ502" s="1517"/>
      <c r="AK502" s="15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825"/>
      <c r="C503" s="1369"/>
      <c r="D503" s="1369"/>
      <c r="E503" s="1369"/>
      <c r="F503" s="1369"/>
      <c r="G503" s="1369"/>
      <c r="H503" s="1370"/>
      <c r="I503" t="s">
        <v>413</v>
      </c>
      <c r="AC503" s="1847">
        <v>3</v>
      </c>
      <c r="AD503" s="1848"/>
      <c r="AE503" s="1848"/>
      <c r="AF503" s="1848"/>
      <c r="AG503" s="13" t="s">
        <v>405</v>
      </c>
      <c r="AH503" s="1517">
        <v>2022</v>
      </c>
      <c r="AI503" s="1517"/>
      <c r="AJ503" s="1517"/>
      <c r="AK503" s="151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825"/>
      <c r="C504" s="1369"/>
      <c r="D504" s="1369"/>
      <c r="E504" s="1369"/>
      <c r="F504" s="1369"/>
      <c r="G504" s="1369"/>
      <c r="H504" s="1370"/>
      <c r="I504" t="s">
        <v>414</v>
      </c>
      <c r="AC504" s="1847" t="s">
        <v>601</v>
      </c>
      <c r="AD504" s="1848"/>
      <c r="AE504" s="1848"/>
      <c r="AF504" s="1848"/>
      <c r="AG504" s="13" t="s">
        <v>405</v>
      </c>
      <c r="AH504" s="1517"/>
      <c r="AI504" s="1517"/>
      <c r="AJ504" s="1517"/>
      <c r="AK504" s="151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825"/>
      <c r="C505" s="1369"/>
      <c r="D505" s="1369"/>
      <c r="E505" s="1369"/>
      <c r="F505" s="1369"/>
      <c r="G505" s="1369"/>
      <c r="H505" s="1370"/>
      <c r="I505" s="3" t="s">
        <v>415</v>
      </c>
      <c r="AC505" s="1402" t="s">
        <v>601</v>
      </c>
      <c r="AD505" s="1403"/>
      <c r="AE505" s="1403"/>
      <c r="AF505" s="1403"/>
      <c r="AG505" s="13" t="s">
        <v>405</v>
      </c>
      <c r="AH505" s="1517"/>
      <c r="AI505" s="1517"/>
      <c r="AJ505" s="1517"/>
      <c r="AK505" s="151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825"/>
      <c r="C506" s="1369"/>
      <c r="D506" s="1369"/>
      <c r="E506" s="1369"/>
      <c r="F506" s="1369"/>
      <c r="G506" s="1369"/>
      <c r="H506" s="1370"/>
      <c r="I506" s="933" t="s">
        <v>171</v>
      </c>
      <c r="J506" s="48"/>
      <c r="K506" s="48"/>
      <c r="L506" s="1798" t="s">
        <v>336</v>
      </c>
      <c r="M506" s="1799"/>
      <c r="N506" s="1799"/>
      <c r="O506" s="1799"/>
      <c r="P506" s="1799"/>
      <c r="Q506" s="1799"/>
      <c r="R506" s="1799"/>
      <c r="S506" s="1799"/>
      <c r="T506" s="1799"/>
      <c r="U506" s="1799"/>
      <c r="V506" s="1799"/>
      <c r="W506" s="1799"/>
      <c r="X506" s="1799"/>
      <c r="Y506" s="1799"/>
      <c r="Z506" s="1799"/>
      <c r="AA506" s="1799"/>
      <c r="AB506" s="1849"/>
      <c r="AC506" s="1847" t="s">
        <v>601</v>
      </c>
      <c r="AD506" s="1848"/>
      <c r="AE506" s="1848"/>
      <c r="AF506" s="1848"/>
      <c r="AG506" s="38" t="s">
        <v>405</v>
      </c>
      <c r="AH506" s="1517"/>
      <c r="AI506" s="1517"/>
      <c r="AJ506" s="1517"/>
      <c r="AK506" s="151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833" t="s">
        <v>555</v>
      </c>
      <c r="AD507" s="1833"/>
      <c r="AE507" s="1833"/>
      <c r="AF507" s="1833"/>
      <c r="AG507" s="13"/>
      <c r="AH507" s="1298"/>
      <c r="AI507" s="1298"/>
      <c r="AJ507" s="1298"/>
      <c r="AK507" s="185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6"/>
      <c r="AD508" s="1377"/>
      <c r="AE508" s="1377"/>
      <c r="AF508" s="1378"/>
      <c r="AG508" s="13"/>
      <c r="AH508" s="1298"/>
      <c r="AI508" s="1298"/>
      <c r="AJ508" s="1298"/>
      <c r="AK508" s="185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67"/>
      <c r="AD510" s="1868"/>
      <c r="AE510" s="1868"/>
      <c r="AF510" s="1869"/>
      <c r="AG510" s="38"/>
      <c r="AH510" s="1870"/>
      <c r="AI510" s="1870"/>
      <c r="AJ510" s="1870"/>
      <c r="AK510" s="187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41" t="s">
        <v>404</v>
      </c>
      <c r="AD511" s="1546"/>
      <c r="AE511" s="1546"/>
      <c r="AF511" s="1546"/>
      <c r="AG511" s="38" t="s">
        <v>405</v>
      </c>
      <c r="AH511" s="1546" t="s">
        <v>406</v>
      </c>
      <c r="AI511" s="1546"/>
      <c r="AJ511" s="1546"/>
      <c r="AK511" s="184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824" t="s">
        <v>416</v>
      </c>
      <c r="C512" s="1367"/>
      <c r="D512" s="1367"/>
      <c r="E512" s="1367"/>
      <c r="F512" s="1367"/>
      <c r="G512" s="1367"/>
      <c r="H512" s="1368"/>
      <c r="I512" s="42" t="s">
        <v>417</v>
      </c>
      <c r="J512" s="42"/>
      <c r="K512" s="42"/>
      <c r="L512" s="42"/>
      <c r="M512" s="42"/>
      <c r="N512" s="42"/>
      <c r="O512" s="42"/>
      <c r="P512" s="42"/>
      <c r="Q512" s="42"/>
      <c r="R512" s="42"/>
      <c r="S512" s="42"/>
      <c r="T512" s="42"/>
      <c r="U512" s="42"/>
      <c r="V512" s="42"/>
      <c r="W512" s="42"/>
      <c r="AC512" s="1751">
        <v>5</v>
      </c>
      <c r="AD512" s="1740"/>
      <c r="AE512" s="1740"/>
      <c r="AF512" s="1740"/>
      <c r="AG512" s="13" t="s">
        <v>405</v>
      </c>
      <c r="AH512" s="1517">
        <v>2023</v>
      </c>
      <c r="AI512" s="1517"/>
      <c r="AJ512" s="1517"/>
      <c r="AK512" s="1518"/>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825"/>
      <c r="C513" s="1369"/>
      <c r="D513" s="1369"/>
      <c r="E513" s="1369"/>
      <c r="F513" s="1369"/>
      <c r="G513" s="1369"/>
      <c r="H513" s="1370"/>
      <c r="I513" t="s">
        <v>418</v>
      </c>
      <c r="AC513" s="1751">
        <v>5</v>
      </c>
      <c r="AD513" s="1740"/>
      <c r="AE513" s="1740"/>
      <c r="AF513" s="1740"/>
      <c r="AG513" s="13" t="s">
        <v>405</v>
      </c>
      <c r="AH513" s="1517">
        <v>2023</v>
      </c>
      <c r="AI513" s="1517"/>
      <c r="AJ513" s="1517"/>
      <c r="AK513" s="1518"/>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825"/>
      <c r="C514" s="1369"/>
      <c r="D514" s="1369"/>
      <c r="E514" s="1369"/>
      <c r="F514" s="1369"/>
      <c r="G514" s="1369"/>
      <c r="H514" s="1370"/>
      <c r="I514" s="48" t="s">
        <v>419</v>
      </c>
      <c r="J514" s="48"/>
      <c r="K514" s="48"/>
      <c r="L514" s="48"/>
      <c r="M514" s="48"/>
      <c r="N514" s="48"/>
      <c r="O514" s="48"/>
      <c r="P514" s="48"/>
      <c r="Q514" s="48"/>
      <c r="R514" s="48"/>
      <c r="S514" s="48"/>
      <c r="T514" s="48"/>
      <c r="U514" s="48"/>
      <c r="V514" s="48"/>
      <c r="W514" s="48"/>
      <c r="X514" s="48"/>
      <c r="Y514" s="48"/>
      <c r="Z514" s="48"/>
      <c r="AA514" s="48"/>
      <c r="AB514" s="48"/>
      <c r="AC514" s="1751">
        <v>1</v>
      </c>
      <c r="AD514" s="1740"/>
      <c r="AE514" s="1740"/>
      <c r="AF514" s="1740"/>
      <c r="AG514" s="38" t="s">
        <v>405</v>
      </c>
      <c r="AH514" s="1517">
        <v>2024</v>
      </c>
      <c r="AI514" s="1517"/>
      <c r="AJ514" s="1517"/>
      <c r="AK514" s="1518"/>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824" t="s">
        <v>420</v>
      </c>
      <c r="C515" s="1367"/>
      <c r="D515" s="1367"/>
      <c r="E515" s="1367"/>
      <c r="F515" s="1367"/>
      <c r="G515" s="1367"/>
      <c r="H515" s="1368"/>
      <c r="I515" s="42" t="s">
        <v>417</v>
      </c>
      <c r="J515" s="42"/>
      <c r="K515" s="42"/>
      <c r="L515" s="42"/>
      <c r="M515" s="42"/>
      <c r="N515" s="42"/>
      <c r="O515" s="42"/>
      <c r="P515" s="42"/>
      <c r="Q515" s="42"/>
      <c r="R515" s="42"/>
      <c r="S515" s="42"/>
      <c r="T515" s="42"/>
      <c r="U515" s="42"/>
      <c r="V515" s="42"/>
      <c r="W515" s="42"/>
      <c r="X515" s="42"/>
      <c r="Y515" s="42"/>
      <c r="Z515" s="42"/>
      <c r="AA515" s="42"/>
      <c r="AB515" s="42"/>
      <c r="AC515" s="1376">
        <v>5</v>
      </c>
      <c r="AD515" s="1377"/>
      <c r="AE515" s="1377"/>
      <c r="AF515" s="1377"/>
      <c r="AG515" s="129" t="s">
        <v>405</v>
      </c>
      <c r="AH515" s="1517">
        <v>2023</v>
      </c>
      <c r="AI515" s="1517"/>
      <c r="AJ515" s="1517"/>
      <c r="AK515" s="1518"/>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825"/>
      <c r="C516" s="1369"/>
      <c r="D516" s="1369"/>
      <c r="E516" s="1369"/>
      <c r="F516" s="1369"/>
      <c r="G516" s="1369"/>
      <c r="H516" s="1370"/>
      <c r="I516" t="s">
        <v>418</v>
      </c>
      <c r="AC516" s="1751">
        <v>5</v>
      </c>
      <c r="AD516" s="1740"/>
      <c r="AE516" s="1740"/>
      <c r="AF516" s="1740"/>
      <c r="AG516" s="13" t="s">
        <v>405</v>
      </c>
      <c r="AH516" s="1517">
        <v>2023</v>
      </c>
      <c r="AI516" s="1517"/>
      <c r="AJ516" s="1517"/>
      <c r="AK516" s="1518"/>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826"/>
      <c r="C517" s="1371"/>
      <c r="D517" s="1371"/>
      <c r="E517" s="1371"/>
      <c r="F517" s="1371"/>
      <c r="G517" s="1371"/>
      <c r="H517" s="1372"/>
      <c r="I517" s="48" t="s">
        <v>419</v>
      </c>
      <c r="J517" s="48"/>
      <c r="K517" s="48"/>
      <c r="L517" s="48"/>
      <c r="M517" s="48"/>
      <c r="N517" s="48"/>
      <c r="O517" s="48"/>
      <c r="P517" s="48"/>
      <c r="Q517" s="48"/>
      <c r="R517" s="48"/>
      <c r="S517" s="48"/>
      <c r="T517" s="48"/>
      <c r="U517" s="48"/>
      <c r="V517" s="48"/>
      <c r="W517" s="48"/>
      <c r="X517" s="48"/>
      <c r="Y517" s="48"/>
      <c r="Z517" s="48"/>
      <c r="AA517" s="48"/>
      <c r="AB517" s="48"/>
      <c r="AC517" s="1751">
        <v>1</v>
      </c>
      <c r="AD517" s="1740"/>
      <c r="AE517" s="1740"/>
      <c r="AF517" s="1740"/>
      <c r="AG517" s="38" t="s">
        <v>405</v>
      </c>
      <c r="AH517" s="1517">
        <v>2024</v>
      </c>
      <c r="AI517" s="1517"/>
      <c r="AJ517" s="1517"/>
      <c r="AK517" s="1518"/>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824" t="s">
        <v>421</v>
      </c>
      <c r="C518" s="1367"/>
      <c r="D518" s="1367"/>
      <c r="E518" s="1367"/>
      <c r="F518" s="1367"/>
      <c r="G518" s="1367"/>
      <c r="H518" s="1368"/>
      <c r="I518" s="41" t="s">
        <v>422</v>
      </c>
      <c r="J518" s="42"/>
      <c r="K518" s="42"/>
      <c r="L518" s="42"/>
      <c r="M518" s="42"/>
      <c r="N518" s="42"/>
      <c r="O518" s="1798" t="s">
        <v>336</v>
      </c>
      <c r="P518" s="1799"/>
      <c r="Q518" s="1799"/>
      <c r="R518" s="1799"/>
      <c r="S518" s="1799"/>
      <c r="T518" s="1799"/>
      <c r="U518" s="1799"/>
      <c r="V518" s="1799"/>
      <c r="W518" s="1799"/>
      <c r="X518" s="1799"/>
      <c r="Y518" s="1799"/>
      <c r="Z518" s="1799"/>
      <c r="AA518" s="1799"/>
      <c r="AB518" s="58"/>
      <c r="AC518" s="1376" t="s">
        <v>601</v>
      </c>
      <c r="AD518" s="1377"/>
      <c r="AE518" s="1377"/>
      <c r="AF518" s="1377"/>
      <c r="AG518" s="129" t="s">
        <v>405</v>
      </c>
      <c r="AH518" s="1517"/>
      <c r="AI518" s="1517"/>
      <c r="AJ518" s="1517"/>
      <c r="AK518" s="1518"/>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825"/>
      <c r="C519" s="1369"/>
      <c r="D519" s="1369"/>
      <c r="E519" s="1369"/>
      <c r="F519" s="1369"/>
      <c r="G519" s="1369"/>
      <c r="H519" s="1370"/>
      <c r="I519" s="114" t="s">
        <v>423</v>
      </c>
      <c r="AB519" s="65"/>
      <c r="AC519" s="1751" t="s">
        <v>601</v>
      </c>
      <c r="AD519" s="1740"/>
      <c r="AE519" s="1740"/>
      <c r="AF519" s="1740"/>
      <c r="AG519" s="13" t="s">
        <v>405</v>
      </c>
      <c r="AH519" s="1517"/>
      <c r="AI519" s="1517"/>
      <c r="AJ519" s="1517"/>
      <c r="AK519" s="1518"/>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825"/>
      <c r="C520" s="1369"/>
      <c r="D520" s="1369"/>
      <c r="E520" s="1369"/>
      <c r="F520" s="1369"/>
      <c r="G520" s="1369"/>
      <c r="H520" s="1370"/>
      <c r="I520" s="47" t="s">
        <v>424</v>
      </c>
      <c r="J520" s="48"/>
      <c r="K520" s="48"/>
      <c r="L520" s="48"/>
      <c r="M520" s="48"/>
      <c r="N520" s="48"/>
      <c r="O520" s="48"/>
      <c r="P520" s="48"/>
      <c r="Q520" s="48"/>
      <c r="R520" s="48"/>
      <c r="S520" s="48"/>
      <c r="T520" s="48"/>
      <c r="U520" s="48"/>
      <c r="V520" s="48"/>
      <c r="W520" s="48"/>
      <c r="X520" s="48"/>
      <c r="Y520" s="48"/>
      <c r="Z520" s="48"/>
      <c r="AA520" s="48"/>
      <c r="AB520" s="49"/>
      <c r="AC520" s="1751" t="s">
        <v>601</v>
      </c>
      <c r="AD520" s="1740"/>
      <c r="AE520" s="1740"/>
      <c r="AF520" s="1740"/>
      <c r="AG520" s="38" t="s">
        <v>405</v>
      </c>
      <c r="AH520" s="1517"/>
      <c r="AI520" s="1517"/>
      <c r="AJ520" s="1517"/>
      <c r="AK520" s="1518"/>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825"/>
      <c r="C521" s="1369"/>
      <c r="D521" s="1369"/>
      <c r="E521" s="1369"/>
      <c r="F521" s="1369"/>
      <c r="G521" s="1369"/>
      <c r="H521" s="1370"/>
      <c r="I521" s="42" t="s">
        <v>425</v>
      </c>
      <c r="J521" s="42"/>
      <c r="K521" s="42"/>
      <c r="L521" s="42"/>
      <c r="M521" s="42"/>
      <c r="N521" s="42"/>
      <c r="O521" s="1798" t="s">
        <v>336</v>
      </c>
      <c r="P521" s="1799"/>
      <c r="Q521" s="1799"/>
      <c r="R521" s="1799"/>
      <c r="S521" s="1799"/>
      <c r="T521" s="1799"/>
      <c r="U521" s="1799"/>
      <c r="V521" s="1799"/>
      <c r="W521" s="1799"/>
      <c r="X521" s="1799"/>
      <c r="Y521" s="1799"/>
      <c r="Z521" s="1799"/>
      <c r="AA521" s="1799"/>
      <c r="AC521" s="1751" t="s">
        <v>601</v>
      </c>
      <c r="AD521" s="1740"/>
      <c r="AE521" s="1740"/>
      <c r="AF521" s="1740"/>
      <c r="AG521" s="13" t="s">
        <v>405</v>
      </c>
      <c r="AH521" s="1517"/>
      <c r="AI521" s="1517"/>
      <c r="AJ521" s="1517"/>
      <c r="AK521" s="1518"/>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825"/>
      <c r="C522" s="1369"/>
      <c r="D522" s="1369"/>
      <c r="E522" s="1369"/>
      <c r="F522" s="1369"/>
      <c r="G522" s="1369"/>
      <c r="H522" s="1370"/>
      <c r="I522" t="s">
        <v>423</v>
      </c>
      <c r="AC522" s="1751" t="s">
        <v>601</v>
      </c>
      <c r="AD522" s="1740"/>
      <c r="AE522" s="1740"/>
      <c r="AF522" s="1740"/>
      <c r="AG522" s="13" t="s">
        <v>405</v>
      </c>
      <c r="AH522" s="1517"/>
      <c r="AI522" s="1517"/>
      <c r="AJ522" s="1517"/>
      <c r="AK522" s="1518"/>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825"/>
      <c r="C523" s="1369"/>
      <c r="D523" s="1369"/>
      <c r="E523" s="1369"/>
      <c r="F523" s="1369"/>
      <c r="G523" s="1369"/>
      <c r="H523" s="1370"/>
      <c r="I523" s="48" t="s">
        <v>424</v>
      </c>
      <c r="J523" s="48"/>
      <c r="K523" s="48"/>
      <c r="L523" s="48"/>
      <c r="M523" s="48"/>
      <c r="N523" s="48"/>
      <c r="O523" s="48"/>
      <c r="P523" s="48"/>
      <c r="Q523" s="48"/>
      <c r="R523" s="48"/>
      <c r="S523" s="48"/>
      <c r="T523" s="48"/>
      <c r="U523" s="48"/>
      <c r="V523" s="48"/>
      <c r="W523" s="48"/>
      <c r="X523" s="48"/>
      <c r="Y523" s="48"/>
      <c r="Z523" s="48"/>
      <c r="AA523" s="48"/>
      <c r="AB523" s="48"/>
      <c r="AC523" s="1751" t="s">
        <v>601</v>
      </c>
      <c r="AD523" s="1740"/>
      <c r="AE523" s="1740"/>
      <c r="AF523" s="1740"/>
      <c r="AG523" s="38" t="s">
        <v>405</v>
      </c>
      <c r="AH523" s="1517"/>
      <c r="AI523" s="1517"/>
      <c r="AJ523" s="1517"/>
      <c r="AK523" s="1518"/>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825"/>
      <c r="C524" s="1369"/>
      <c r="D524" s="1369"/>
      <c r="E524" s="1369"/>
      <c r="F524" s="1369"/>
      <c r="G524" s="1369"/>
      <c r="H524" s="1370"/>
      <c r="I524" s="42" t="s">
        <v>425</v>
      </c>
      <c r="J524" s="42"/>
      <c r="K524" s="42"/>
      <c r="L524" s="42"/>
      <c r="M524" s="42"/>
      <c r="N524" s="42"/>
      <c r="O524" s="1798" t="s">
        <v>336</v>
      </c>
      <c r="P524" s="1799"/>
      <c r="Q524" s="1799"/>
      <c r="R524" s="1799"/>
      <c r="S524" s="1799"/>
      <c r="T524" s="1799"/>
      <c r="U524" s="1799"/>
      <c r="V524" s="1799"/>
      <c r="W524" s="1799"/>
      <c r="X524" s="1799"/>
      <c r="Y524" s="1799"/>
      <c r="Z524" s="1799"/>
      <c r="AA524" s="1799"/>
      <c r="AC524" s="1751" t="s">
        <v>601</v>
      </c>
      <c r="AD524" s="1740"/>
      <c r="AE524" s="1740"/>
      <c r="AF524" s="1740"/>
      <c r="AG524" s="13" t="s">
        <v>405</v>
      </c>
      <c r="AH524" s="1517"/>
      <c r="AI524" s="1517"/>
      <c r="AJ524" s="1517"/>
      <c r="AK524" s="1518"/>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825"/>
      <c r="C525" s="1369"/>
      <c r="D525" s="1369"/>
      <c r="E525" s="1369"/>
      <c r="F525" s="1369"/>
      <c r="G525" s="1369"/>
      <c r="H525" s="1370"/>
      <c r="I525" t="s">
        <v>423</v>
      </c>
      <c r="AC525" s="1751" t="s">
        <v>601</v>
      </c>
      <c r="AD525" s="1740"/>
      <c r="AE525" s="1740"/>
      <c r="AF525" s="1740"/>
      <c r="AG525" s="13" t="s">
        <v>405</v>
      </c>
      <c r="AH525" s="1517"/>
      <c r="AI525" s="1517"/>
      <c r="AJ525" s="1517"/>
      <c r="AK525" s="1518"/>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825"/>
      <c r="C526" s="1369"/>
      <c r="D526" s="1369"/>
      <c r="E526" s="1369"/>
      <c r="F526" s="1369"/>
      <c r="G526" s="1369"/>
      <c r="H526" s="1370"/>
      <c r="I526" s="48" t="s">
        <v>424</v>
      </c>
      <c r="J526" s="48"/>
      <c r="K526" s="48"/>
      <c r="L526" s="48"/>
      <c r="M526" s="48"/>
      <c r="N526" s="48"/>
      <c r="O526" s="48"/>
      <c r="P526" s="48"/>
      <c r="Q526" s="48"/>
      <c r="R526" s="48"/>
      <c r="S526" s="48"/>
      <c r="T526" s="48"/>
      <c r="U526" s="48"/>
      <c r="V526" s="48"/>
      <c r="W526" s="48"/>
      <c r="X526" s="48"/>
      <c r="Y526" s="48"/>
      <c r="Z526" s="48"/>
      <c r="AA526" s="48"/>
      <c r="AB526" s="48"/>
      <c r="AC526" s="1751" t="s">
        <v>601</v>
      </c>
      <c r="AD526" s="1740"/>
      <c r="AE526" s="1740"/>
      <c r="AF526" s="1740"/>
      <c r="AG526" s="38" t="s">
        <v>405</v>
      </c>
      <c r="AH526" s="1517"/>
      <c r="AI526" s="1517"/>
      <c r="AJ526" s="1517"/>
      <c r="AK526" s="1518"/>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825"/>
      <c r="C527" s="1369"/>
      <c r="D527" s="1369"/>
      <c r="E527" s="1369"/>
      <c r="F527" s="1369"/>
      <c r="G527" s="1369"/>
      <c r="H527" s="1370"/>
      <c r="I527" s="42" t="s">
        <v>425</v>
      </c>
      <c r="J527" s="42"/>
      <c r="K527" s="42"/>
      <c r="L527" s="42"/>
      <c r="M527" s="42"/>
      <c r="N527" s="42"/>
      <c r="O527" s="1798" t="s">
        <v>336</v>
      </c>
      <c r="P527" s="1799"/>
      <c r="Q527" s="1799"/>
      <c r="R527" s="1799"/>
      <c r="S527" s="1799"/>
      <c r="T527" s="1799"/>
      <c r="U527" s="1799"/>
      <c r="V527" s="1799"/>
      <c r="W527" s="1799"/>
      <c r="X527" s="1799"/>
      <c r="Y527" s="1799"/>
      <c r="Z527" s="1799"/>
      <c r="AA527" s="1799"/>
      <c r="AC527" s="1751" t="s">
        <v>601</v>
      </c>
      <c r="AD527" s="1740"/>
      <c r="AE527" s="1740"/>
      <c r="AF527" s="1740"/>
      <c r="AG527" s="13" t="s">
        <v>405</v>
      </c>
      <c r="AH527" s="1517"/>
      <c r="AI527" s="1517"/>
      <c r="AJ527" s="1517"/>
      <c r="AK527" s="1518"/>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825"/>
      <c r="C528" s="1369"/>
      <c r="D528" s="1369"/>
      <c r="E528" s="1369"/>
      <c r="F528" s="1369"/>
      <c r="G528" s="1369"/>
      <c r="H528" s="1370"/>
      <c r="I528" t="s">
        <v>423</v>
      </c>
      <c r="AC528" s="1751" t="s">
        <v>601</v>
      </c>
      <c r="AD528" s="1740"/>
      <c r="AE528" s="1740"/>
      <c r="AF528" s="1740"/>
      <c r="AG528" s="13" t="s">
        <v>405</v>
      </c>
      <c r="AH528" s="1517"/>
      <c r="AI528" s="1517"/>
      <c r="AJ528" s="1517"/>
      <c r="AK528" s="1518"/>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825"/>
      <c r="C529" s="1369"/>
      <c r="D529" s="1369"/>
      <c r="E529" s="1369"/>
      <c r="F529" s="1369"/>
      <c r="G529" s="1369"/>
      <c r="H529" s="1370"/>
      <c r="I529" s="48" t="s">
        <v>424</v>
      </c>
      <c r="J529" s="48"/>
      <c r="K529" s="48"/>
      <c r="L529" s="48"/>
      <c r="M529" s="48"/>
      <c r="N529" s="48"/>
      <c r="O529" s="48"/>
      <c r="P529" s="48"/>
      <c r="Q529" s="48"/>
      <c r="R529" s="48"/>
      <c r="S529" s="48"/>
      <c r="T529" s="48"/>
      <c r="U529" s="48"/>
      <c r="V529" s="48"/>
      <c r="W529" s="48"/>
      <c r="X529" s="48"/>
      <c r="Y529" s="48"/>
      <c r="Z529" s="48"/>
      <c r="AA529" s="48"/>
      <c r="AB529" s="48"/>
      <c r="AC529" s="1751" t="s">
        <v>601</v>
      </c>
      <c r="AD529" s="1740"/>
      <c r="AE529" s="1740"/>
      <c r="AF529" s="1740"/>
      <c r="AG529" s="38" t="s">
        <v>405</v>
      </c>
      <c r="AH529" s="1517"/>
      <c r="AI529" s="1517"/>
      <c r="AJ529" s="1517"/>
      <c r="AK529" s="1518"/>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825"/>
      <c r="C530" s="1369"/>
      <c r="D530" s="1369"/>
      <c r="E530" s="1369"/>
      <c r="F530" s="1369"/>
      <c r="G530" s="1369"/>
      <c r="H530" s="1370"/>
      <c r="I530" s="42" t="s">
        <v>425</v>
      </c>
      <c r="J530" s="42"/>
      <c r="K530" s="42"/>
      <c r="L530" s="42"/>
      <c r="M530" s="42"/>
      <c r="N530" s="42"/>
      <c r="O530" s="1798" t="s">
        <v>336</v>
      </c>
      <c r="P530" s="1799"/>
      <c r="Q530" s="1799"/>
      <c r="R530" s="1799"/>
      <c r="S530" s="1799"/>
      <c r="T530" s="1799"/>
      <c r="U530" s="1799"/>
      <c r="V530" s="1799"/>
      <c r="W530" s="1799"/>
      <c r="X530" s="1799"/>
      <c r="Y530" s="1799"/>
      <c r="Z530" s="1799"/>
      <c r="AA530" s="1799"/>
      <c r="AC530" s="1751" t="s">
        <v>601</v>
      </c>
      <c r="AD530" s="1740"/>
      <c r="AE530" s="1740"/>
      <c r="AF530" s="1740"/>
      <c r="AG530" s="13" t="s">
        <v>405</v>
      </c>
      <c r="AH530" s="1517"/>
      <c r="AI530" s="1517"/>
      <c r="AJ530" s="1517"/>
      <c r="AK530" s="1518"/>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825"/>
      <c r="C531" s="1369"/>
      <c r="D531" s="1369"/>
      <c r="E531" s="1369"/>
      <c r="F531" s="1369"/>
      <c r="G531" s="1369"/>
      <c r="H531" s="1370"/>
      <c r="I531" t="s">
        <v>423</v>
      </c>
      <c r="AC531" s="1751" t="s">
        <v>601</v>
      </c>
      <c r="AD531" s="1740"/>
      <c r="AE531" s="1740"/>
      <c r="AF531" s="1740"/>
      <c r="AG531" s="38" t="s">
        <v>405</v>
      </c>
      <c r="AH531" s="1517"/>
      <c r="AI531" s="1517"/>
      <c r="AJ531" s="1517"/>
      <c r="AK531" s="1518"/>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825"/>
      <c r="C532" s="1369"/>
      <c r="D532" s="1369"/>
      <c r="E532" s="1369"/>
      <c r="F532" s="1369"/>
      <c r="G532" s="1369"/>
      <c r="H532" s="1370"/>
      <c r="I532" s="48" t="s">
        <v>424</v>
      </c>
      <c r="J532" s="48"/>
      <c r="K532" s="48"/>
      <c r="L532" s="48"/>
      <c r="M532" s="48"/>
      <c r="N532" s="48"/>
      <c r="O532" s="48"/>
      <c r="P532" s="48"/>
      <c r="Q532" s="48"/>
      <c r="R532" s="48"/>
      <c r="S532" s="48"/>
      <c r="T532" s="48"/>
      <c r="U532" s="48"/>
      <c r="V532" s="48"/>
      <c r="W532" s="48"/>
      <c r="X532" s="48"/>
      <c r="Y532" s="48"/>
      <c r="Z532" s="48"/>
      <c r="AA532" s="48"/>
      <c r="AB532" s="48"/>
      <c r="AC532" s="1751" t="s">
        <v>601</v>
      </c>
      <c r="AD532" s="1740"/>
      <c r="AE532" s="1740"/>
      <c r="AF532" s="1740"/>
      <c r="AG532" s="13" t="s">
        <v>405</v>
      </c>
      <c r="AH532" s="1517"/>
      <c r="AI532" s="1517"/>
      <c r="AJ532" s="1517"/>
      <c r="AK532" s="1518"/>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825"/>
      <c r="C533" s="1369"/>
      <c r="D533" s="1369"/>
      <c r="E533" s="1369"/>
      <c r="F533" s="1369"/>
      <c r="G533" s="1369"/>
      <c r="H533" s="1370"/>
      <c r="I533" s="42" t="s">
        <v>425</v>
      </c>
      <c r="J533" s="42"/>
      <c r="K533" s="42"/>
      <c r="L533" s="42"/>
      <c r="M533" s="42"/>
      <c r="N533" s="42"/>
      <c r="O533" s="1798" t="s">
        <v>336</v>
      </c>
      <c r="P533" s="1799"/>
      <c r="Q533" s="1799"/>
      <c r="R533" s="1799"/>
      <c r="S533" s="1799"/>
      <c r="T533" s="1799"/>
      <c r="U533" s="1799"/>
      <c r="V533" s="1799"/>
      <c r="W533" s="1799"/>
      <c r="X533" s="1799"/>
      <c r="Y533" s="1799"/>
      <c r="Z533" s="1799"/>
      <c r="AA533" s="1799"/>
      <c r="AC533" s="1751" t="s">
        <v>601</v>
      </c>
      <c r="AD533" s="1740"/>
      <c r="AE533" s="1740"/>
      <c r="AF533" s="1740"/>
      <c r="AG533" s="38" t="s">
        <v>405</v>
      </c>
      <c r="AH533" s="1517"/>
      <c r="AI533" s="1517"/>
      <c r="AJ533" s="1517"/>
      <c r="AK533" s="1518"/>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825"/>
      <c r="C534" s="1369"/>
      <c r="D534" s="1369"/>
      <c r="E534" s="1369"/>
      <c r="F534" s="1369"/>
      <c r="G534" s="1369"/>
      <c r="H534" s="1370"/>
      <c r="I534" t="s">
        <v>423</v>
      </c>
      <c r="AC534" s="1751" t="s">
        <v>601</v>
      </c>
      <c r="AD534" s="1740"/>
      <c r="AE534" s="1740"/>
      <c r="AF534" s="1740"/>
      <c r="AG534" s="13" t="s">
        <v>405</v>
      </c>
      <c r="AH534" s="1517"/>
      <c r="AI534" s="1517"/>
      <c r="AJ534" s="1517"/>
      <c r="AK534" s="1518"/>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825"/>
      <c r="C535" s="1369"/>
      <c r="D535" s="1369"/>
      <c r="E535" s="1369"/>
      <c r="F535" s="1369"/>
      <c r="G535" s="1369"/>
      <c r="H535" s="1370"/>
      <c r="I535" s="48" t="s">
        <v>424</v>
      </c>
      <c r="J535" s="48"/>
      <c r="K535" s="48"/>
      <c r="L535" s="48"/>
      <c r="M535" s="48"/>
      <c r="N535" s="48"/>
      <c r="O535" s="48"/>
      <c r="P535" s="48"/>
      <c r="Q535" s="48"/>
      <c r="R535" s="48"/>
      <c r="S535" s="48"/>
      <c r="T535" s="48"/>
      <c r="U535" s="48"/>
      <c r="V535" s="48"/>
      <c r="W535" s="48"/>
      <c r="X535" s="48"/>
      <c r="Y535" s="48"/>
      <c r="Z535" s="48"/>
      <c r="AA535" s="48"/>
      <c r="AB535" s="48"/>
      <c r="AC535" s="1751" t="s">
        <v>601</v>
      </c>
      <c r="AD535" s="1740"/>
      <c r="AE535" s="1740"/>
      <c r="AF535" s="1740"/>
      <c r="AG535" s="38" t="s">
        <v>405</v>
      </c>
      <c r="AH535" s="1517"/>
      <c r="AI535" s="1517"/>
      <c r="AJ535" s="1517"/>
      <c r="AK535" s="1518"/>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825"/>
      <c r="C536" s="1369"/>
      <c r="D536" s="1369"/>
      <c r="E536" s="1369"/>
      <c r="F536" s="1369"/>
      <c r="G536" s="1369"/>
      <c r="H536" s="1370"/>
      <c r="I536" s="42" t="s">
        <v>572</v>
      </c>
      <c r="J536" s="42"/>
      <c r="K536" s="42"/>
      <c r="L536" s="42"/>
      <c r="M536" s="42"/>
      <c r="N536" s="42"/>
      <c r="O536" s="42"/>
      <c r="P536" s="42"/>
      <c r="Q536" s="42"/>
      <c r="R536" s="42"/>
      <c r="S536" s="42"/>
      <c r="T536" s="42"/>
      <c r="U536" s="42"/>
      <c r="V536" s="42"/>
      <c r="W536" s="42"/>
      <c r="AC536" s="1751">
        <v>1</v>
      </c>
      <c r="AD536" s="1740"/>
      <c r="AE536" s="1740"/>
      <c r="AF536" s="1740"/>
      <c r="AG536" s="38"/>
      <c r="AH536" s="1517">
        <v>2024</v>
      </c>
      <c r="AI536" s="1517"/>
      <c r="AJ536" s="1517"/>
      <c r="AK536" s="1518"/>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825"/>
      <c r="C537" s="1369"/>
      <c r="D537" s="1369"/>
      <c r="E537" s="1369"/>
      <c r="F537" s="1369"/>
      <c r="G537" s="1369"/>
      <c r="H537" s="1370"/>
      <c r="I537" t="s">
        <v>573</v>
      </c>
      <c r="AC537" s="1751">
        <v>1</v>
      </c>
      <c r="AD537" s="1740"/>
      <c r="AE537" s="1740"/>
      <c r="AF537" s="1740"/>
      <c r="AG537" s="13" t="s">
        <v>405</v>
      </c>
      <c r="AH537" s="1517">
        <v>2024</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825"/>
      <c r="C538" s="1369"/>
      <c r="D538" s="1369"/>
      <c r="E538" s="1369"/>
      <c r="F538" s="1369"/>
      <c r="G538" s="1369"/>
      <c r="H538" s="1370"/>
      <c r="I538" t="s">
        <v>574</v>
      </c>
      <c r="AC538" s="1751">
        <v>8</v>
      </c>
      <c r="AD538" s="1740"/>
      <c r="AE538" s="1740"/>
      <c r="AF538" s="1740"/>
      <c r="AG538" s="38" t="s">
        <v>405</v>
      </c>
      <c r="AH538" s="1517">
        <v>2025</v>
      </c>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825"/>
      <c r="C539" s="1369"/>
      <c r="D539" s="1369"/>
      <c r="E539" s="1369"/>
      <c r="F539" s="1369"/>
      <c r="G539" s="1369"/>
      <c r="H539" s="1370"/>
      <c r="I539" t="s">
        <v>575</v>
      </c>
      <c r="AC539" s="1751">
        <v>8</v>
      </c>
      <c r="AD539" s="1740"/>
      <c r="AE539" s="1740"/>
      <c r="AF539" s="1740"/>
      <c r="AG539" s="38" t="s">
        <v>405</v>
      </c>
      <c r="AH539" s="1517">
        <v>2025</v>
      </c>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826"/>
      <c r="C540" s="1371"/>
      <c r="D540" s="1371"/>
      <c r="E540" s="1371"/>
      <c r="F540" s="1371"/>
      <c r="G540" s="1371"/>
      <c r="H540" s="1372"/>
      <c r="I540" s="48" t="s">
        <v>461</v>
      </c>
      <c r="J540" s="48"/>
      <c r="K540" s="48"/>
      <c r="L540" s="48"/>
      <c r="M540" s="48"/>
      <c r="N540" s="48"/>
      <c r="O540" s="48"/>
      <c r="P540" s="48"/>
      <c r="Q540" s="48"/>
      <c r="R540" s="48"/>
      <c r="S540" s="48"/>
      <c r="T540" s="48"/>
      <c r="U540" s="48"/>
      <c r="V540" s="48"/>
      <c r="W540" s="48"/>
      <c r="X540" s="48"/>
      <c r="Y540" s="48"/>
      <c r="Z540" s="48"/>
      <c r="AA540" s="48"/>
      <c r="AB540" s="48"/>
      <c r="AC540" s="1751">
        <v>3</v>
      </c>
      <c r="AD540" s="1740"/>
      <c r="AE540" s="1740"/>
      <c r="AF540" s="1740"/>
      <c r="AG540" s="38"/>
      <c r="AH540" s="1517">
        <v>2026</v>
      </c>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2" t="s">
        <v>2527</v>
      </c>
      <c r="C549" s="1793"/>
      <c r="D549" s="1793"/>
      <c r="E549" s="1793"/>
      <c r="F549" s="1793"/>
      <c r="G549" s="1793"/>
      <c r="H549" s="1793"/>
      <c r="I549" s="1793"/>
      <c r="J549" s="1793"/>
      <c r="K549" s="1793"/>
      <c r="L549" s="1794"/>
      <c r="M549" s="1357" t="s">
        <v>2528</v>
      </c>
      <c r="N549" s="1357"/>
      <c r="O549" s="1357"/>
      <c r="P549" s="1357"/>
      <c r="Q549" s="1792" t="s">
        <v>2554</v>
      </c>
      <c r="R549" s="1793"/>
      <c r="S549" s="1794"/>
      <c r="T549" s="1792" t="s">
        <v>2555</v>
      </c>
      <c r="U549" s="1793"/>
      <c r="V549" s="1794"/>
      <c r="W549" s="1792" t="s">
        <v>463</v>
      </c>
      <c r="X549" s="1793"/>
      <c r="Y549" s="1794"/>
      <c r="Z549" s="1792" t="s">
        <v>2115</v>
      </c>
      <c r="AA549" s="1793"/>
      <c r="AB549" s="1793"/>
      <c r="AC549" s="1793"/>
      <c r="AD549" s="1793"/>
      <c r="AE549" s="1792" t="s">
        <v>1936</v>
      </c>
      <c r="AF549" s="1793"/>
      <c r="AG549" s="1793"/>
      <c r="AH549" s="1794"/>
      <c r="AI549" s="1792" t="s">
        <v>1937</v>
      </c>
      <c r="AJ549" s="1793"/>
      <c r="AK549" s="1793"/>
      <c r="AL549" s="1794"/>
      <c r="AM549" s="1792" t="s">
        <v>464</v>
      </c>
      <c r="AN549" s="1793"/>
      <c r="AO549" s="1793"/>
      <c r="AP549" s="1793"/>
      <c r="AQ549" s="1793"/>
      <c r="AR549" s="1793"/>
      <c r="AS549" s="179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668" t="s">
        <v>2704</v>
      </c>
      <c r="D550" s="1668"/>
      <c r="E550" s="1668"/>
      <c r="F550" s="1668"/>
      <c r="G550" s="1668"/>
      <c r="H550" s="1668"/>
      <c r="I550" s="1668"/>
      <c r="J550" s="1668"/>
      <c r="K550" s="1668"/>
      <c r="L550" s="1668"/>
      <c r="M550" s="1814" t="s">
        <v>2544</v>
      </c>
      <c r="N550" s="1815"/>
      <c r="O550" s="1815"/>
      <c r="P550" s="1816"/>
      <c r="Q550" s="1671">
        <v>36</v>
      </c>
      <c r="R550" s="1671"/>
      <c r="S550" s="1672"/>
      <c r="T550" s="1670"/>
      <c r="U550" s="1671"/>
      <c r="V550" s="1672"/>
      <c r="W550" s="1663">
        <v>7.0900000000000005E-2</v>
      </c>
      <c r="X550" s="1664"/>
      <c r="Y550" s="1665"/>
      <c r="Z550" s="1758" t="s">
        <v>2719</v>
      </c>
      <c r="AA550" s="1758"/>
      <c r="AB550" s="1758"/>
      <c r="AC550" s="1758"/>
      <c r="AD550" s="1758"/>
      <c r="AE550" s="1811">
        <v>1</v>
      </c>
      <c r="AF550" s="1812"/>
      <c r="AG550" s="1812"/>
      <c r="AH550" s="1813"/>
      <c r="AI550" s="1818"/>
      <c r="AJ550" s="1819"/>
      <c r="AK550" s="1819"/>
      <c r="AL550" s="1820"/>
      <c r="AM550" s="1800">
        <v>30000000</v>
      </c>
      <c r="AN550" s="1801"/>
      <c r="AO550" s="1801"/>
      <c r="AP550" s="1801"/>
      <c r="AQ550" s="1801"/>
      <c r="AR550" s="1801"/>
      <c r="AS550" s="1802"/>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7" t="s">
        <v>2704</v>
      </c>
      <c r="D551" s="1667"/>
      <c r="E551" s="1667"/>
      <c r="F551" s="1667"/>
      <c r="G551" s="1667"/>
      <c r="H551" s="1667"/>
      <c r="I551" s="1667"/>
      <c r="J551" s="1667"/>
      <c r="K551" s="1667"/>
      <c r="L551" s="1667"/>
      <c r="M551" s="1814" t="s">
        <v>2545</v>
      </c>
      <c r="N551" s="1815"/>
      <c r="O551" s="1815"/>
      <c r="P551" s="1816"/>
      <c r="Q551" s="1670">
        <v>36</v>
      </c>
      <c r="R551" s="1671"/>
      <c r="S551" s="1672"/>
      <c r="T551" s="1670"/>
      <c r="U551" s="1671"/>
      <c r="V551" s="1672"/>
      <c r="W551" s="1663">
        <v>7.5399999999999995E-2</v>
      </c>
      <c r="X551" s="1664"/>
      <c r="Y551" s="1665"/>
      <c r="Z551" s="1758" t="s">
        <v>2719</v>
      </c>
      <c r="AA551" s="1758"/>
      <c r="AB551" s="1758"/>
      <c r="AC551" s="1758"/>
      <c r="AD551" s="1758"/>
      <c r="AE551" s="1811"/>
      <c r="AF551" s="1812"/>
      <c r="AG551" s="1812"/>
      <c r="AH551" s="1813"/>
      <c r="AI551" s="1818"/>
      <c r="AJ551" s="1819"/>
      <c r="AK551" s="1819"/>
      <c r="AL551" s="1820"/>
      <c r="AM551" s="1800">
        <v>5000000</v>
      </c>
      <c r="AN551" s="1801"/>
      <c r="AO551" s="1801"/>
      <c r="AP551" s="1801"/>
      <c r="AQ551" s="1801"/>
      <c r="AR551" s="1801"/>
      <c r="AS551" s="180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7" t="s">
        <v>2718</v>
      </c>
      <c r="D552" s="1667"/>
      <c r="E552" s="1667"/>
      <c r="F552" s="1667"/>
      <c r="G552" s="1667"/>
      <c r="H552" s="1667"/>
      <c r="I552" s="1667"/>
      <c r="J552" s="1667"/>
      <c r="K552" s="1667"/>
      <c r="L552" s="1667"/>
      <c r="M552" s="1668" t="s">
        <v>2530</v>
      </c>
      <c r="N552" s="1668"/>
      <c r="O552" s="1668"/>
      <c r="P552" s="1668"/>
      <c r="Q552" s="1670"/>
      <c r="R552" s="1671"/>
      <c r="S552" s="1672"/>
      <c r="T552" s="1670"/>
      <c r="U552" s="1671"/>
      <c r="V552" s="1672"/>
      <c r="W552" s="1663"/>
      <c r="X552" s="1664"/>
      <c r="Y552" s="1665"/>
      <c r="Z552" s="1758" t="s">
        <v>601</v>
      </c>
      <c r="AA552" s="1758"/>
      <c r="AB552" s="1758"/>
      <c r="AC552" s="1758"/>
      <c r="AD552" s="1758"/>
      <c r="AE552" s="1811"/>
      <c r="AF552" s="1812"/>
      <c r="AG552" s="1812"/>
      <c r="AH552" s="1813"/>
      <c r="AI552" s="1818"/>
      <c r="AJ552" s="1819"/>
      <c r="AK552" s="1819"/>
      <c r="AL552" s="1820"/>
      <c r="AM552" s="1800">
        <v>7946368</v>
      </c>
      <c r="AN552" s="1801"/>
      <c r="AO552" s="1801"/>
      <c r="AP552" s="1801"/>
      <c r="AQ552" s="1801"/>
      <c r="AR552" s="1801"/>
      <c r="AS552" s="180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67" t="s">
        <v>2705</v>
      </c>
      <c r="D553" s="1667"/>
      <c r="E553" s="1667"/>
      <c r="F553" s="1667"/>
      <c r="G553" s="1667"/>
      <c r="H553" s="1667"/>
      <c r="I553" s="1667"/>
      <c r="J553" s="1667"/>
      <c r="K553" s="1667"/>
      <c r="L553" s="1667"/>
      <c r="M553" s="1668" t="s">
        <v>2546</v>
      </c>
      <c r="N553" s="1668"/>
      <c r="O553" s="1668"/>
      <c r="P553" s="1668"/>
      <c r="Q553" s="1670"/>
      <c r="R553" s="1671"/>
      <c r="S553" s="1672"/>
      <c r="T553" s="1670"/>
      <c r="U553" s="1671"/>
      <c r="V553" s="1672"/>
      <c r="W553" s="1663"/>
      <c r="X553" s="1664"/>
      <c r="Y553" s="1665"/>
      <c r="Z553" s="1758" t="s">
        <v>601</v>
      </c>
      <c r="AA553" s="1758"/>
      <c r="AB553" s="1758"/>
      <c r="AC553" s="1758"/>
      <c r="AD553" s="1758"/>
      <c r="AE553" s="1811"/>
      <c r="AF553" s="1812"/>
      <c r="AG553" s="1812"/>
      <c r="AH553" s="1813"/>
      <c r="AI553" s="1818"/>
      <c r="AJ553" s="1819"/>
      <c r="AK553" s="1819"/>
      <c r="AL553" s="1820"/>
      <c r="AM553" s="1800">
        <v>128172</v>
      </c>
      <c r="AN553" s="1801"/>
      <c r="AO553" s="1801"/>
      <c r="AP553" s="1801"/>
      <c r="AQ553" s="1801"/>
      <c r="AR553" s="1801"/>
      <c r="AS553" s="180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67" t="s">
        <v>2629</v>
      </c>
      <c r="D554" s="1667"/>
      <c r="E554" s="1667"/>
      <c r="F554" s="1667"/>
      <c r="G554" s="1667"/>
      <c r="H554" s="1667"/>
      <c r="I554" s="1667"/>
      <c r="J554" s="1667"/>
      <c r="K554" s="1667"/>
      <c r="L554" s="1667"/>
      <c r="M554" s="1668" t="s">
        <v>2542</v>
      </c>
      <c r="N554" s="1668"/>
      <c r="O554" s="1668"/>
      <c r="P554" s="1668"/>
      <c r="Q554" s="1670">
        <v>660</v>
      </c>
      <c r="R554" s="1671"/>
      <c r="S554" s="1672"/>
      <c r="T554" s="1670"/>
      <c r="U554" s="1671"/>
      <c r="V554" s="1672"/>
      <c r="W554" s="1663">
        <v>2.6100000000000002E-2</v>
      </c>
      <c r="X554" s="1664"/>
      <c r="Y554" s="1665"/>
      <c r="Z554" s="1758" t="s">
        <v>2722</v>
      </c>
      <c r="AA554" s="1758"/>
      <c r="AB554" s="1758"/>
      <c r="AC554" s="1758"/>
      <c r="AD554" s="1758"/>
      <c r="AE554" s="1811"/>
      <c r="AF554" s="1812"/>
      <c r="AG554" s="1812"/>
      <c r="AH554" s="1813"/>
      <c r="AI554" s="1818"/>
      <c r="AJ554" s="1819"/>
      <c r="AK554" s="1819"/>
      <c r="AL554" s="1820"/>
      <c r="AM554" s="1800">
        <v>4000000</v>
      </c>
      <c r="AN554" s="1801"/>
      <c r="AO554" s="1801"/>
      <c r="AP554" s="1801"/>
      <c r="AQ554" s="1801"/>
      <c r="AR554" s="1801"/>
      <c r="AS554" s="180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67" t="s">
        <v>2703</v>
      </c>
      <c r="D555" s="1667"/>
      <c r="E555" s="1667"/>
      <c r="F555" s="1667"/>
      <c r="G555" s="1667"/>
      <c r="H555" s="1667"/>
      <c r="I555" s="1667"/>
      <c r="J555" s="1667"/>
      <c r="K555" s="1667"/>
      <c r="L555" s="1667"/>
      <c r="M555" s="1668" t="s">
        <v>2536</v>
      </c>
      <c r="N555" s="1668"/>
      <c r="O555" s="1668"/>
      <c r="P555" s="1668"/>
      <c r="Q555" s="1670"/>
      <c r="R555" s="1671"/>
      <c r="S555" s="1672"/>
      <c r="T555" s="1670"/>
      <c r="U555" s="1671"/>
      <c r="V555" s="1672"/>
      <c r="W555" s="1663"/>
      <c r="X555" s="1664"/>
      <c r="Y555" s="1665"/>
      <c r="Z555" s="1758" t="s">
        <v>1328</v>
      </c>
      <c r="AA555" s="1758"/>
      <c r="AB555" s="1758"/>
      <c r="AC555" s="1758"/>
      <c r="AD555" s="1758"/>
      <c r="AE555" s="1811"/>
      <c r="AF555" s="1812"/>
      <c r="AG555" s="1812"/>
      <c r="AH555" s="1813"/>
      <c r="AI555" s="1818"/>
      <c r="AJ555" s="1819"/>
      <c r="AK555" s="1819"/>
      <c r="AL555" s="1820"/>
      <c r="AM555" s="1800">
        <v>149139</v>
      </c>
      <c r="AN555" s="1801"/>
      <c r="AO555" s="1801"/>
      <c r="AP555" s="1801"/>
      <c r="AQ555" s="1801"/>
      <c r="AR555" s="1801"/>
      <c r="AS555" s="180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67" t="s">
        <v>2737</v>
      </c>
      <c r="D556" s="1667"/>
      <c r="E556" s="1667"/>
      <c r="F556" s="1667"/>
      <c r="G556" s="1667"/>
      <c r="H556" s="1667"/>
      <c r="I556" s="1667"/>
      <c r="J556" s="1667"/>
      <c r="K556" s="1667"/>
      <c r="L556" s="1667"/>
      <c r="M556" s="1668" t="s">
        <v>2547</v>
      </c>
      <c r="N556" s="1668"/>
      <c r="O556" s="1668"/>
      <c r="P556" s="1668"/>
      <c r="Q556" s="1670"/>
      <c r="R556" s="1671"/>
      <c r="S556" s="1672"/>
      <c r="T556" s="1670"/>
      <c r="U556" s="1671"/>
      <c r="V556" s="1672"/>
      <c r="W556" s="1663"/>
      <c r="X556" s="1664"/>
      <c r="Y556" s="1665"/>
      <c r="Z556" s="1758" t="s">
        <v>1328</v>
      </c>
      <c r="AA556" s="1758"/>
      <c r="AB556" s="1758"/>
      <c r="AC556" s="1758"/>
      <c r="AD556" s="1758"/>
      <c r="AE556" s="1811"/>
      <c r="AF556" s="1812"/>
      <c r="AG556" s="1812"/>
      <c r="AH556" s="1813"/>
      <c r="AI556" s="1818"/>
      <c r="AJ556" s="1819"/>
      <c r="AK556" s="1819"/>
      <c r="AL556" s="1820"/>
      <c r="AM556" s="1800">
        <v>6500000</v>
      </c>
      <c r="AN556" s="1801"/>
      <c r="AO556" s="1801"/>
      <c r="AP556" s="1801"/>
      <c r="AQ556" s="1801"/>
      <c r="AR556" s="1801"/>
      <c r="AS556" s="180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67" t="s">
        <v>2732</v>
      </c>
      <c r="D557" s="1667"/>
      <c r="E557" s="1667"/>
      <c r="F557" s="1667"/>
      <c r="G557" s="1667"/>
      <c r="H557" s="1667"/>
      <c r="I557" s="1667"/>
      <c r="J557" s="1667"/>
      <c r="K557" s="1667"/>
      <c r="L557" s="1667"/>
      <c r="M557" s="1668" t="s">
        <v>2535</v>
      </c>
      <c r="N557" s="1668"/>
      <c r="O557" s="1668"/>
      <c r="P557" s="1668"/>
      <c r="Q557" s="1670"/>
      <c r="R557" s="1671"/>
      <c r="S557" s="1672"/>
      <c r="T557" s="1670"/>
      <c r="U557" s="1671"/>
      <c r="V557" s="1672"/>
      <c r="W557" s="1663"/>
      <c r="X557" s="1664"/>
      <c r="Y557" s="1665"/>
      <c r="Z557" s="1758" t="s">
        <v>1328</v>
      </c>
      <c r="AA557" s="1758"/>
      <c r="AB557" s="1758"/>
      <c r="AC557" s="1758"/>
      <c r="AD557" s="1758"/>
      <c r="AE557" s="1811"/>
      <c r="AF557" s="1812"/>
      <c r="AG557" s="1812"/>
      <c r="AH557" s="1813"/>
      <c r="AI557" s="1818"/>
      <c r="AJ557" s="1819"/>
      <c r="AK557" s="1819"/>
      <c r="AL557" s="1820"/>
      <c r="AM557" s="1800">
        <v>3960536</v>
      </c>
      <c r="AN557" s="1801"/>
      <c r="AO557" s="1801"/>
      <c r="AP557" s="1801"/>
      <c r="AQ557" s="1801"/>
      <c r="AR557" s="1801"/>
      <c r="AS557" s="1802"/>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67"/>
      <c r="D558" s="1667"/>
      <c r="E558" s="1667"/>
      <c r="F558" s="1667"/>
      <c r="G558" s="1667"/>
      <c r="H558" s="1667"/>
      <c r="I558" s="1667"/>
      <c r="J558" s="1667"/>
      <c r="K558" s="1667"/>
      <c r="L558" s="1667"/>
      <c r="M558" s="1668" t="s">
        <v>1328</v>
      </c>
      <c r="N558" s="1668"/>
      <c r="O558" s="1668"/>
      <c r="P558" s="1668"/>
      <c r="Q558" s="1670"/>
      <c r="R558" s="1671"/>
      <c r="S558" s="1672"/>
      <c r="T558" s="1670"/>
      <c r="U558" s="1671"/>
      <c r="V558" s="1672"/>
      <c r="W558" s="1663"/>
      <c r="X558" s="1664"/>
      <c r="Y558" s="1665"/>
      <c r="Z558" s="1758" t="s">
        <v>1328</v>
      </c>
      <c r="AA558" s="1758"/>
      <c r="AB558" s="1758"/>
      <c r="AC558" s="1758"/>
      <c r="AD558" s="1758"/>
      <c r="AE558" s="1811"/>
      <c r="AF558" s="1812"/>
      <c r="AG558" s="1812"/>
      <c r="AH558" s="1813"/>
      <c r="AI558" s="1818"/>
      <c r="AJ558" s="1819"/>
      <c r="AK558" s="1819"/>
      <c r="AL558" s="1820"/>
      <c r="AM558" s="1800"/>
      <c r="AN558" s="1801"/>
      <c r="AO558" s="1801"/>
      <c r="AP558" s="1801"/>
      <c r="AQ558" s="1801"/>
      <c r="AR558" s="1801"/>
      <c r="AS558" s="1802"/>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67"/>
      <c r="D559" s="1667"/>
      <c r="E559" s="1667"/>
      <c r="F559" s="1667"/>
      <c r="G559" s="1667"/>
      <c r="H559" s="1667"/>
      <c r="I559" s="1667"/>
      <c r="J559" s="1667"/>
      <c r="K559" s="1667"/>
      <c r="L559" s="1667"/>
      <c r="M559" s="1668" t="s">
        <v>1328</v>
      </c>
      <c r="N559" s="1668"/>
      <c r="O559" s="1668"/>
      <c r="P559" s="1668"/>
      <c r="Q559" s="1670"/>
      <c r="R559" s="1671"/>
      <c r="S559" s="1672"/>
      <c r="T559" s="1670"/>
      <c r="U559" s="1671"/>
      <c r="V559" s="1672"/>
      <c r="W559" s="1663"/>
      <c r="X559" s="1664"/>
      <c r="Y559" s="1665"/>
      <c r="Z559" s="1758" t="s">
        <v>1328</v>
      </c>
      <c r="AA559" s="1758"/>
      <c r="AB559" s="1758"/>
      <c r="AC559" s="1758"/>
      <c r="AD559" s="1758"/>
      <c r="AE559" s="1811"/>
      <c r="AF559" s="1812"/>
      <c r="AG559" s="1812"/>
      <c r="AH559" s="1813"/>
      <c r="AI559" s="1818"/>
      <c r="AJ559" s="1819"/>
      <c r="AK559" s="1819"/>
      <c r="AL559" s="1820"/>
      <c r="AM559" s="1800"/>
      <c r="AN559" s="1801"/>
      <c r="AO559" s="1801"/>
      <c r="AP559" s="1801"/>
      <c r="AQ559" s="1801"/>
      <c r="AR559" s="1801"/>
      <c r="AS559" s="180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7"/>
      <c r="D560" s="1667"/>
      <c r="E560" s="1667"/>
      <c r="F560" s="1667"/>
      <c r="G560" s="1667"/>
      <c r="H560" s="1667"/>
      <c r="I560" s="1667"/>
      <c r="J560" s="1667"/>
      <c r="K560" s="1667"/>
      <c r="L560" s="1667"/>
      <c r="M560" s="1668" t="s">
        <v>1328</v>
      </c>
      <c r="N560" s="1668"/>
      <c r="O560" s="1668"/>
      <c r="P560" s="1668"/>
      <c r="Q560" s="1670"/>
      <c r="R560" s="1671"/>
      <c r="S560" s="1672"/>
      <c r="T560" s="1670"/>
      <c r="U560" s="1671"/>
      <c r="V560" s="1672"/>
      <c r="W560" s="1663"/>
      <c r="X560" s="1664"/>
      <c r="Y560" s="1665"/>
      <c r="Z560" s="1758" t="s">
        <v>1328</v>
      </c>
      <c r="AA560" s="1758"/>
      <c r="AB560" s="1758"/>
      <c r="AC560" s="1758"/>
      <c r="AD560" s="1758"/>
      <c r="AE560" s="1811"/>
      <c r="AF560" s="1812"/>
      <c r="AG560" s="1812"/>
      <c r="AH560" s="1813"/>
      <c r="AI560" s="1818"/>
      <c r="AJ560" s="1819"/>
      <c r="AK560" s="1819"/>
      <c r="AL560" s="1820"/>
      <c r="AM560" s="1800"/>
      <c r="AN560" s="1801"/>
      <c r="AO560" s="1801"/>
      <c r="AP560" s="1801"/>
      <c r="AQ560" s="1801"/>
      <c r="AR560" s="1801"/>
      <c r="AS560" s="180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7"/>
      <c r="D561" s="1667"/>
      <c r="E561" s="1667"/>
      <c r="F561" s="1667"/>
      <c r="G561" s="1667"/>
      <c r="H561" s="1667"/>
      <c r="I561" s="1667"/>
      <c r="J561" s="1667"/>
      <c r="K561" s="1667"/>
      <c r="L561" s="1667"/>
      <c r="M561" s="1668" t="s">
        <v>1328</v>
      </c>
      <c r="N561" s="1668"/>
      <c r="O561" s="1668"/>
      <c r="P561" s="1668"/>
      <c r="Q561" s="1670"/>
      <c r="R561" s="1671"/>
      <c r="S561" s="1672"/>
      <c r="T561" s="1670"/>
      <c r="U561" s="1671"/>
      <c r="V561" s="1672"/>
      <c r="W561" s="1663"/>
      <c r="X561" s="1664"/>
      <c r="Y561" s="1665"/>
      <c r="Z561" s="1758" t="s">
        <v>1328</v>
      </c>
      <c r="AA561" s="1758"/>
      <c r="AB561" s="1758"/>
      <c r="AC561" s="1758"/>
      <c r="AD561" s="1758"/>
      <c r="AE561" s="1811"/>
      <c r="AF561" s="1812"/>
      <c r="AG561" s="1812"/>
      <c r="AH561" s="1813"/>
      <c r="AI561" s="1818"/>
      <c r="AJ561" s="1819"/>
      <c r="AK561" s="1819"/>
      <c r="AL561" s="1820"/>
      <c r="AM561" s="1800"/>
      <c r="AN561" s="1801"/>
      <c r="AO561" s="1801"/>
      <c r="AP561" s="1801"/>
      <c r="AQ561" s="1801"/>
      <c r="AR561" s="1801"/>
      <c r="AS561" s="180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817"/>
      <c r="V562" s="1580"/>
      <c r="W562" s="1580"/>
      <c r="X562" s="1580"/>
      <c r="Y562" s="1580"/>
      <c r="Z562" s="1580"/>
      <c r="AA562" s="1580"/>
      <c r="AB562" s="1580"/>
      <c r="AC562" s="1580"/>
      <c r="AD562" s="1580"/>
      <c r="AE562" s="1580"/>
      <c r="AF562" s="1580"/>
      <c r="AG562" s="1580"/>
      <c r="AH562" s="1580"/>
      <c r="AI562" s="1580"/>
      <c r="AJ562" s="1580"/>
      <c r="AK562" s="1580"/>
      <c r="AL562" s="1581"/>
      <c r="AM562" s="1592">
        <f>SUM(AM550:AS561)</f>
        <v>57684215</v>
      </c>
      <c r="AN562" s="1593"/>
      <c r="AO562" s="1593"/>
      <c r="AP562" s="1593"/>
      <c r="AQ562" s="1593"/>
      <c r="AR562" s="1593"/>
      <c r="AS562" s="159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63" t="str">
        <f>C550</f>
        <v>Citibank, N.A.</v>
      </c>
      <c r="H564" s="1363"/>
      <c r="I564" s="1363"/>
      <c r="J564" s="1363"/>
      <c r="K564" s="1363"/>
      <c r="L564" s="1363"/>
      <c r="M564" s="1363"/>
      <c r="N564" s="1363"/>
      <c r="O564" s="1363"/>
      <c r="P564" s="1363"/>
      <c r="Q564" s="1363"/>
      <c r="R564" s="1363"/>
      <c r="S564" s="8"/>
      <c r="T564" s="55" t="s">
        <v>114</v>
      </c>
      <c r="U564" t="s">
        <v>473</v>
      </c>
      <c r="Z564" s="1363" t="str">
        <f>C551</f>
        <v>Citibank, N.A.</v>
      </c>
      <c r="AA564" s="1363"/>
      <c r="AB564" s="1363"/>
      <c r="AC564" s="1363"/>
      <c r="AD564" s="1363"/>
      <c r="AE564" s="1363"/>
      <c r="AF564" s="1363"/>
      <c r="AG564" s="1363"/>
      <c r="AH564" s="1363"/>
      <c r="AI564" s="1363"/>
      <c r="AJ564" s="1363"/>
      <c r="AK564" s="136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8" t="s">
        <v>2710</v>
      </c>
      <c r="H565" s="1358"/>
      <c r="I565" s="1358"/>
      <c r="J565" s="1358"/>
      <c r="K565" s="1358"/>
      <c r="L565" s="1358"/>
      <c r="M565" s="1358"/>
      <c r="N565" s="1358"/>
      <c r="O565" s="1358"/>
      <c r="P565" s="1358"/>
      <c r="Q565" s="1358"/>
      <c r="R565" s="1358"/>
      <c r="S565" s="8"/>
      <c r="T565" s="22"/>
      <c r="U565" t="s">
        <v>86</v>
      </c>
      <c r="Z565" s="1358" t="s">
        <v>2710</v>
      </c>
      <c r="AA565" s="1358"/>
      <c r="AB565" s="1358"/>
      <c r="AC565" s="1358"/>
      <c r="AD565" s="1358"/>
      <c r="AE565" s="1358"/>
      <c r="AF565" s="1358"/>
      <c r="AG565" s="1358"/>
      <c r="AH565" s="1358"/>
      <c r="AI565" s="1358"/>
      <c r="AJ565" s="1358"/>
      <c r="AK565" s="1358"/>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8" t="s">
        <v>2711</v>
      </c>
      <c r="H566" s="1358"/>
      <c r="I566" s="1358"/>
      <c r="J566" s="1358"/>
      <c r="K566" s="1358"/>
      <c r="L566" s="1358"/>
      <c r="M566" s="1358"/>
      <c r="N566" s="1358"/>
      <c r="O566" s="1358"/>
      <c r="P566" s="1358"/>
      <c r="Q566" s="1358"/>
      <c r="R566" s="1358"/>
      <c r="T566" s="22"/>
      <c r="U566" t="s">
        <v>590</v>
      </c>
      <c r="Z566" s="1398" t="s">
        <v>2711</v>
      </c>
      <c r="AA566" s="1398"/>
      <c r="AB566" s="1398"/>
      <c r="AC566" s="1398"/>
      <c r="AD566" s="1398"/>
      <c r="AE566" s="1398"/>
      <c r="AF566" s="1398"/>
      <c r="AG566" s="1398"/>
      <c r="AH566" s="1398"/>
      <c r="AI566" s="1398"/>
      <c r="AJ566" s="1398"/>
      <c r="AK566" s="139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8" t="s">
        <v>2712</v>
      </c>
      <c r="H567" s="1358"/>
      <c r="I567" s="1358"/>
      <c r="J567" s="1358"/>
      <c r="K567" s="1358"/>
      <c r="L567" s="1358"/>
      <c r="M567" s="1358"/>
      <c r="N567" s="1358"/>
      <c r="O567" s="1358"/>
      <c r="P567" s="1358"/>
      <c r="Q567" s="1358"/>
      <c r="R567" s="1358"/>
      <c r="S567" s="8"/>
      <c r="T567" s="22"/>
      <c r="U567" t="s">
        <v>17</v>
      </c>
      <c r="Z567" s="1398" t="s">
        <v>2712</v>
      </c>
      <c r="AA567" s="1398"/>
      <c r="AB567" s="1398"/>
      <c r="AC567" s="1398"/>
      <c r="AD567" s="1398"/>
      <c r="AE567" s="1398"/>
      <c r="AF567" s="1398"/>
      <c r="AG567" s="1398"/>
      <c r="AH567" s="1398"/>
      <c r="AI567" s="1398"/>
      <c r="AJ567" s="1398"/>
      <c r="AK567" s="139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60">
        <v>8055570933</v>
      </c>
      <c r="H568" s="1360"/>
      <c r="I568" s="1360"/>
      <c r="J568" s="1360"/>
      <c r="K568" s="1360"/>
      <c r="L568" s="1360"/>
      <c r="O568" s="33" t="s">
        <v>208</v>
      </c>
      <c r="P568" s="1362"/>
      <c r="Q568" s="1362"/>
      <c r="R568" s="1362"/>
      <c r="S568" s="10"/>
      <c r="T568" s="22"/>
      <c r="U568" t="s">
        <v>318</v>
      </c>
      <c r="Z568" s="1360">
        <v>8055570933</v>
      </c>
      <c r="AA568" s="1360"/>
      <c r="AB568" s="1360"/>
      <c r="AC568" s="1360"/>
      <c r="AD568" s="1360"/>
      <c r="AE568" s="1360"/>
      <c r="AH568" s="33" t="s">
        <v>208</v>
      </c>
      <c r="AI568" s="1362"/>
      <c r="AJ568" s="1362"/>
      <c r="AK568" s="13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88" t="s">
        <v>2713</v>
      </c>
      <c r="I569" s="1358"/>
      <c r="J569" s="1358"/>
      <c r="K569" s="1358"/>
      <c r="L569" s="1358"/>
      <c r="M569" s="1358"/>
      <c r="N569" s="1358"/>
      <c r="O569" s="1358"/>
      <c r="P569" s="1358"/>
      <c r="Q569" s="1358"/>
      <c r="R569" s="1358"/>
      <c r="S569" s="8"/>
      <c r="T569" s="22"/>
      <c r="U569" t="s">
        <v>18</v>
      </c>
      <c r="AA569" s="1388" t="s">
        <v>2720</v>
      </c>
      <c r="AB569" s="1358"/>
      <c r="AC569" s="1358"/>
      <c r="AD569" s="1358"/>
      <c r="AE569" s="1358"/>
      <c r="AF569" s="1358"/>
      <c r="AG569" s="1358"/>
      <c r="AH569" s="1358"/>
      <c r="AI569" s="1358"/>
      <c r="AJ569" s="1358"/>
      <c r="AK569" s="135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73"/>
      <c r="N570" s="1673"/>
      <c r="O570" s="1673"/>
      <c r="P570" s="1673"/>
      <c r="Q570" s="1673"/>
      <c r="R570" s="1673"/>
      <c r="S570" s="8"/>
      <c r="T570" s="22"/>
      <c r="U570" s="349" t="s">
        <v>1329</v>
      </c>
      <c r="AA570" s="8"/>
      <c r="AB570" s="8"/>
      <c r="AC570" s="8"/>
      <c r="AD570" s="8"/>
      <c r="AE570" s="8"/>
      <c r="AF570" s="1673"/>
      <c r="AG570" s="1673"/>
      <c r="AH570" s="1673"/>
      <c r="AI570" s="1673"/>
      <c r="AJ570" s="1673"/>
      <c r="AK570" s="167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9" t="s">
        <v>555</v>
      </c>
      <c r="O571" s="1359"/>
      <c r="T571" s="22"/>
      <c r="U571" t="s">
        <v>20</v>
      </c>
      <c r="AG571" s="1359" t="s">
        <v>555</v>
      </c>
      <c r="AH571" s="135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63" t="str">
        <f>C552</f>
        <v>Deferred Costs</v>
      </c>
      <c r="H573" s="1363"/>
      <c r="I573" s="1363"/>
      <c r="J573" s="1363"/>
      <c r="K573" s="1363"/>
      <c r="L573" s="1363"/>
      <c r="M573" s="1363"/>
      <c r="N573" s="1363"/>
      <c r="O573" s="1363"/>
      <c r="P573" s="1363"/>
      <c r="Q573" s="1363"/>
      <c r="R573" s="1363"/>
      <c r="T573" s="55" t="s">
        <v>591</v>
      </c>
      <c r="U573" t="s">
        <v>473</v>
      </c>
      <c r="Z573" s="1363" t="str">
        <f>C553</f>
        <v>NOI During Construction</v>
      </c>
      <c r="AA573" s="1363"/>
      <c r="AB573" s="1363"/>
      <c r="AC573" s="1363"/>
      <c r="AD573" s="1363"/>
      <c r="AE573" s="1363"/>
      <c r="AF573" s="1363"/>
      <c r="AG573" s="1363"/>
      <c r="AH573" s="1363"/>
      <c r="AI573" s="1363"/>
      <c r="AJ573" s="1363"/>
      <c r="AK573" s="136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8" t="s">
        <v>2651</v>
      </c>
      <c r="H574" s="1358"/>
      <c r="I574" s="1358"/>
      <c r="J574" s="1358"/>
      <c r="K574" s="1358"/>
      <c r="L574" s="1358"/>
      <c r="M574" s="1358"/>
      <c r="N574" s="1358"/>
      <c r="O574" s="1358"/>
      <c r="P574" s="1358"/>
      <c r="Q574" s="1358"/>
      <c r="R574" s="1358"/>
      <c r="T574" s="22"/>
      <c r="U574" t="s">
        <v>86</v>
      </c>
      <c r="Z574" s="1358" t="s">
        <v>2651</v>
      </c>
      <c r="AA574" s="1358"/>
      <c r="AB574" s="1358"/>
      <c r="AC574" s="1358"/>
      <c r="AD574" s="1358"/>
      <c r="AE574" s="1358"/>
      <c r="AF574" s="1358"/>
      <c r="AG574" s="1358"/>
      <c r="AH574" s="1358"/>
      <c r="AI574" s="1358"/>
      <c r="AJ574" s="1358"/>
      <c r="AK574" s="135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98" t="s">
        <v>2638</v>
      </c>
      <c r="H575" s="1398"/>
      <c r="I575" s="1398"/>
      <c r="J575" s="1398"/>
      <c r="K575" s="1398"/>
      <c r="L575" s="1398"/>
      <c r="M575" s="1398"/>
      <c r="N575" s="1398"/>
      <c r="O575" s="1398"/>
      <c r="P575" s="1398"/>
      <c r="Q575" s="1398"/>
      <c r="R575" s="1398"/>
      <c r="T575" s="22"/>
      <c r="U575" t="s">
        <v>590</v>
      </c>
      <c r="Z575" s="1398" t="s">
        <v>2638</v>
      </c>
      <c r="AA575" s="1398"/>
      <c r="AB575" s="1398"/>
      <c r="AC575" s="1398"/>
      <c r="AD575" s="1398"/>
      <c r="AE575" s="1398"/>
      <c r="AF575" s="1398"/>
      <c r="AG575" s="1398"/>
      <c r="AH575" s="1398"/>
      <c r="AI575" s="1398"/>
      <c r="AJ575" s="1398"/>
      <c r="AK575" s="139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98" t="s">
        <v>2706</v>
      </c>
      <c r="H576" s="1398"/>
      <c r="I576" s="1398"/>
      <c r="J576" s="1398"/>
      <c r="K576" s="1398"/>
      <c r="L576" s="1398"/>
      <c r="M576" s="1398"/>
      <c r="N576" s="1398"/>
      <c r="O576" s="1398"/>
      <c r="P576" s="1398"/>
      <c r="Q576" s="1398"/>
      <c r="R576" s="1398"/>
      <c r="T576" s="22"/>
      <c r="U576" t="s">
        <v>17</v>
      </c>
      <c r="Z576" s="1398" t="s">
        <v>2706</v>
      </c>
      <c r="AA576" s="1398"/>
      <c r="AB576" s="1398"/>
      <c r="AC576" s="1398"/>
      <c r="AD576" s="1398"/>
      <c r="AE576" s="1398"/>
      <c r="AF576" s="1398"/>
      <c r="AG576" s="1398"/>
      <c r="AH576" s="1398"/>
      <c r="AI576" s="1398"/>
      <c r="AJ576" s="1398"/>
      <c r="AK576" s="139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60">
        <v>9167736060</v>
      </c>
      <c r="H577" s="1360"/>
      <c r="I577" s="1360"/>
      <c r="J577" s="1360"/>
      <c r="K577" s="1360"/>
      <c r="L577" s="1360"/>
      <c r="O577" s="33" t="s">
        <v>208</v>
      </c>
      <c r="P577" s="1362"/>
      <c r="Q577" s="1362"/>
      <c r="R577" s="1362"/>
      <c r="T577" s="22"/>
      <c r="U577" t="s">
        <v>318</v>
      </c>
      <c r="Z577" s="1360">
        <v>9167736060</v>
      </c>
      <c r="AA577" s="1360"/>
      <c r="AB577" s="1360"/>
      <c r="AC577" s="1360"/>
      <c r="AD577" s="1360"/>
      <c r="AE577" s="1360"/>
      <c r="AH577" s="33" t="s">
        <v>208</v>
      </c>
      <c r="AI577" s="1362"/>
      <c r="AJ577" s="1362"/>
      <c r="AK577" s="13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88" t="s">
        <v>2721</v>
      </c>
      <c r="I578" s="1358"/>
      <c r="J578" s="1358"/>
      <c r="K578" s="1358"/>
      <c r="L578" s="1358"/>
      <c r="M578" s="1358"/>
      <c r="N578" s="1358"/>
      <c r="O578" s="1358"/>
      <c r="P578" s="1358"/>
      <c r="Q578" s="1358"/>
      <c r="R578" s="1358"/>
      <c r="T578" s="22"/>
      <c r="U578" t="s">
        <v>18</v>
      </c>
      <c r="AA578" s="1388" t="s">
        <v>2705</v>
      </c>
      <c r="AB578" s="1358"/>
      <c r="AC578" s="1358"/>
      <c r="AD578" s="1358"/>
      <c r="AE578" s="1358"/>
      <c r="AF578" s="1358"/>
      <c r="AG578" s="1358"/>
      <c r="AH578" s="1358"/>
      <c r="AI578" s="1358"/>
      <c r="AJ578" s="1358"/>
      <c r="AK578" s="135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9" t="s">
        <v>555</v>
      </c>
      <c r="O579" s="1359"/>
      <c r="T579" s="22"/>
      <c r="U579" t="s">
        <v>20</v>
      </c>
      <c r="AG579" s="1359" t="s">
        <v>555</v>
      </c>
      <c r="AH579" s="135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63" t="str">
        <f>C554</f>
        <v>Riverside Charitable Corporation</v>
      </c>
      <c r="H581" s="1363"/>
      <c r="I581" s="1363"/>
      <c r="J581" s="1363"/>
      <c r="K581" s="1363"/>
      <c r="L581" s="1363"/>
      <c r="M581" s="1363"/>
      <c r="N581" s="1363"/>
      <c r="O581" s="1363"/>
      <c r="P581" s="1363"/>
      <c r="Q581" s="1363"/>
      <c r="R581" s="1363"/>
      <c r="T581" s="55" t="s">
        <v>594</v>
      </c>
      <c r="U581" t="s">
        <v>473</v>
      </c>
      <c r="Z581" s="1363" t="str">
        <f>C555</f>
        <v>WNC - Solar Credits</v>
      </c>
      <c r="AA581" s="1363"/>
      <c r="AB581" s="1363"/>
      <c r="AC581" s="1363"/>
      <c r="AD581" s="1363"/>
      <c r="AE581" s="1363"/>
      <c r="AF581" s="1363"/>
      <c r="AG581" s="1363"/>
      <c r="AH581" s="1363"/>
      <c r="AI581" s="1363"/>
      <c r="AJ581" s="1363"/>
      <c r="AK581" s="13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8" t="s">
        <v>2714</v>
      </c>
      <c r="H582" s="1358"/>
      <c r="I582" s="1358"/>
      <c r="J582" s="1358"/>
      <c r="K582" s="1358"/>
      <c r="L582" s="1358"/>
      <c r="M582" s="1358"/>
      <c r="N582" s="1358"/>
      <c r="O582" s="1358"/>
      <c r="P582" s="1358"/>
      <c r="Q582" s="1358"/>
      <c r="R582" s="1358"/>
      <c r="T582" s="22"/>
      <c r="U582" t="s">
        <v>86</v>
      </c>
      <c r="Z582" s="1358" t="s">
        <v>2682</v>
      </c>
      <c r="AA582" s="1358"/>
      <c r="AB582" s="1358"/>
      <c r="AC582" s="1358"/>
      <c r="AD582" s="1358"/>
      <c r="AE582" s="1358"/>
      <c r="AF582" s="1358"/>
      <c r="AG582" s="1358"/>
      <c r="AH582" s="1358"/>
      <c r="AI582" s="1358"/>
      <c r="AJ582" s="1358"/>
      <c r="AK582" s="135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8" t="s">
        <v>2715</v>
      </c>
      <c r="H583" s="1358"/>
      <c r="I583" s="1358"/>
      <c r="J583" s="1358"/>
      <c r="K583" s="1358"/>
      <c r="L583" s="1358"/>
      <c r="M583" s="1358"/>
      <c r="N583" s="1358"/>
      <c r="O583" s="1358"/>
      <c r="P583" s="1358"/>
      <c r="Q583" s="1358"/>
      <c r="R583" s="1358"/>
      <c r="T583" s="22"/>
      <c r="U583" t="s">
        <v>590</v>
      </c>
      <c r="Z583" s="1398" t="s">
        <v>2709</v>
      </c>
      <c r="AA583" s="1398"/>
      <c r="AB583" s="1398"/>
      <c r="AC583" s="1398"/>
      <c r="AD583" s="1398"/>
      <c r="AE583" s="1398"/>
      <c r="AF583" s="1398"/>
      <c r="AG583" s="1398"/>
      <c r="AH583" s="1398"/>
      <c r="AI583" s="1398"/>
      <c r="AJ583" s="1398"/>
      <c r="AK583" s="139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8" t="s">
        <v>2635</v>
      </c>
      <c r="H584" s="1358"/>
      <c r="I584" s="1358"/>
      <c r="J584" s="1358"/>
      <c r="K584" s="1358"/>
      <c r="L584" s="1358"/>
      <c r="M584" s="1358"/>
      <c r="N584" s="1358"/>
      <c r="O584" s="1358"/>
      <c r="P584" s="1358"/>
      <c r="Q584" s="1358"/>
      <c r="R584" s="1358"/>
      <c r="T584" s="22"/>
      <c r="U584" t="s">
        <v>17</v>
      </c>
      <c r="Z584" s="1398" t="s">
        <v>2684</v>
      </c>
      <c r="AA584" s="1398"/>
      <c r="AB584" s="1398"/>
      <c r="AC584" s="1398"/>
      <c r="AD584" s="1398"/>
      <c r="AE584" s="1398"/>
      <c r="AF584" s="1398"/>
      <c r="AG584" s="1398"/>
      <c r="AH584" s="1398"/>
      <c r="AI584" s="1398"/>
      <c r="AJ584" s="1398"/>
      <c r="AK584" s="139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61">
        <v>7146281654</v>
      </c>
      <c r="H585" s="1361"/>
      <c r="I585" s="1361"/>
      <c r="J585" s="1361"/>
      <c r="K585" s="1361"/>
      <c r="L585" s="1361"/>
      <c r="O585" s="33" t="s">
        <v>208</v>
      </c>
      <c r="P585" s="1362"/>
      <c r="Q585" s="1362"/>
      <c r="R585" s="1362"/>
      <c r="T585" s="22"/>
      <c r="U585" t="s">
        <v>318</v>
      </c>
      <c r="Z585" s="1360" t="s">
        <v>2708</v>
      </c>
      <c r="AA585" s="1361"/>
      <c r="AB585" s="1361"/>
      <c r="AC585" s="1361"/>
      <c r="AD585" s="1361"/>
      <c r="AE585" s="1361"/>
      <c r="AH585" s="33" t="s">
        <v>208</v>
      </c>
      <c r="AI585" s="1362"/>
      <c r="AJ585" s="1362"/>
      <c r="AK585" s="13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88" t="s">
        <v>2716</v>
      </c>
      <c r="I586" s="1358"/>
      <c r="J586" s="1358"/>
      <c r="K586" s="1358"/>
      <c r="L586" s="1358"/>
      <c r="M586" s="1358"/>
      <c r="N586" s="1358"/>
      <c r="O586" s="1358"/>
      <c r="P586" s="1358"/>
      <c r="Q586" s="1358"/>
      <c r="R586" s="1358"/>
      <c r="T586" s="22"/>
      <c r="U586" t="s">
        <v>18</v>
      </c>
      <c r="AA586" s="1358" t="s">
        <v>2717</v>
      </c>
      <c r="AB586" s="1358"/>
      <c r="AC586" s="1358"/>
      <c r="AD586" s="1358"/>
      <c r="AE586" s="1358"/>
      <c r="AF586" s="1358"/>
      <c r="AG586" s="1358"/>
      <c r="AH586" s="1358"/>
      <c r="AI586" s="1358"/>
      <c r="AJ586" s="1358"/>
      <c r="AK586" s="135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9" t="s">
        <v>555</v>
      </c>
      <c r="O587" s="1359"/>
      <c r="T587" s="22"/>
      <c r="U587" t="s">
        <v>20</v>
      </c>
      <c r="AG587" s="1359" t="s">
        <v>555</v>
      </c>
      <c r="AH587" s="1359"/>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63" t="str">
        <f>C556</f>
        <v>Safehold, Inc.</v>
      </c>
      <c r="H589" s="1363"/>
      <c r="I589" s="1363"/>
      <c r="J589" s="1363"/>
      <c r="K589" s="1363"/>
      <c r="L589" s="1363"/>
      <c r="M589" s="1363"/>
      <c r="N589" s="1363"/>
      <c r="O589" s="1363"/>
      <c r="P589" s="1363"/>
      <c r="Q589" s="1363"/>
      <c r="R589" s="1363"/>
      <c r="T589" s="55" t="s">
        <v>466</v>
      </c>
      <c r="U589" t="s">
        <v>473</v>
      </c>
      <c r="Z589" s="1363" t="str">
        <f>C557</f>
        <v>WNC &amp; Associates</v>
      </c>
      <c r="AA589" s="1363"/>
      <c r="AB589" s="1363"/>
      <c r="AC589" s="1363"/>
      <c r="AD589" s="1363"/>
      <c r="AE589" s="1363"/>
      <c r="AF589" s="1363"/>
      <c r="AG589" s="1363"/>
      <c r="AH589" s="1363"/>
      <c r="AI589" s="1363"/>
      <c r="AJ589" s="1363"/>
      <c r="AK589" s="13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88" t="s">
        <v>2725</v>
      </c>
      <c r="H590" s="1358"/>
      <c r="I590" s="1358"/>
      <c r="J590" s="1358"/>
      <c r="K590" s="1358"/>
      <c r="L590" s="1358"/>
      <c r="M590" s="1358"/>
      <c r="N590" s="1358"/>
      <c r="O590" s="1358"/>
      <c r="P590" s="1358"/>
      <c r="Q590" s="1358"/>
      <c r="R590" s="1358"/>
      <c r="T590" s="22"/>
      <c r="U590" t="s">
        <v>86</v>
      </c>
      <c r="Z590" s="1358" t="s">
        <v>2682</v>
      </c>
      <c r="AA590" s="1358"/>
      <c r="AB590" s="1358"/>
      <c r="AC590" s="1358"/>
      <c r="AD590" s="1358"/>
      <c r="AE590" s="1358"/>
      <c r="AF590" s="1358"/>
      <c r="AG590" s="1358"/>
      <c r="AH590" s="1358"/>
      <c r="AI590" s="1358"/>
      <c r="AJ590" s="1358"/>
      <c r="AK590" s="135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88" t="s">
        <v>2726</v>
      </c>
      <c r="H591" s="1358"/>
      <c r="I591" s="1358"/>
      <c r="J591" s="1358"/>
      <c r="K591" s="1358"/>
      <c r="L591" s="1358"/>
      <c r="M591" s="1358"/>
      <c r="N591" s="1358"/>
      <c r="O591" s="1358"/>
      <c r="P591" s="1358"/>
      <c r="Q591" s="1358"/>
      <c r="R591" s="1358"/>
      <c r="T591" s="22"/>
      <c r="U591" t="s">
        <v>590</v>
      </c>
      <c r="Z591" s="1398" t="s">
        <v>2709</v>
      </c>
      <c r="AA591" s="1398"/>
      <c r="AB591" s="1398"/>
      <c r="AC591" s="1398"/>
      <c r="AD591" s="1398"/>
      <c r="AE591" s="1398"/>
      <c r="AF591" s="1398"/>
      <c r="AG591" s="1398"/>
      <c r="AH591" s="1398"/>
      <c r="AI591" s="1398"/>
      <c r="AJ591" s="1398"/>
      <c r="AK591" s="139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88" t="s">
        <v>2724</v>
      </c>
      <c r="H592" s="1358"/>
      <c r="I592" s="1358"/>
      <c r="J592" s="1358"/>
      <c r="K592" s="1358"/>
      <c r="L592" s="1358"/>
      <c r="M592" s="1358"/>
      <c r="N592" s="1358"/>
      <c r="O592" s="1358"/>
      <c r="P592" s="1358"/>
      <c r="Q592" s="1358"/>
      <c r="R592" s="1358"/>
      <c r="T592" s="22"/>
      <c r="U592" t="s">
        <v>17</v>
      </c>
      <c r="Z592" s="1398" t="s">
        <v>2684</v>
      </c>
      <c r="AA592" s="1398"/>
      <c r="AB592" s="1398"/>
      <c r="AC592" s="1398"/>
      <c r="AD592" s="1398"/>
      <c r="AE592" s="1398"/>
      <c r="AF592" s="1398"/>
      <c r="AG592" s="1398"/>
      <c r="AH592" s="1398"/>
      <c r="AI592" s="1398"/>
      <c r="AJ592" s="1398"/>
      <c r="AK592" s="139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61">
        <v>3103155580</v>
      </c>
      <c r="H593" s="1361"/>
      <c r="I593" s="1361"/>
      <c r="J593" s="1361"/>
      <c r="K593" s="1361"/>
      <c r="L593" s="1361"/>
      <c r="M593"/>
      <c r="N593"/>
      <c r="O593" s="33" t="s">
        <v>208</v>
      </c>
      <c r="P593" s="1362"/>
      <c r="Q593" s="1362"/>
      <c r="R593" s="1362"/>
      <c r="S593"/>
      <c r="T593" s="22"/>
      <c r="U593" t="s">
        <v>318</v>
      </c>
      <c r="V593"/>
      <c r="W593"/>
      <c r="X593"/>
      <c r="Y593"/>
      <c r="Z593" s="1361">
        <v>9494392616</v>
      </c>
      <c r="AA593" s="1361"/>
      <c r="AB593" s="1361"/>
      <c r="AC593" s="1361"/>
      <c r="AD593" s="1361"/>
      <c r="AE593" s="1361"/>
      <c r="AF593"/>
      <c r="AG593"/>
      <c r="AH593" s="33" t="s">
        <v>208</v>
      </c>
      <c r="AI593" s="1362"/>
      <c r="AJ593" s="1362"/>
      <c r="AK593" s="13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8" t="s">
        <v>302</v>
      </c>
      <c r="I594" s="1358"/>
      <c r="J594" s="1358"/>
      <c r="K594" s="1358"/>
      <c r="L594" s="1358"/>
      <c r="M594" s="1358"/>
      <c r="N594" s="1358"/>
      <c r="O594" s="1358"/>
      <c r="P594" s="1358"/>
      <c r="Q594" s="1358"/>
      <c r="R594" s="1358"/>
      <c r="S594"/>
      <c r="T594" s="22"/>
      <c r="U594" t="s">
        <v>18</v>
      </c>
      <c r="V594"/>
      <c r="W594"/>
      <c r="X594"/>
      <c r="Y594"/>
      <c r="Z594"/>
      <c r="AA594" s="1358" t="s">
        <v>2733</v>
      </c>
      <c r="AB594" s="1358"/>
      <c r="AC594" s="1358"/>
      <c r="AD594" s="1358"/>
      <c r="AE594" s="1358"/>
      <c r="AF594" s="1358"/>
      <c r="AG594" s="1358"/>
      <c r="AH594" s="1358"/>
      <c r="AI594" s="1358"/>
      <c r="AJ594" s="1358"/>
      <c r="AK594" s="135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9" t="s">
        <v>555</v>
      </c>
      <c r="O595" s="1359"/>
      <c r="P595"/>
      <c r="Q595"/>
      <c r="R595"/>
      <c r="S595"/>
      <c r="T595" s="22"/>
      <c r="U595" t="s">
        <v>20</v>
      </c>
      <c r="V595"/>
      <c r="W595"/>
      <c r="X595"/>
      <c r="Y595"/>
      <c r="Z595"/>
      <c r="AA595"/>
      <c r="AB595"/>
      <c r="AC595"/>
      <c r="AD595"/>
      <c r="AE595"/>
      <c r="AF595"/>
      <c r="AG595" s="1359" t="s">
        <v>555</v>
      </c>
      <c r="AH595" s="1359"/>
      <c r="AI595"/>
      <c r="AJ595"/>
      <c r="AK595"/>
      <c r="AL595"/>
      <c r="AM595"/>
      <c r="AN595"/>
      <c r="AO595"/>
      <c r="AP595"/>
      <c r="AQ595"/>
      <c r="AR595"/>
      <c r="AS595"/>
      <c r="AT595"/>
      <c r="AU595"/>
      <c r="AV595"/>
      <c r="AW595"/>
      <c r="AX595"/>
      <c r="AY595"/>
      <c r="BA595" s="4" t="s">
        <v>326</v>
      </c>
      <c r="BB595" s="3"/>
      <c r="BC595" s="3"/>
      <c r="BD595" s="3"/>
      <c r="BE595" s="121" t="s">
        <v>484</v>
      </c>
      <c r="BF595" s="122"/>
      <c r="BG595" s="1427"/>
      <c r="BH595" s="1428"/>
      <c r="BI595" s="121" t="s">
        <v>485</v>
      </c>
      <c r="BJ595" s="122"/>
      <c r="BK595" s="1427"/>
      <c r="BL595" s="1428"/>
      <c r="BM595" s="3"/>
      <c r="BN595" s="1474" t="s">
        <v>643</v>
      </c>
      <c r="BO595" s="1475"/>
      <c r="BP595" s="1475"/>
      <c r="BQ595" s="1475"/>
      <c r="BR595" s="1476"/>
      <c r="BS595" s="1439" t="s">
        <v>327</v>
      </c>
      <c r="BT595" s="1439"/>
      <c r="BU595" s="1439"/>
      <c r="BV595" s="1439"/>
      <c r="BW595" s="1439"/>
      <c r="BX595" s="1439" t="s">
        <v>164</v>
      </c>
      <c r="BY595" s="1439"/>
      <c r="BZ595" s="1439"/>
      <c r="CA595" s="1439"/>
      <c r="CB595" s="1439"/>
      <c r="CC595" s="1439" t="s">
        <v>165</v>
      </c>
      <c r="CD595" s="1439"/>
      <c r="CE595" s="1439"/>
      <c r="CF595" s="1439"/>
      <c r="CG595" s="1439"/>
      <c r="CH595" s="1439" t="s">
        <v>470</v>
      </c>
      <c r="CI595" s="1439"/>
      <c r="CJ595" s="1439"/>
      <c r="CK595" s="1439"/>
      <c r="CL595" s="1439"/>
      <c r="CM595" s="1439" t="s">
        <v>30</v>
      </c>
      <c r="CN595" s="1439"/>
      <c r="CO595" s="1439"/>
      <c r="CP595" s="1439"/>
      <c r="CQ595" s="1439"/>
      <c r="CR595" s="89"/>
      <c r="CS595" s="1439" t="s">
        <v>643</v>
      </c>
      <c r="CT595" s="1439"/>
      <c r="CU595" s="1439"/>
      <c r="CV595" s="1439"/>
      <c r="CW595" s="1439"/>
      <c r="CX595" s="1439" t="s">
        <v>327</v>
      </c>
      <c r="CY595" s="1439"/>
      <c r="CZ595" s="1439"/>
      <c r="DA595" s="1439"/>
      <c r="DB595" s="1439"/>
      <c r="DC595" s="1439" t="s">
        <v>164</v>
      </c>
      <c r="DD595" s="1439"/>
      <c r="DE595" s="1439"/>
      <c r="DF595" s="1439"/>
      <c r="DG595" s="1439"/>
      <c r="DH595" s="1439" t="s">
        <v>165</v>
      </c>
      <c r="DI595" s="1439"/>
      <c r="DJ595" s="1439"/>
      <c r="DK595" s="1439"/>
      <c r="DL595" s="1439"/>
      <c r="DM595" s="1439" t="s">
        <v>470</v>
      </c>
      <c r="DN595" s="1439"/>
      <c r="DO595" s="1439"/>
      <c r="DP595" s="1439"/>
      <c r="DQ595" s="1439"/>
      <c r="DR595" s="1439" t="s">
        <v>30</v>
      </c>
      <c r="DS595" s="1439"/>
      <c r="DT595" s="1439"/>
      <c r="DU595" s="1439"/>
      <c r="DV595" s="1439"/>
      <c r="DX595" s="1439" t="s">
        <v>643</v>
      </c>
      <c r="DY595" s="1439"/>
      <c r="DZ595" s="1439"/>
      <c r="EA595" s="1439"/>
      <c r="EB595" s="1439"/>
      <c r="EC595" s="1439" t="s">
        <v>327</v>
      </c>
      <c r="ED595" s="1439"/>
      <c r="EE595" s="1439"/>
      <c r="EF595" s="1439"/>
      <c r="EG595" s="1439"/>
      <c r="EH595" s="1439" t="s">
        <v>164</v>
      </c>
      <c r="EI595" s="1439"/>
      <c r="EJ595" s="1439"/>
      <c r="EK595" s="1439"/>
      <c r="EL595" s="1439"/>
      <c r="EM595" s="1439" t="s">
        <v>165</v>
      </c>
      <c r="EN595" s="1439"/>
      <c r="EO595" s="1439"/>
      <c r="EP595" s="1439"/>
      <c r="EQ595" s="1439"/>
      <c r="ER595" s="1439" t="s">
        <v>470</v>
      </c>
      <c r="ES595" s="1439"/>
      <c r="ET595" s="1439"/>
      <c r="EU595" s="1439"/>
      <c r="EV595" s="1439"/>
      <c r="EW595" s="1439" t="s">
        <v>30</v>
      </c>
      <c r="EX595" s="1439"/>
      <c r="EY595" s="1439"/>
      <c r="EZ595" s="1439"/>
      <c r="FA595" s="1439"/>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7"/>
      <c r="BG596" s="1427">
        <f t="shared" ref="BG596:BG620" si="2">IF(BE596=1,G714,0)</f>
        <v>0</v>
      </c>
      <c r="BH596" s="1428"/>
      <c r="BI596" s="1415">
        <f t="shared" ref="BI596:BI620" si="3">IF(AND(AC714&lt;=0.35,AC714&gt;0),1,0)</f>
        <v>1</v>
      </c>
      <c r="BJ596" s="1417"/>
      <c r="BK596" s="1427">
        <f t="shared" ref="BK596:BK620" si="4">IF(BI596=1,G714,0)</f>
        <v>11</v>
      </c>
      <c r="BL596" s="1428"/>
      <c r="BM596" s="3"/>
      <c r="BN596" s="1408">
        <f t="shared" ref="BN596:BN620" si="5">IF(B714="SRO/Studio",G714,0)</f>
        <v>0</v>
      </c>
      <c r="BO596" s="1409"/>
      <c r="BP596" s="1409"/>
      <c r="BQ596" s="1409"/>
      <c r="BR596" s="1410"/>
      <c r="BS596" s="1414">
        <f t="shared" ref="BS596:BS620" si="6">IF(B714="1 Bedroom",G714,0)</f>
        <v>11</v>
      </c>
      <c r="BT596" s="1414"/>
      <c r="BU596" s="1414"/>
      <c r="BV596" s="1414"/>
      <c r="BW596" s="1414"/>
      <c r="BX596" s="1414">
        <f t="shared" ref="BX596:BX620" si="7">IF(B714="2 Bedrooms",G714,0)</f>
        <v>0</v>
      </c>
      <c r="BY596" s="1414"/>
      <c r="BZ596" s="1414"/>
      <c r="CA596" s="1414"/>
      <c r="CB596" s="1414"/>
      <c r="CC596" s="1414">
        <f t="shared" ref="CC596:CC620" si="8">IF(B714="3 Bedrooms",G714,0)</f>
        <v>0</v>
      </c>
      <c r="CD596" s="1414"/>
      <c r="CE596" s="1414"/>
      <c r="CF596" s="1414"/>
      <c r="CG596" s="1414"/>
      <c r="CH596" s="1414">
        <f t="shared" ref="CH596:CH620" si="9">IF(B714="4 Bedrooms",G714,0)</f>
        <v>0</v>
      </c>
      <c r="CI596" s="1414"/>
      <c r="CJ596" s="1414"/>
      <c r="CK596" s="1414"/>
      <c r="CL596" s="1414"/>
      <c r="CM596" s="1414">
        <f t="shared" ref="CM596:CM620" si="10">IF(B714="5 Bedrooms",G714,0)</f>
        <v>0</v>
      </c>
      <c r="CN596" s="1414"/>
      <c r="CO596" s="1414"/>
      <c r="CP596" s="1414"/>
      <c r="CQ596" s="1414"/>
      <c r="CR596" s="6"/>
      <c r="CS596" s="1418">
        <f t="shared" ref="CS596:CS620" si="11">IF(AND(B714="SRO/Studio",AC714&lt;=0.3),G714,0)</f>
        <v>0</v>
      </c>
      <c r="CT596" s="1418"/>
      <c r="CU596" s="1418"/>
      <c r="CV596" s="1418"/>
      <c r="CW596" s="1418"/>
      <c r="CX596" s="1418">
        <f t="shared" ref="CX596:CX620" si="12">IF(AND(B714="1 Bedroom",AC714&lt;=0.3),G714,0)</f>
        <v>11</v>
      </c>
      <c r="CY596" s="1418"/>
      <c r="CZ596" s="1418"/>
      <c r="DA596" s="1418"/>
      <c r="DB596" s="1418"/>
      <c r="DC596" s="1418">
        <f t="shared" ref="DC596:DC620" si="13">IF(AND(B714="2 Bedrooms",AC714&lt;=0.3),G714,0)</f>
        <v>0</v>
      </c>
      <c r="DD596" s="1418"/>
      <c r="DE596" s="1418"/>
      <c r="DF596" s="1418"/>
      <c r="DG596" s="1418"/>
      <c r="DH596" s="1418">
        <f t="shared" ref="DH596:DH620" si="14">IF(AND(B714="3 Bedrooms",AC714&lt;=0.3),G714,0)</f>
        <v>0</v>
      </c>
      <c r="DI596" s="1418"/>
      <c r="DJ596" s="1418"/>
      <c r="DK596" s="1418"/>
      <c r="DL596" s="1418"/>
      <c r="DM596" s="1418">
        <f t="shared" ref="DM596:DM620" si="15">IF(AND(B714="4 Bedrooms",AC714&lt;=0.3),G714,0)</f>
        <v>0</v>
      </c>
      <c r="DN596" s="1418"/>
      <c r="DO596" s="1418"/>
      <c r="DP596" s="1418"/>
      <c r="DQ596" s="1418"/>
      <c r="DR596" s="1418">
        <f t="shared" ref="DR596:DR620" si="16">IF(AND(B714="5 Bedrooms",AC714&lt;=0.3),G714,0)</f>
        <v>0</v>
      </c>
      <c r="DS596" s="1418"/>
      <c r="DT596" s="1418"/>
      <c r="DU596" s="1418"/>
      <c r="DV596" s="1418"/>
      <c r="DX596" s="1415" t="str">
        <f t="shared" ref="DX596:DX620" si="17">IF(BN596&gt;0,O714," ")</f>
        <v xml:space="preserve"> </v>
      </c>
      <c r="DY596" s="1416"/>
      <c r="DZ596" s="1416"/>
      <c r="EA596" s="1416"/>
      <c r="EB596" s="1417"/>
      <c r="EC596" s="1415">
        <f t="shared" ref="EC596:EC620" si="18">IF(BS596&gt;0,O714," ")</f>
        <v>681</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5" customHeight="1">
      <c r="A597" s="55" t="s">
        <v>471</v>
      </c>
      <c r="B597" t="s">
        <v>473</v>
      </c>
      <c r="C597"/>
      <c r="D597"/>
      <c r="E597"/>
      <c r="F597"/>
      <c r="G597" s="1363">
        <f>C558</f>
        <v>0</v>
      </c>
      <c r="H597" s="1363"/>
      <c r="I597" s="1363"/>
      <c r="J597" s="1363"/>
      <c r="K597" s="1363"/>
      <c r="L597" s="1363"/>
      <c r="M597" s="1363"/>
      <c r="N597" s="1363"/>
      <c r="O597" s="1363"/>
      <c r="P597" s="1363"/>
      <c r="Q597" s="1363"/>
      <c r="R597" s="1363"/>
      <c r="S597"/>
      <c r="T597" s="55" t="s">
        <v>656</v>
      </c>
      <c r="U597" t="s">
        <v>473</v>
      </c>
      <c r="V597"/>
      <c r="W597"/>
      <c r="X597"/>
      <c r="Y597"/>
      <c r="Z597" s="1363">
        <f>C559</f>
        <v>0</v>
      </c>
      <c r="AA597" s="1363"/>
      <c r="AB597" s="1363"/>
      <c r="AC597" s="1363"/>
      <c r="AD597" s="1363"/>
      <c r="AE597" s="1363"/>
      <c r="AF597" s="1363"/>
      <c r="AG597" s="1363"/>
      <c r="AH597" s="1363"/>
      <c r="AI597" s="1363"/>
      <c r="AJ597" s="1363"/>
      <c r="AK597" s="1363"/>
      <c r="AL597"/>
      <c r="AM597"/>
      <c r="AN597"/>
      <c r="AO597"/>
      <c r="AP597"/>
      <c r="AQ597"/>
      <c r="AR597"/>
      <c r="AS597"/>
      <c r="AT597"/>
      <c r="AU597"/>
      <c r="AV597"/>
      <c r="AW597"/>
      <c r="AX597"/>
      <c r="AY597"/>
      <c r="BA597" s="4" t="s">
        <v>164</v>
      </c>
      <c r="BB597" s="3"/>
      <c r="BC597" s="3"/>
      <c r="BD597" s="3"/>
      <c r="BE597" s="1415">
        <f t="shared" si="1"/>
        <v>1</v>
      </c>
      <c r="BF597" s="1417"/>
      <c r="BG597" s="1427">
        <f t="shared" si="2"/>
        <v>22</v>
      </c>
      <c r="BH597" s="1428"/>
      <c r="BI597" s="1415">
        <f t="shared" si="3"/>
        <v>0</v>
      </c>
      <c r="BJ597" s="1417"/>
      <c r="BK597" s="1427">
        <f t="shared" si="4"/>
        <v>0</v>
      </c>
      <c r="BL597" s="1428"/>
      <c r="BM597" s="3"/>
      <c r="BN597" s="1408">
        <f t="shared" si="5"/>
        <v>0</v>
      </c>
      <c r="BO597" s="1409"/>
      <c r="BP597" s="1409"/>
      <c r="BQ597" s="1409"/>
      <c r="BR597" s="1410"/>
      <c r="BS597" s="1414">
        <f t="shared" si="6"/>
        <v>22</v>
      </c>
      <c r="BT597" s="1414"/>
      <c r="BU597" s="1414"/>
      <c r="BV597" s="1414"/>
      <c r="BW597" s="1414"/>
      <c r="BX597" s="1414">
        <f t="shared" si="7"/>
        <v>0</v>
      </c>
      <c r="BY597" s="1414"/>
      <c r="BZ597" s="1414"/>
      <c r="CA597" s="1414"/>
      <c r="CB597" s="1414"/>
      <c r="CC597" s="1414">
        <f t="shared" si="8"/>
        <v>0</v>
      </c>
      <c r="CD597" s="1414"/>
      <c r="CE597" s="1414"/>
      <c r="CF597" s="1414"/>
      <c r="CG597" s="1414"/>
      <c r="CH597" s="1414">
        <f t="shared" si="9"/>
        <v>0</v>
      </c>
      <c r="CI597" s="1414"/>
      <c r="CJ597" s="1414"/>
      <c r="CK597" s="1414"/>
      <c r="CL597" s="1414"/>
      <c r="CM597" s="1414">
        <f t="shared" si="10"/>
        <v>0</v>
      </c>
      <c r="CN597" s="1414"/>
      <c r="CO597" s="1414"/>
      <c r="CP597" s="1414"/>
      <c r="CQ597" s="1414"/>
      <c r="CR597" s="6"/>
      <c r="CS597" s="1418">
        <f t="shared" si="11"/>
        <v>0</v>
      </c>
      <c r="CT597" s="1418"/>
      <c r="CU597" s="1418"/>
      <c r="CV597" s="1418"/>
      <c r="CW597" s="1418"/>
      <c r="CX597" s="1418">
        <f t="shared" si="12"/>
        <v>0</v>
      </c>
      <c r="CY597" s="1418"/>
      <c r="CZ597" s="1418"/>
      <c r="DA597" s="1418"/>
      <c r="DB597" s="1418"/>
      <c r="DC597" s="1418">
        <f t="shared" si="13"/>
        <v>0</v>
      </c>
      <c r="DD597" s="1418"/>
      <c r="DE597" s="1418"/>
      <c r="DF597" s="1418"/>
      <c r="DG597" s="1418"/>
      <c r="DH597" s="1418">
        <f t="shared" si="14"/>
        <v>0</v>
      </c>
      <c r="DI597" s="1418"/>
      <c r="DJ597" s="1418"/>
      <c r="DK597" s="1418"/>
      <c r="DL597" s="1418"/>
      <c r="DM597" s="1418">
        <f t="shared" si="15"/>
        <v>0</v>
      </c>
      <c r="DN597" s="1418"/>
      <c r="DO597" s="1418"/>
      <c r="DP597" s="1418"/>
      <c r="DQ597" s="1418"/>
      <c r="DR597" s="1418">
        <f t="shared" si="16"/>
        <v>0</v>
      </c>
      <c r="DS597" s="1418"/>
      <c r="DT597" s="1418"/>
      <c r="DU597" s="1418"/>
      <c r="DV597" s="1418"/>
      <c r="DX597" s="1415" t="str">
        <f t="shared" si="17"/>
        <v xml:space="preserve"> </v>
      </c>
      <c r="DY597" s="1416"/>
      <c r="DZ597" s="1416"/>
      <c r="EA597" s="1416"/>
      <c r="EB597" s="1417"/>
      <c r="EC597" s="1415">
        <f t="shared" si="18"/>
        <v>1189</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5" customHeight="1">
      <c r="A598" s="22"/>
      <c r="B598" t="s">
        <v>86</v>
      </c>
      <c r="G598" s="1358"/>
      <c r="H598" s="1358"/>
      <c r="I598" s="1358"/>
      <c r="J598" s="1358"/>
      <c r="K598" s="1358"/>
      <c r="L598" s="1358"/>
      <c r="M598" s="1358"/>
      <c r="N598" s="1358"/>
      <c r="O598" s="1358"/>
      <c r="P598" s="1358"/>
      <c r="Q598" s="1358"/>
      <c r="R598" s="1358"/>
      <c r="T598" s="22"/>
      <c r="U598" t="s">
        <v>86</v>
      </c>
      <c r="Z598" s="1358"/>
      <c r="AA598" s="1358"/>
      <c r="AB598" s="1358"/>
      <c r="AC598" s="1358"/>
      <c r="AD598" s="1358"/>
      <c r="AE598" s="1358"/>
      <c r="AF598" s="1358"/>
      <c r="AG598" s="1358"/>
      <c r="AH598" s="1358"/>
      <c r="AI598" s="1358"/>
      <c r="AJ598" s="1358"/>
      <c r="AK598" s="1358"/>
      <c r="BA598" s="4" t="s">
        <v>165</v>
      </c>
      <c r="BB598" s="3"/>
      <c r="BC598" s="3"/>
      <c r="BD598" s="3"/>
      <c r="BE598" s="1415">
        <f t="shared" si="1"/>
        <v>0</v>
      </c>
      <c r="BF598" s="1417"/>
      <c r="BG598" s="1427">
        <f t="shared" si="2"/>
        <v>0</v>
      </c>
      <c r="BH598" s="1428"/>
      <c r="BI598" s="1415">
        <f t="shared" si="3"/>
        <v>0</v>
      </c>
      <c r="BJ598" s="1417"/>
      <c r="BK598" s="1427">
        <f t="shared" si="4"/>
        <v>0</v>
      </c>
      <c r="BL598" s="1428"/>
      <c r="BM598" s="3"/>
      <c r="BN598" s="1408">
        <f t="shared" si="5"/>
        <v>0</v>
      </c>
      <c r="BO598" s="1409"/>
      <c r="BP598" s="1409"/>
      <c r="BQ598" s="1409"/>
      <c r="BR598" s="1410"/>
      <c r="BS598" s="1414">
        <f t="shared" si="6"/>
        <v>22</v>
      </c>
      <c r="BT598" s="1414"/>
      <c r="BU598" s="1414"/>
      <c r="BV598" s="1414"/>
      <c r="BW598" s="1414"/>
      <c r="BX598" s="1414">
        <f t="shared" si="7"/>
        <v>0</v>
      </c>
      <c r="BY598" s="1414"/>
      <c r="BZ598" s="1414"/>
      <c r="CA598" s="1414"/>
      <c r="CB598" s="1414"/>
      <c r="CC598" s="1414">
        <f t="shared" si="8"/>
        <v>0</v>
      </c>
      <c r="CD598" s="1414"/>
      <c r="CE598" s="1414"/>
      <c r="CF598" s="1414"/>
      <c r="CG598" s="1414"/>
      <c r="CH598" s="1414">
        <f t="shared" si="9"/>
        <v>0</v>
      </c>
      <c r="CI598" s="1414"/>
      <c r="CJ598" s="1414"/>
      <c r="CK598" s="1414"/>
      <c r="CL598" s="1414"/>
      <c r="CM598" s="1414">
        <f t="shared" si="10"/>
        <v>0</v>
      </c>
      <c r="CN598" s="1414"/>
      <c r="CO598" s="1414"/>
      <c r="CP598" s="1414"/>
      <c r="CQ598" s="1414"/>
      <c r="CR598" s="6"/>
      <c r="CS598" s="1418">
        <f t="shared" si="11"/>
        <v>0</v>
      </c>
      <c r="CT598" s="1418"/>
      <c r="CU598" s="1418"/>
      <c r="CV598" s="1418"/>
      <c r="CW598" s="1418"/>
      <c r="CX598" s="1418">
        <f t="shared" si="12"/>
        <v>0</v>
      </c>
      <c r="CY598" s="1418"/>
      <c r="CZ598" s="1418"/>
      <c r="DA598" s="1418"/>
      <c r="DB598" s="1418"/>
      <c r="DC598" s="1418">
        <f t="shared" si="13"/>
        <v>0</v>
      </c>
      <c r="DD598" s="1418"/>
      <c r="DE598" s="1418"/>
      <c r="DF598" s="1418"/>
      <c r="DG598" s="1418"/>
      <c r="DH598" s="1418">
        <f t="shared" si="14"/>
        <v>0</v>
      </c>
      <c r="DI598" s="1418"/>
      <c r="DJ598" s="1418"/>
      <c r="DK598" s="1418"/>
      <c r="DL598" s="1418"/>
      <c r="DM598" s="1418">
        <f t="shared" si="15"/>
        <v>0</v>
      </c>
      <c r="DN598" s="1418"/>
      <c r="DO598" s="1418"/>
      <c r="DP598" s="1418"/>
      <c r="DQ598" s="1418"/>
      <c r="DR598" s="1418">
        <f t="shared" si="16"/>
        <v>0</v>
      </c>
      <c r="DS598" s="1418"/>
      <c r="DT598" s="1418"/>
      <c r="DU598" s="1418"/>
      <c r="DV598" s="1418"/>
      <c r="DX598" s="1415" t="str">
        <f t="shared" si="17"/>
        <v xml:space="preserve"> </v>
      </c>
      <c r="DY598" s="1416"/>
      <c r="DZ598" s="1416"/>
      <c r="EA598" s="1416"/>
      <c r="EB598" s="1417"/>
      <c r="EC598" s="1415">
        <f t="shared" si="18"/>
        <v>1443</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5" customHeight="1">
      <c r="A599" s="22"/>
      <c r="B599" t="s">
        <v>590</v>
      </c>
      <c r="G599" s="1358"/>
      <c r="H599" s="1358"/>
      <c r="I599" s="1358"/>
      <c r="J599" s="1358"/>
      <c r="K599" s="1358"/>
      <c r="L599" s="1358"/>
      <c r="M599" s="1358"/>
      <c r="N599" s="1358"/>
      <c r="O599" s="1358"/>
      <c r="P599" s="1358"/>
      <c r="Q599" s="1358"/>
      <c r="R599" s="1358"/>
      <c r="T599" s="22"/>
      <c r="U599" t="s">
        <v>590</v>
      </c>
      <c r="Z599" s="1398"/>
      <c r="AA599" s="1398"/>
      <c r="AB599" s="1398"/>
      <c r="AC599" s="1398"/>
      <c r="AD599" s="1398"/>
      <c r="AE599" s="1398"/>
      <c r="AF599" s="1398"/>
      <c r="AG599" s="1398"/>
      <c r="AH599" s="1398"/>
      <c r="AI599" s="1398"/>
      <c r="AJ599" s="1398"/>
      <c r="AK599" s="1398"/>
      <c r="BA599" s="4" t="s">
        <v>166</v>
      </c>
      <c r="BB599" s="3"/>
      <c r="BC599" s="3"/>
      <c r="BD599" s="3"/>
      <c r="BE599" s="1415">
        <f t="shared" si="1"/>
        <v>0</v>
      </c>
      <c r="BF599" s="1417"/>
      <c r="BG599" s="1427">
        <f t="shared" si="2"/>
        <v>0</v>
      </c>
      <c r="BH599" s="1428"/>
      <c r="BI599" s="1415">
        <f t="shared" si="3"/>
        <v>0</v>
      </c>
      <c r="BJ599" s="1417"/>
      <c r="BK599" s="1427">
        <f t="shared" si="4"/>
        <v>0</v>
      </c>
      <c r="BL599" s="1428"/>
      <c r="BM599" s="3"/>
      <c r="BN599" s="1408">
        <f t="shared" si="5"/>
        <v>0</v>
      </c>
      <c r="BO599" s="1409"/>
      <c r="BP599" s="1409"/>
      <c r="BQ599" s="1409"/>
      <c r="BR599" s="1410"/>
      <c r="BS599" s="1414">
        <f t="shared" si="6"/>
        <v>56</v>
      </c>
      <c r="BT599" s="1414"/>
      <c r="BU599" s="1414"/>
      <c r="BV599" s="1414"/>
      <c r="BW599" s="1414"/>
      <c r="BX599" s="1414">
        <f t="shared" si="7"/>
        <v>0</v>
      </c>
      <c r="BY599" s="1414"/>
      <c r="BZ599" s="1414"/>
      <c r="CA599" s="1414"/>
      <c r="CB599" s="1414"/>
      <c r="CC599" s="1414">
        <f t="shared" si="8"/>
        <v>0</v>
      </c>
      <c r="CD599" s="1414"/>
      <c r="CE599" s="1414"/>
      <c r="CF599" s="1414"/>
      <c r="CG599" s="1414"/>
      <c r="CH599" s="1414">
        <f t="shared" si="9"/>
        <v>0</v>
      </c>
      <c r="CI599" s="1414"/>
      <c r="CJ599" s="1414"/>
      <c r="CK599" s="1414"/>
      <c r="CL599" s="1414"/>
      <c r="CM599" s="1414">
        <f t="shared" si="10"/>
        <v>0</v>
      </c>
      <c r="CN599" s="1414"/>
      <c r="CO599" s="1414"/>
      <c r="CP599" s="1414"/>
      <c r="CQ599" s="1414"/>
      <c r="CR599" s="6"/>
      <c r="CS599" s="1418">
        <f t="shared" si="11"/>
        <v>0</v>
      </c>
      <c r="CT599" s="1418"/>
      <c r="CU599" s="1418"/>
      <c r="CV599" s="1418"/>
      <c r="CW599" s="1418"/>
      <c r="CX599" s="1418">
        <f t="shared" si="12"/>
        <v>0</v>
      </c>
      <c r="CY599" s="1418"/>
      <c r="CZ599" s="1418"/>
      <c r="DA599" s="1418"/>
      <c r="DB599" s="1418"/>
      <c r="DC599" s="1418">
        <f t="shared" si="13"/>
        <v>0</v>
      </c>
      <c r="DD599" s="1418"/>
      <c r="DE599" s="1418"/>
      <c r="DF599" s="1418"/>
      <c r="DG599" s="1418"/>
      <c r="DH599" s="1418">
        <f t="shared" si="14"/>
        <v>0</v>
      </c>
      <c r="DI599" s="1418"/>
      <c r="DJ599" s="1418"/>
      <c r="DK599" s="1418"/>
      <c r="DL599" s="1418"/>
      <c r="DM599" s="1418">
        <f t="shared" si="15"/>
        <v>0</v>
      </c>
      <c r="DN599" s="1418"/>
      <c r="DO599" s="1418"/>
      <c r="DP599" s="1418"/>
      <c r="DQ599" s="1418"/>
      <c r="DR599" s="1418">
        <f t="shared" si="16"/>
        <v>0</v>
      </c>
      <c r="DS599" s="1418"/>
      <c r="DT599" s="1418"/>
      <c r="DU599" s="1418"/>
      <c r="DV599" s="1418"/>
      <c r="DX599" s="1415" t="str">
        <f t="shared" si="17"/>
        <v xml:space="preserve"> </v>
      </c>
      <c r="DY599" s="1416"/>
      <c r="DZ599" s="1416"/>
      <c r="EA599" s="1416"/>
      <c r="EB599" s="1417"/>
      <c r="EC599" s="1415">
        <f t="shared" si="18"/>
        <v>1697</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5" customHeight="1">
      <c r="A600" s="22"/>
      <c r="B600" t="s">
        <v>17</v>
      </c>
      <c r="G600" s="1358"/>
      <c r="H600" s="1358"/>
      <c r="I600" s="1358"/>
      <c r="J600" s="1358"/>
      <c r="K600" s="1358"/>
      <c r="L600" s="1358"/>
      <c r="M600" s="1358"/>
      <c r="N600" s="1358"/>
      <c r="O600" s="1358"/>
      <c r="P600" s="1358"/>
      <c r="Q600" s="1358"/>
      <c r="R600" s="1358"/>
      <c r="T600" s="22"/>
      <c r="U600" t="s">
        <v>17</v>
      </c>
      <c r="Z600" s="1398"/>
      <c r="AA600" s="1398"/>
      <c r="AB600" s="1398"/>
      <c r="AC600" s="1398"/>
      <c r="AD600" s="1398"/>
      <c r="AE600" s="1398"/>
      <c r="AF600" s="1398"/>
      <c r="AG600" s="1398"/>
      <c r="AH600" s="1398"/>
      <c r="AI600" s="1398"/>
      <c r="AJ600" s="1398"/>
      <c r="AK600" s="1398"/>
      <c r="BA600" s="4" t="s">
        <v>30</v>
      </c>
      <c r="BB600" s="3"/>
      <c r="BC600" s="3"/>
      <c r="BD600" s="3"/>
      <c r="BE600" s="1415">
        <f t="shared" si="1"/>
        <v>0</v>
      </c>
      <c r="BF600" s="1417"/>
      <c r="BG600" s="1427">
        <f t="shared" si="2"/>
        <v>0</v>
      </c>
      <c r="BH600" s="1428"/>
      <c r="BI600" s="1415">
        <f t="shared" si="3"/>
        <v>1</v>
      </c>
      <c r="BJ600" s="1417"/>
      <c r="BK600" s="1427">
        <f t="shared" si="4"/>
        <v>6</v>
      </c>
      <c r="BL600" s="1428"/>
      <c r="BM600" s="3"/>
      <c r="BN600" s="1408">
        <f t="shared" si="5"/>
        <v>0</v>
      </c>
      <c r="BO600" s="1409"/>
      <c r="BP600" s="1409"/>
      <c r="BQ600" s="1409"/>
      <c r="BR600" s="1410"/>
      <c r="BS600" s="1414">
        <f t="shared" si="6"/>
        <v>0</v>
      </c>
      <c r="BT600" s="1414"/>
      <c r="BU600" s="1414"/>
      <c r="BV600" s="1414"/>
      <c r="BW600" s="1414"/>
      <c r="BX600" s="1414">
        <f t="shared" si="7"/>
        <v>6</v>
      </c>
      <c r="BY600" s="1414"/>
      <c r="BZ600" s="1414"/>
      <c r="CA600" s="1414"/>
      <c r="CB600" s="1414"/>
      <c r="CC600" s="1414">
        <f t="shared" si="8"/>
        <v>0</v>
      </c>
      <c r="CD600" s="1414"/>
      <c r="CE600" s="1414"/>
      <c r="CF600" s="1414"/>
      <c r="CG600" s="1414"/>
      <c r="CH600" s="1414">
        <f t="shared" si="9"/>
        <v>0</v>
      </c>
      <c r="CI600" s="1414"/>
      <c r="CJ600" s="1414"/>
      <c r="CK600" s="1414"/>
      <c r="CL600" s="1414"/>
      <c r="CM600" s="1414">
        <f t="shared" si="10"/>
        <v>0</v>
      </c>
      <c r="CN600" s="1414"/>
      <c r="CO600" s="1414"/>
      <c r="CP600" s="1414"/>
      <c r="CQ600" s="1414"/>
      <c r="CR600" s="6"/>
      <c r="CS600" s="1418">
        <f t="shared" si="11"/>
        <v>0</v>
      </c>
      <c r="CT600" s="1418"/>
      <c r="CU600" s="1418"/>
      <c r="CV600" s="1418"/>
      <c r="CW600" s="1418"/>
      <c r="CX600" s="1418">
        <f t="shared" si="12"/>
        <v>0</v>
      </c>
      <c r="CY600" s="1418"/>
      <c r="CZ600" s="1418"/>
      <c r="DA600" s="1418"/>
      <c r="DB600" s="1418"/>
      <c r="DC600" s="1418">
        <f t="shared" si="13"/>
        <v>6</v>
      </c>
      <c r="DD600" s="1418"/>
      <c r="DE600" s="1418"/>
      <c r="DF600" s="1418"/>
      <c r="DG600" s="1418"/>
      <c r="DH600" s="1418">
        <f t="shared" si="14"/>
        <v>0</v>
      </c>
      <c r="DI600" s="1418"/>
      <c r="DJ600" s="1418"/>
      <c r="DK600" s="1418"/>
      <c r="DL600" s="1418"/>
      <c r="DM600" s="1418">
        <f t="shared" si="15"/>
        <v>0</v>
      </c>
      <c r="DN600" s="1418"/>
      <c r="DO600" s="1418"/>
      <c r="DP600" s="1418"/>
      <c r="DQ600" s="1418"/>
      <c r="DR600" s="1418">
        <f t="shared" si="16"/>
        <v>0</v>
      </c>
      <c r="DS600" s="1418"/>
      <c r="DT600" s="1418"/>
      <c r="DU600" s="1418"/>
      <c r="DV600" s="1418"/>
      <c r="DX600" s="1415" t="str">
        <f t="shared" si="17"/>
        <v xml:space="preserve"> </v>
      </c>
      <c r="DY600" s="1416"/>
      <c r="DZ600" s="1416"/>
      <c r="EA600" s="1416"/>
      <c r="EB600" s="1417"/>
      <c r="EC600" s="1415" t="str">
        <f t="shared" si="18"/>
        <v xml:space="preserve"> </v>
      </c>
      <c r="ED600" s="1416"/>
      <c r="EE600" s="1416"/>
      <c r="EF600" s="1416"/>
      <c r="EG600" s="1417"/>
      <c r="EH600" s="1415">
        <f t="shared" si="19"/>
        <v>805</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5" customHeight="1">
      <c r="A601" s="22"/>
      <c r="B601" t="s">
        <v>318</v>
      </c>
      <c r="G601" s="1361"/>
      <c r="H601" s="1361"/>
      <c r="I601" s="1361"/>
      <c r="J601" s="1361"/>
      <c r="K601" s="1361"/>
      <c r="L601" s="1361"/>
      <c r="O601" s="33" t="s">
        <v>208</v>
      </c>
      <c r="P601" s="1362"/>
      <c r="Q601" s="1362"/>
      <c r="R601" s="1362"/>
      <c r="T601" s="22"/>
      <c r="U601" t="s">
        <v>318</v>
      </c>
      <c r="Z601" s="1361"/>
      <c r="AA601" s="1361"/>
      <c r="AB601" s="1361"/>
      <c r="AC601" s="1361"/>
      <c r="AD601" s="1361"/>
      <c r="AE601" s="1361"/>
      <c r="AH601" s="33" t="s">
        <v>208</v>
      </c>
      <c r="AI601" s="1362"/>
      <c r="AJ601" s="1362"/>
      <c r="AK601" s="1362"/>
      <c r="AZ601" s="3"/>
      <c r="BA601" s="3"/>
      <c r="BB601" s="3"/>
      <c r="BC601" s="3"/>
      <c r="BD601" s="3"/>
      <c r="BE601" s="1415">
        <f t="shared" si="1"/>
        <v>1</v>
      </c>
      <c r="BF601" s="1417"/>
      <c r="BG601" s="1427">
        <f t="shared" si="2"/>
        <v>10</v>
      </c>
      <c r="BH601" s="1428"/>
      <c r="BI601" s="1415">
        <f t="shared" si="3"/>
        <v>0</v>
      </c>
      <c r="BJ601" s="1417"/>
      <c r="BK601" s="1427">
        <f t="shared" si="4"/>
        <v>0</v>
      </c>
      <c r="BL601" s="1428"/>
      <c r="BM601" s="3"/>
      <c r="BN601" s="1408">
        <f t="shared" si="5"/>
        <v>0</v>
      </c>
      <c r="BO601" s="1409"/>
      <c r="BP601" s="1409"/>
      <c r="BQ601" s="1409"/>
      <c r="BR601" s="1410"/>
      <c r="BS601" s="1414">
        <f t="shared" si="6"/>
        <v>0</v>
      </c>
      <c r="BT601" s="1414"/>
      <c r="BU601" s="1414"/>
      <c r="BV601" s="1414"/>
      <c r="BW601" s="1414"/>
      <c r="BX601" s="1414">
        <f t="shared" si="7"/>
        <v>10</v>
      </c>
      <c r="BY601" s="1414"/>
      <c r="BZ601" s="1414"/>
      <c r="CA601" s="1414"/>
      <c r="CB601" s="1414"/>
      <c r="CC601" s="1414">
        <f t="shared" si="8"/>
        <v>0</v>
      </c>
      <c r="CD601" s="1414"/>
      <c r="CE601" s="1414"/>
      <c r="CF601" s="1414"/>
      <c r="CG601" s="1414"/>
      <c r="CH601" s="1414">
        <f t="shared" si="9"/>
        <v>0</v>
      </c>
      <c r="CI601" s="1414"/>
      <c r="CJ601" s="1414"/>
      <c r="CK601" s="1414"/>
      <c r="CL601" s="1414"/>
      <c r="CM601" s="1414">
        <f t="shared" si="10"/>
        <v>0</v>
      </c>
      <c r="CN601" s="1414"/>
      <c r="CO601" s="1414"/>
      <c r="CP601" s="1414"/>
      <c r="CQ601" s="1414"/>
      <c r="CR601" s="6"/>
      <c r="CS601" s="1418">
        <f t="shared" si="11"/>
        <v>0</v>
      </c>
      <c r="CT601" s="1418"/>
      <c r="CU601" s="1418"/>
      <c r="CV601" s="1418"/>
      <c r="CW601" s="1418"/>
      <c r="CX601" s="1418">
        <f t="shared" si="12"/>
        <v>0</v>
      </c>
      <c r="CY601" s="1418"/>
      <c r="CZ601" s="1418"/>
      <c r="DA601" s="1418"/>
      <c r="DB601" s="1418"/>
      <c r="DC601" s="1418">
        <f t="shared" si="13"/>
        <v>0</v>
      </c>
      <c r="DD601" s="1418"/>
      <c r="DE601" s="1418"/>
      <c r="DF601" s="1418"/>
      <c r="DG601" s="1418"/>
      <c r="DH601" s="1418">
        <f t="shared" si="14"/>
        <v>0</v>
      </c>
      <c r="DI601" s="1418"/>
      <c r="DJ601" s="1418"/>
      <c r="DK601" s="1418"/>
      <c r="DL601" s="1418"/>
      <c r="DM601" s="1418">
        <f t="shared" si="15"/>
        <v>0</v>
      </c>
      <c r="DN601" s="1418"/>
      <c r="DO601" s="1418"/>
      <c r="DP601" s="1418"/>
      <c r="DQ601" s="1418"/>
      <c r="DR601" s="1418">
        <f t="shared" si="16"/>
        <v>0</v>
      </c>
      <c r="DS601" s="1418"/>
      <c r="DT601" s="1418"/>
      <c r="DU601" s="1418"/>
      <c r="DV601" s="1418"/>
      <c r="DX601" s="1415" t="str">
        <f t="shared" si="17"/>
        <v xml:space="preserve"> </v>
      </c>
      <c r="DY601" s="1416"/>
      <c r="DZ601" s="1416"/>
      <c r="EA601" s="1416"/>
      <c r="EB601" s="1417"/>
      <c r="EC601" s="1415" t="str">
        <f t="shared" si="18"/>
        <v xml:space="preserve"> </v>
      </c>
      <c r="ED601" s="1416"/>
      <c r="EE601" s="1416"/>
      <c r="EF601" s="1416"/>
      <c r="EG601" s="1417"/>
      <c r="EH601" s="1415">
        <f t="shared" si="19"/>
        <v>1415</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5" customHeight="1">
      <c r="A602" s="22"/>
      <c r="B602" t="s">
        <v>18</v>
      </c>
      <c r="H602" s="1358"/>
      <c r="I602" s="1358"/>
      <c r="J602" s="1358"/>
      <c r="K602" s="1358"/>
      <c r="L602" s="1358"/>
      <c r="M602" s="1358"/>
      <c r="N602" s="1358"/>
      <c r="O602" s="1358"/>
      <c r="P602" s="1358"/>
      <c r="Q602" s="1358"/>
      <c r="R602" s="1358"/>
      <c r="T602" s="22"/>
      <c r="U602" t="s">
        <v>18</v>
      </c>
      <c r="AA602" s="1358"/>
      <c r="AB602" s="1358"/>
      <c r="AC602" s="1358"/>
      <c r="AD602" s="1358"/>
      <c r="AE602" s="1358"/>
      <c r="AF602" s="1358"/>
      <c r="AG602" s="1358"/>
      <c r="AH602" s="1358"/>
      <c r="AI602" s="1358"/>
      <c r="AJ602" s="1358"/>
      <c r="AK602" s="1358"/>
      <c r="AZ602" s="3"/>
      <c r="BA602" s="3"/>
      <c r="BB602" s="3"/>
      <c r="BC602" s="3"/>
      <c r="BD602" s="3"/>
      <c r="BE602" s="1415">
        <f t="shared" si="1"/>
        <v>0</v>
      </c>
      <c r="BF602" s="1417"/>
      <c r="BG602" s="1427">
        <f t="shared" si="2"/>
        <v>0</v>
      </c>
      <c r="BH602" s="1428"/>
      <c r="BI602" s="1415">
        <f t="shared" si="3"/>
        <v>0</v>
      </c>
      <c r="BJ602" s="1417"/>
      <c r="BK602" s="1427">
        <f t="shared" si="4"/>
        <v>0</v>
      </c>
      <c r="BL602" s="1428"/>
      <c r="BM602" s="3"/>
      <c r="BN602" s="1408">
        <f t="shared" si="5"/>
        <v>0</v>
      </c>
      <c r="BO602" s="1409"/>
      <c r="BP602" s="1409"/>
      <c r="BQ602" s="1409"/>
      <c r="BR602" s="1410"/>
      <c r="BS602" s="1414">
        <f t="shared" si="6"/>
        <v>0</v>
      </c>
      <c r="BT602" s="1414"/>
      <c r="BU602" s="1414"/>
      <c r="BV602" s="1414"/>
      <c r="BW602" s="1414"/>
      <c r="BX602" s="1414">
        <f t="shared" si="7"/>
        <v>10</v>
      </c>
      <c r="BY602" s="1414"/>
      <c r="BZ602" s="1414"/>
      <c r="CA602" s="1414"/>
      <c r="CB602" s="1414"/>
      <c r="CC602" s="1414">
        <f t="shared" si="8"/>
        <v>0</v>
      </c>
      <c r="CD602" s="1414"/>
      <c r="CE602" s="1414"/>
      <c r="CF602" s="1414"/>
      <c r="CG602" s="1414"/>
      <c r="CH602" s="1414">
        <f t="shared" si="9"/>
        <v>0</v>
      </c>
      <c r="CI602" s="1414"/>
      <c r="CJ602" s="1414"/>
      <c r="CK602" s="1414"/>
      <c r="CL602" s="1414"/>
      <c r="CM602" s="1414">
        <f t="shared" si="10"/>
        <v>0</v>
      </c>
      <c r="CN602" s="1414"/>
      <c r="CO602" s="1414"/>
      <c r="CP602" s="1414"/>
      <c r="CQ602" s="1414"/>
      <c r="CR602" s="6"/>
      <c r="CS602" s="1418">
        <f t="shared" si="11"/>
        <v>0</v>
      </c>
      <c r="CT602" s="1418"/>
      <c r="CU602" s="1418"/>
      <c r="CV602" s="1418"/>
      <c r="CW602" s="1418"/>
      <c r="CX602" s="1418">
        <f t="shared" si="12"/>
        <v>0</v>
      </c>
      <c r="CY602" s="1418"/>
      <c r="CZ602" s="1418"/>
      <c r="DA602" s="1418"/>
      <c r="DB602" s="1418"/>
      <c r="DC602" s="1418">
        <f t="shared" si="13"/>
        <v>0</v>
      </c>
      <c r="DD602" s="1418"/>
      <c r="DE602" s="1418"/>
      <c r="DF602" s="1418"/>
      <c r="DG602" s="1418"/>
      <c r="DH602" s="1418">
        <f t="shared" si="14"/>
        <v>0</v>
      </c>
      <c r="DI602" s="1418"/>
      <c r="DJ602" s="1418"/>
      <c r="DK602" s="1418"/>
      <c r="DL602" s="1418"/>
      <c r="DM602" s="1418">
        <f t="shared" si="15"/>
        <v>0</v>
      </c>
      <c r="DN602" s="1418"/>
      <c r="DO602" s="1418"/>
      <c r="DP602" s="1418"/>
      <c r="DQ602" s="1418"/>
      <c r="DR602" s="1418">
        <f t="shared" si="16"/>
        <v>0</v>
      </c>
      <c r="DS602" s="1418"/>
      <c r="DT602" s="1418"/>
      <c r="DU602" s="1418"/>
      <c r="DV602" s="1418"/>
      <c r="DX602" s="1415" t="str">
        <f t="shared" si="17"/>
        <v xml:space="preserve"> </v>
      </c>
      <c r="DY602" s="1416"/>
      <c r="DZ602" s="1416"/>
      <c r="EA602" s="1416"/>
      <c r="EB602" s="1417"/>
      <c r="EC602" s="1415" t="str">
        <f t="shared" si="18"/>
        <v xml:space="preserve"> </v>
      </c>
      <c r="ED602" s="1416"/>
      <c r="EE602" s="1416"/>
      <c r="EF602" s="1416"/>
      <c r="EG602" s="1417"/>
      <c r="EH602" s="1415">
        <f t="shared" si="19"/>
        <v>1720</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5" customHeight="1">
      <c r="A603" s="22"/>
      <c r="B603" t="s">
        <v>20</v>
      </c>
      <c r="N603" s="1359" t="s">
        <v>679</v>
      </c>
      <c r="O603" s="1359"/>
      <c r="T603" s="22"/>
      <c r="U603" t="s">
        <v>20</v>
      </c>
      <c r="AG603" s="1359" t="s">
        <v>679</v>
      </c>
      <c r="AH603" s="1359"/>
      <c r="AZ603" s="3"/>
      <c r="BA603" s="3"/>
      <c r="BB603" s="3"/>
      <c r="BC603" s="3"/>
      <c r="BD603" s="3"/>
      <c r="BE603" s="1415">
        <f t="shared" si="1"/>
        <v>0</v>
      </c>
      <c r="BF603" s="1417"/>
      <c r="BG603" s="1427">
        <f t="shared" si="2"/>
        <v>0</v>
      </c>
      <c r="BH603" s="1428"/>
      <c r="BI603" s="1415">
        <f t="shared" si="3"/>
        <v>0</v>
      </c>
      <c r="BJ603" s="1417"/>
      <c r="BK603" s="1427">
        <f t="shared" si="4"/>
        <v>0</v>
      </c>
      <c r="BL603" s="1428"/>
      <c r="BM603" s="3"/>
      <c r="BN603" s="1408">
        <f t="shared" si="5"/>
        <v>0</v>
      </c>
      <c r="BO603" s="1409"/>
      <c r="BP603" s="1409"/>
      <c r="BQ603" s="1409"/>
      <c r="BR603" s="1410"/>
      <c r="BS603" s="1414">
        <f t="shared" si="6"/>
        <v>0</v>
      </c>
      <c r="BT603" s="1414"/>
      <c r="BU603" s="1414"/>
      <c r="BV603" s="1414"/>
      <c r="BW603" s="1414"/>
      <c r="BX603" s="1414">
        <f t="shared" si="7"/>
        <v>27</v>
      </c>
      <c r="BY603" s="1414"/>
      <c r="BZ603" s="1414"/>
      <c r="CA603" s="1414"/>
      <c r="CB603" s="1414"/>
      <c r="CC603" s="1414">
        <f t="shared" si="8"/>
        <v>0</v>
      </c>
      <c r="CD603" s="1414"/>
      <c r="CE603" s="1414"/>
      <c r="CF603" s="1414"/>
      <c r="CG603" s="1414"/>
      <c r="CH603" s="1414">
        <f t="shared" si="9"/>
        <v>0</v>
      </c>
      <c r="CI603" s="1414"/>
      <c r="CJ603" s="1414"/>
      <c r="CK603" s="1414"/>
      <c r="CL603" s="1414"/>
      <c r="CM603" s="1414">
        <f t="shared" si="10"/>
        <v>0</v>
      </c>
      <c r="CN603" s="1414"/>
      <c r="CO603" s="1414"/>
      <c r="CP603" s="1414"/>
      <c r="CQ603" s="1414"/>
      <c r="CR603" s="6"/>
      <c r="CS603" s="1418">
        <f t="shared" si="11"/>
        <v>0</v>
      </c>
      <c r="CT603" s="1418"/>
      <c r="CU603" s="1418"/>
      <c r="CV603" s="1418"/>
      <c r="CW603" s="1418"/>
      <c r="CX603" s="1418">
        <f t="shared" si="12"/>
        <v>0</v>
      </c>
      <c r="CY603" s="1418"/>
      <c r="CZ603" s="1418"/>
      <c r="DA603" s="1418"/>
      <c r="DB603" s="1418"/>
      <c r="DC603" s="1418">
        <f t="shared" si="13"/>
        <v>0</v>
      </c>
      <c r="DD603" s="1418"/>
      <c r="DE603" s="1418"/>
      <c r="DF603" s="1418"/>
      <c r="DG603" s="1418"/>
      <c r="DH603" s="1418">
        <f t="shared" si="14"/>
        <v>0</v>
      </c>
      <c r="DI603" s="1418"/>
      <c r="DJ603" s="1418"/>
      <c r="DK603" s="1418"/>
      <c r="DL603" s="1418"/>
      <c r="DM603" s="1418">
        <f t="shared" si="15"/>
        <v>0</v>
      </c>
      <c r="DN603" s="1418"/>
      <c r="DO603" s="1418"/>
      <c r="DP603" s="1418"/>
      <c r="DQ603" s="1418"/>
      <c r="DR603" s="1418">
        <f t="shared" si="16"/>
        <v>0</v>
      </c>
      <c r="DS603" s="1418"/>
      <c r="DT603" s="1418"/>
      <c r="DU603" s="1418"/>
      <c r="DV603" s="1418"/>
      <c r="DX603" s="1415" t="str">
        <f t="shared" si="17"/>
        <v xml:space="preserve"> </v>
      </c>
      <c r="DY603" s="1416"/>
      <c r="DZ603" s="1416"/>
      <c r="EA603" s="1416"/>
      <c r="EB603" s="1417"/>
      <c r="EC603" s="1415" t="str">
        <f t="shared" si="18"/>
        <v xml:space="preserve"> </v>
      </c>
      <c r="ED603" s="1416"/>
      <c r="EE603" s="1416"/>
      <c r="EF603" s="1416"/>
      <c r="EG603" s="1417"/>
      <c r="EH603" s="1415">
        <f t="shared" si="19"/>
        <v>2025</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7">
        <f t="shared" si="2"/>
        <v>0</v>
      </c>
      <c r="BH604" s="1428"/>
      <c r="BI604" s="1415">
        <f t="shared" si="3"/>
        <v>0</v>
      </c>
      <c r="BJ604" s="1417"/>
      <c r="BK604" s="1427">
        <f t="shared" si="4"/>
        <v>0</v>
      </c>
      <c r="BL604" s="1428"/>
      <c r="BM604" s="3"/>
      <c r="BN604" s="1408">
        <f t="shared" si="5"/>
        <v>0</v>
      </c>
      <c r="BO604" s="1409"/>
      <c r="BP604" s="1409"/>
      <c r="BQ604" s="1409"/>
      <c r="BR604" s="1410"/>
      <c r="BS604" s="1414">
        <f t="shared" si="6"/>
        <v>0</v>
      </c>
      <c r="BT604" s="1414"/>
      <c r="BU604" s="1414"/>
      <c r="BV604" s="1414"/>
      <c r="BW604" s="1414"/>
      <c r="BX604" s="1414">
        <f t="shared" si="7"/>
        <v>0</v>
      </c>
      <c r="BY604" s="1414"/>
      <c r="BZ604" s="1414"/>
      <c r="CA604" s="1414"/>
      <c r="CB604" s="1414"/>
      <c r="CC604" s="1414">
        <f t="shared" si="8"/>
        <v>0</v>
      </c>
      <c r="CD604" s="1414"/>
      <c r="CE604" s="1414"/>
      <c r="CF604" s="1414"/>
      <c r="CG604" s="1414"/>
      <c r="CH604" s="1414">
        <f t="shared" si="9"/>
        <v>0</v>
      </c>
      <c r="CI604" s="1414"/>
      <c r="CJ604" s="1414"/>
      <c r="CK604" s="1414"/>
      <c r="CL604" s="1414"/>
      <c r="CM604" s="1414">
        <f t="shared" si="10"/>
        <v>0</v>
      </c>
      <c r="CN604" s="1414"/>
      <c r="CO604" s="1414"/>
      <c r="CP604" s="1414"/>
      <c r="CQ604" s="1414"/>
      <c r="CR604" s="6"/>
      <c r="CS604" s="1418">
        <f t="shared" si="11"/>
        <v>0</v>
      </c>
      <c r="CT604" s="1418"/>
      <c r="CU604" s="1418"/>
      <c r="CV604" s="1418"/>
      <c r="CW604" s="1418"/>
      <c r="CX604" s="1418">
        <f t="shared" si="12"/>
        <v>0</v>
      </c>
      <c r="CY604" s="1418"/>
      <c r="CZ604" s="1418"/>
      <c r="DA604" s="1418"/>
      <c r="DB604" s="1418"/>
      <c r="DC604" s="1418">
        <f t="shared" si="13"/>
        <v>0</v>
      </c>
      <c r="DD604" s="1418"/>
      <c r="DE604" s="1418"/>
      <c r="DF604" s="1418"/>
      <c r="DG604" s="1418"/>
      <c r="DH604" s="1418">
        <f t="shared" si="14"/>
        <v>0</v>
      </c>
      <c r="DI604" s="1418"/>
      <c r="DJ604" s="1418"/>
      <c r="DK604" s="1418"/>
      <c r="DL604" s="1418"/>
      <c r="DM604" s="1418">
        <f t="shared" si="15"/>
        <v>0</v>
      </c>
      <c r="DN604" s="1418"/>
      <c r="DO604" s="1418"/>
      <c r="DP604" s="1418"/>
      <c r="DQ604" s="1418"/>
      <c r="DR604" s="1418">
        <f t="shared" si="16"/>
        <v>0</v>
      </c>
      <c r="DS604" s="1418"/>
      <c r="DT604" s="1418"/>
      <c r="DU604" s="1418"/>
      <c r="DV604" s="1418"/>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5" customHeight="1">
      <c r="A605" s="55" t="s">
        <v>364</v>
      </c>
      <c r="B605" t="s">
        <v>473</v>
      </c>
      <c r="C605"/>
      <c r="D605"/>
      <c r="E605"/>
      <c r="F605"/>
      <c r="G605" s="1363">
        <f>C560</f>
        <v>0</v>
      </c>
      <c r="H605" s="1363"/>
      <c r="I605" s="1363"/>
      <c r="J605" s="1363"/>
      <c r="K605" s="1363"/>
      <c r="L605" s="1363"/>
      <c r="M605" s="1363"/>
      <c r="N605" s="1363"/>
      <c r="O605" s="1363"/>
      <c r="P605" s="1363"/>
      <c r="Q605" s="1363"/>
      <c r="R605" s="1363"/>
      <c r="S605"/>
      <c r="T605" s="55" t="s">
        <v>365</v>
      </c>
      <c r="U605" t="s">
        <v>473</v>
      </c>
      <c r="V605"/>
      <c r="W605"/>
      <c r="X605"/>
      <c r="Y605"/>
      <c r="Z605" s="1363">
        <f>C561</f>
        <v>0</v>
      </c>
      <c r="AA605" s="1363"/>
      <c r="AB605" s="1363"/>
      <c r="AC605" s="1363"/>
      <c r="AD605" s="1363"/>
      <c r="AE605" s="1363"/>
      <c r="AF605" s="1363"/>
      <c r="AG605" s="1363"/>
      <c r="AH605" s="1363"/>
      <c r="AI605" s="1363"/>
      <c r="AJ605" s="1363"/>
      <c r="AK605" s="1363"/>
      <c r="AL605"/>
      <c r="AM605"/>
      <c r="AN605"/>
      <c r="AO605"/>
      <c r="AP605"/>
      <c r="AQ605"/>
      <c r="AR605"/>
      <c r="AS605"/>
      <c r="AT605"/>
      <c r="AU605"/>
      <c r="AV605"/>
      <c r="AW605"/>
      <c r="AX605"/>
      <c r="AY605"/>
      <c r="AZ605" s="3"/>
      <c r="BA605" s="3"/>
      <c r="BB605" s="3"/>
      <c r="BC605" s="3"/>
      <c r="BD605" s="3"/>
      <c r="BE605" s="1415">
        <f t="shared" si="1"/>
        <v>0</v>
      </c>
      <c r="BF605" s="1417"/>
      <c r="BG605" s="1427">
        <f t="shared" si="2"/>
        <v>0</v>
      </c>
      <c r="BH605" s="1428"/>
      <c r="BI605" s="1415">
        <f t="shared" si="3"/>
        <v>0</v>
      </c>
      <c r="BJ605" s="1417"/>
      <c r="BK605" s="1427">
        <f t="shared" si="4"/>
        <v>0</v>
      </c>
      <c r="BL605" s="1428"/>
      <c r="BM605" s="3"/>
      <c r="BN605" s="1408">
        <f t="shared" si="5"/>
        <v>0</v>
      </c>
      <c r="BO605" s="1409"/>
      <c r="BP605" s="1409"/>
      <c r="BQ605" s="1409"/>
      <c r="BR605" s="1410"/>
      <c r="BS605" s="1414">
        <f t="shared" si="6"/>
        <v>0</v>
      </c>
      <c r="BT605" s="1414"/>
      <c r="BU605" s="1414"/>
      <c r="BV605" s="1414"/>
      <c r="BW605" s="1414"/>
      <c r="BX605" s="1414">
        <f t="shared" si="7"/>
        <v>0</v>
      </c>
      <c r="BY605" s="1414"/>
      <c r="BZ605" s="1414"/>
      <c r="CA605" s="1414"/>
      <c r="CB605" s="1414"/>
      <c r="CC605" s="1414">
        <f t="shared" si="8"/>
        <v>0</v>
      </c>
      <c r="CD605" s="1414"/>
      <c r="CE605" s="1414"/>
      <c r="CF605" s="1414"/>
      <c r="CG605" s="1414"/>
      <c r="CH605" s="1414">
        <f t="shared" si="9"/>
        <v>0</v>
      </c>
      <c r="CI605" s="1414"/>
      <c r="CJ605" s="1414"/>
      <c r="CK605" s="1414"/>
      <c r="CL605" s="1414"/>
      <c r="CM605" s="1414">
        <f t="shared" si="10"/>
        <v>0</v>
      </c>
      <c r="CN605" s="1414"/>
      <c r="CO605" s="1414"/>
      <c r="CP605" s="1414"/>
      <c r="CQ605" s="1414"/>
      <c r="CR605" s="6"/>
      <c r="CS605" s="1418">
        <f t="shared" si="11"/>
        <v>0</v>
      </c>
      <c r="CT605" s="1418"/>
      <c r="CU605" s="1418"/>
      <c r="CV605" s="1418"/>
      <c r="CW605" s="1418"/>
      <c r="CX605" s="1418">
        <f t="shared" si="12"/>
        <v>0</v>
      </c>
      <c r="CY605" s="1418"/>
      <c r="CZ605" s="1418"/>
      <c r="DA605" s="1418"/>
      <c r="DB605" s="1418"/>
      <c r="DC605" s="1418">
        <f t="shared" si="13"/>
        <v>0</v>
      </c>
      <c r="DD605" s="1418"/>
      <c r="DE605" s="1418"/>
      <c r="DF605" s="1418"/>
      <c r="DG605" s="1418"/>
      <c r="DH605" s="1418">
        <f t="shared" si="14"/>
        <v>0</v>
      </c>
      <c r="DI605" s="1418"/>
      <c r="DJ605" s="1418"/>
      <c r="DK605" s="1418"/>
      <c r="DL605" s="1418"/>
      <c r="DM605" s="1418">
        <f t="shared" si="15"/>
        <v>0</v>
      </c>
      <c r="DN605" s="1418"/>
      <c r="DO605" s="1418"/>
      <c r="DP605" s="1418"/>
      <c r="DQ605" s="1418"/>
      <c r="DR605" s="1418">
        <f t="shared" si="16"/>
        <v>0</v>
      </c>
      <c r="DS605" s="1418"/>
      <c r="DT605" s="1418"/>
      <c r="DU605" s="1418"/>
      <c r="DV605" s="1418"/>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5" customHeight="1">
      <c r="A606"/>
      <c r="B606" t="s">
        <v>86</v>
      </c>
      <c r="C606"/>
      <c r="D606"/>
      <c r="E606"/>
      <c r="F606"/>
      <c r="G606" s="1358"/>
      <c r="H606" s="1358"/>
      <c r="I606" s="1358"/>
      <c r="J606" s="1358"/>
      <c r="K606" s="1358"/>
      <c r="L606" s="1358"/>
      <c r="M606" s="1358"/>
      <c r="N606" s="1358"/>
      <c r="O606" s="1358"/>
      <c r="P606" s="1358"/>
      <c r="Q606" s="1358"/>
      <c r="R606" s="1358"/>
      <c r="S606"/>
      <c r="T606"/>
      <c r="U606" t="s">
        <v>86</v>
      </c>
      <c r="V606"/>
      <c r="W606"/>
      <c r="X606"/>
      <c r="Y606"/>
      <c r="Z606" s="1358"/>
      <c r="AA606" s="1358"/>
      <c r="AB606" s="1358"/>
      <c r="AC606" s="1358"/>
      <c r="AD606" s="1358"/>
      <c r="AE606" s="1358"/>
      <c r="AF606" s="1358"/>
      <c r="AG606" s="1358"/>
      <c r="AH606" s="1358"/>
      <c r="AI606" s="1358"/>
      <c r="AJ606" s="1358"/>
      <c r="AK606" s="1358"/>
      <c r="AL606"/>
      <c r="AM606"/>
      <c r="AN606"/>
      <c r="AO606"/>
      <c r="AP606"/>
      <c r="AQ606"/>
      <c r="AR606"/>
      <c r="AS606"/>
      <c r="AT606"/>
      <c r="AU606"/>
      <c r="AV606"/>
      <c r="AW606"/>
      <c r="AX606"/>
      <c r="AY606"/>
      <c r="AZ606" s="3"/>
      <c r="BA606" s="3"/>
      <c r="BB606" s="3"/>
      <c r="BC606" s="3"/>
      <c r="BD606" s="3"/>
      <c r="BE606" s="1415">
        <f t="shared" si="1"/>
        <v>0</v>
      </c>
      <c r="BF606" s="1417"/>
      <c r="BG606" s="1427">
        <f t="shared" si="2"/>
        <v>0</v>
      </c>
      <c r="BH606" s="1428"/>
      <c r="BI606" s="1415">
        <f t="shared" si="3"/>
        <v>0</v>
      </c>
      <c r="BJ606" s="1417"/>
      <c r="BK606" s="1427">
        <f t="shared" si="4"/>
        <v>0</v>
      </c>
      <c r="BL606" s="1428"/>
      <c r="BM606" s="3"/>
      <c r="BN606" s="1408">
        <f t="shared" si="5"/>
        <v>0</v>
      </c>
      <c r="BO606" s="1409"/>
      <c r="BP606" s="1409"/>
      <c r="BQ606" s="1409"/>
      <c r="BR606" s="1410"/>
      <c r="BS606" s="1414">
        <f t="shared" si="6"/>
        <v>0</v>
      </c>
      <c r="BT606" s="1414"/>
      <c r="BU606" s="1414"/>
      <c r="BV606" s="1414"/>
      <c r="BW606" s="1414"/>
      <c r="BX606" s="1414">
        <f t="shared" si="7"/>
        <v>0</v>
      </c>
      <c r="BY606" s="1414"/>
      <c r="BZ606" s="1414"/>
      <c r="CA606" s="1414"/>
      <c r="CB606" s="1414"/>
      <c r="CC606" s="1414">
        <f t="shared" si="8"/>
        <v>0</v>
      </c>
      <c r="CD606" s="1414"/>
      <c r="CE606" s="1414"/>
      <c r="CF606" s="1414"/>
      <c r="CG606" s="1414"/>
      <c r="CH606" s="1414">
        <f t="shared" si="9"/>
        <v>0</v>
      </c>
      <c r="CI606" s="1414"/>
      <c r="CJ606" s="1414"/>
      <c r="CK606" s="1414"/>
      <c r="CL606" s="1414"/>
      <c r="CM606" s="1414">
        <f t="shared" si="10"/>
        <v>0</v>
      </c>
      <c r="CN606" s="1414"/>
      <c r="CO606" s="1414"/>
      <c r="CP606" s="1414"/>
      <c r="CQ606" s="1414"/>
      <c r="CR606" s="6"/>
      <c r="CS606" s="1418">
        <f t="shared" si="11"/>
        <v>0</v>
      </c>
      <c r="CT606" s="1418"/>
      <c r="CU606" s="1418"/>
      <c r="CV606" s="1418"/>
      <c r="CW606" s="1418"/>
      <c r="CX606" s="1418">
        <f t="shared" si="12"/>
        <v>0</v>
      </c>
      <c r="CY606" s="1418"/>
      <c r="CZ606" s="1418"/>
      <c r="DA606" s="1418"/>
      <c r="DB606" s="1418"/>
      <c r="DC606" s="1418">
        <f t="shared" si="13"/>
        <v>0</v>
      </c>
      <c r="DD606" s="1418"/>
      <c r="DE606" s="1418"/>
      <c r="DF606" s="1418"/>
      <c r="DG606" s="1418"/>
      <c r="DH606" s="1418">
        <f t="shared" si="14"/>
        <v>0</v>
      </c>
      <c r="DI606" s="1418"/>
      <c r="DJ606" s="1418"/>
      <c r="DK606" s="1418"/>
      <c r="DL606" s="1418"/>
      <c r="DM606" s="1418">
        <f t="shared" si="15"/>
        <v>0</v>
      </c>
      <c r="DN606" s="1418"/>
      <c r="DO606" s="1418"/>
      <c r="DP606" s="1418"/>
      <c r="DQ606" s="1418"/>
      <c r="DR606" s="1418">
        <f t="shared" si="16"/>
        <v>0</v>
      </c>
      <c r="DS606" s="1418"/>
      <c r="DT606" s="1418"/>
      <c r="DU606" s="1418"/>
      <c r="DV606" s="1418"/>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5" customHeight="1">
      <c r="B607" t="s">
        <v>590</v>
      </c>
      <c r="G607" s="1358"/>
      <c r="H607" s="1358"/>
      <c r="I607" s="1358"/>
      <c r="J607" s="1358"/>
      <c r="K607" s="1358"/>
      <c r="L607" s="1358"/>
      <c r="M607" s="1358"/>
      <c r="N607" s="1358"/>
      <c r="O607" s="1358"/>
      <c r="P607" s="1358"/>
      <c r="Q607" s="1358"/>
      <c r="R607" s="1358"/>
      <c r="U607" t="s">
        <v>590</v>
      </c>
      <c r="Z607" s="1398"/>
      <c r="AA607" s="1398"/>
      <c r="AB607" s="1398"/>
      <c r="AC607" s="1398"/>
      <c r="AD607" s="1398"/>
      <c r="AE607" s="1398"/>
      <c r="AF607" s="1398"/>
      <c r="AG607" s="1398"/>
      <c r="AH607" s="1398"/>
      <c r="AI607" s="1398"/>
      <c r="AJ607" s="1398"/>
      <c r="AK607" s="1398"/>
      <c r="AZ607" s="3"/>
      <c r="BA607" s="3"/>
      <c r="BB607" s="3"/>
      <c r="BC607" s="3"/>
      <c r="BD607" s="3"/>
      <c r="BE607" s="1415">
        <f t="shared" si="1"/>
        <v>0</v>
      </c>
      <c r="BF607" s="1417"/>
      <c r="BG607" s="1427">
        <f t="shared" si="2"/>
        <v>0</v>
      </c>
      <c r="BH607" s="1428"/>
      <c r="BI607" s="1415">
        <f t="shared" si="3"/>
        <v>0</v>
      </c>
      <c r="BJ607" s="1417"/>
      <c r="BK607" s="1427">
        <f t="shared" si="4"/>
        <v>0</v>
      </c>
      <c r="BL607" s="1428"/>
      <c r="BM607" s="3"/>
      <c r="BN607" s="1408">
        <f t="shared" si="5"/>
        <v>0</v>
      </c>
      <c r="BO607" s="1409"/>
      <c r="BP607" s="1409"/>
      <c r="BQ607" s="1409"/>
      <c r="BR607" s="1410"/>
      <c r="BS607" s="1414">
        <f t="shared" si="6"/>
        <v>0</v>
      </c>
      <c r="BT607" s="1414"/>
      <c r="BU607" s="1414"/>
      <c r="BV607" s="1414"/>
      <c r="BW607" s="1414"/>
      <c r="BX607" s="1414">
        <f t="shared" si="7"/>
        <v>0</v>
      </c>
      <c r="BY607" s="1414"/>
      <c r="BZ607" s="1414"/>
      <c r="CA607" s="1414"/>
      <c r="CB607" s="1414"/>
      <c r="CC607" s="1414">
        <f t="shared" si="8"/>
        <v>0</v>
      </c>
      <c r="CD607" s="1414"/>
      <c r="CE607" s="1414"/>
      <c r="CF607" s="1414"/>
      <c r="CG607" s="1414"/>
      <c r="CH607" s="1414">
        <f t="shared" si="9"/>
        <v>0</v>
      </c>
      <c r="CI607" s="1414"/>
      <c r="CJ607" s="1414"/>
      <c r="CK607" s="1414"/>
      <c r="CL607" s="1414"/>
      <c r="CM607" s="1414">
        <f t="shared" si="10"/>
        <v>0</v>
      </c>
      <c r="CN607" s="1414"/>
      <c r="CO607" s="1414"/>
      <c r="CP607" s="1414"/>
      <c r="CQ607" s="1414"/>
      <c r="CR607" s="6"/>
      <c r="CS607" s="1418">
        <f t="shared" si="11"/>
        <v>0</v>
      </c>
      <c r="CT607" s="1418"/>
      <c r="CU607" s="1418"/>
      <c r="CV607" s="1418"/>
      <c r="CW607" s="1418"/>
      <c r="CX607" s="1418">
        <f t="shared" si="12"/>
        <v>0</v>
      </c>
      <c r="CY607" s="1418"/>
      <c r="CZ607" s="1418"/>
      <c r="DA607" s="1418"/>
      <c r="DB607" s="1418"/>
      <c r="DC607" s="1418">
        <f t="shared" si="13"/>
        <v>0</v>
      </c>
      <c r="DD607" s="1418"/>
      <c r="DE607" s="1418"/>
      <c r="DF607" s="1418"/>
      <c r="DG607" s="1418"/>
      <c r="DH607" s="1418">
        <f t="shared" si="14"/>
        <v>0</v>
      </c>
      <c r="DI607" s="1418"/>
      <c r="DJ607" s="1418"/>
      <c r="DK607" s="1418"/>
      <c r="DL607" s="1418"/>
      <c r="DM607" s="1418">
        <f t="shared" si="15"/>
        <v>0</v>
      </c>
      <c r="DN607" s="1418"/>
      <c r="DO607" s="1418"/>
      <c r="DP607" s="1418"/>
      <c r="DQ607" s="1418"/>
      <c r="DR607" s="1418">
        <f t="shared" si="16"/>
        <v>0</v>
      </c>
      <c r="DS607" s="1418"/>
      <c r="DT607" s="1418"/>
      <c r="DU607" s="1418"/>
      <c r="DV607" s="1418"/>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5" customHeight="1">
      <c r="B608" t="s">
        <v>17</v>
      </c>
      <c r="G608" s="1358"/>
      <c r="H608" s="1358"/>
      <c r="I608" s="1358"/>
      <c r="J608" s="1358"/>
      <c r="K608" s="1358"/>
      <c r="L608" s="1358"/>
      <c r="M608" s="1358"/>
      <c r="N608" s="1358"/>
      <c r="O608" s="1358"/>
      <c r="P608" s="1358"/>
      <c r="Q608" s="1358"/>
      <c r="R608" s="1358"/>
      <c r="U608" t="s">
        <v>17</v>
      </c>
      <c r="Z608" s="1398"/>
      <c r="AA608" s="1398"/>
      <c r="AB608" s="1398"/>
      <c r="AC608" s="1398"/>
      <c r="AD608" s="1398"/>
      <c r="AE608" s="1398"/>
      <c r="AF608" s="1398"/>
      <c r="AG608" s="1398"/>
      <c r="AH608" s="1398"/>
      <c r="AI608" s="1398"/>
      <c r="AJ608" s="1398"/>
      <c r="AK608" s="1398"/>
      <c r="AZ608" s="3"/>
      <c r="BA608" s="3"/>
      <c r="BB608" s="3"/>
      <c r="BC608" s="3"/>
      <c r="BD608" s="3"/>
      <c r="BE608" s="1415">
        <f t="shared" si="1"/>
        <v>0</v>
      </c>
      <c r="BF608" s="1417"/>
      <c r="BG608" s="1427">
        <f t="shared" si="2"/>
        <v>0</v>
      </c>
      <c r="BH608" s="1428"/>
      <c r="BI608" s="1415">
        <f t="shared" si="3"/>
        <v>0</v>
      </c>
      <c r="BJ608" s="1417"/>
      <c r="BK608" s="1427">
        <f t="shared" si="4"/>
        <v>0</v>
      </c>
      <c r="BL608" s="1428"/>
      <c r="BM608" s="3"/>
      <c r="BN608" s="1408">
        <f t="shared" si="5"/>
        <v>0</v>
      </c>
      <c r="BO608" s="1409"/>
      <c r="BP608" s="1409"/>
      <c r="BQ608" s="1409"/>
      <c r="BR608" s="1410"/>
      <c r="BS608" s="1414">
        <f t="shared" si="6"/>
        <v>0</v>
      </c>
      <c r="BT608" s="1414"/>
      <c r="BU608" s="1414"/>
      <c r="BV608" s="1414"/>
      <c r="BW608" s="1414"/>
      <c r="BX608" s="1414">
        <f t="shared" si="7"/>
        <v>0</v>
      </c>
      <c r="BY608" s="1414"/>
      <c r="BZ608" s="1414"/>
      <c r="CA608" s="1414"/>
      <c r="CB608" s="1414"/>
      <c r="CC608" s="1414">
        <f t="shared" si="8"/>
        <v>0</v>
      </c>
      <c r="CD608" s="1414"/>
      <c r="CE608" s="1414"/>
      <c r="CF608" s="1414"/>
      <c r="CG608" s="1414"/>
      <c r="CH608" s="1414">
        <f t="shared" si="9"/>
        <v>0</v>
      </c>
      <c r="CI608" s="1414"/>
      <c r="CJ608" s="1414"/>
      <c r="CK608" s="1414"/>
      <c r="CL608" s="1414"/>
      <c r="CM608" s="1414">
        <f t="shared" si="10"/>
        <v>0</v>
      </c>
      <c r="CN608" s="1414"/>
      <c r="CO608" s="1414"/>
      <c r="CP608" s="1414"/>
      <c r="CQ608" s="1414"/>
      <c r="CR608" s="6"/>
      <c r="CS608" s="1418">
        <f t="shared" si="11"/>
        <v>0</v>
      </c>
      <c r="CT608" s="1418"/>
      <c r="CU608" s="1418"/>
      <c r="CV608" s="1418"/>
      <c r="CW608" s="1418"/>
      <c r="CX608" s="1418">
        <f t="shared" si="12"/>
        <v>0</v>
      </c>
      <c r="CY608" s="1418"/>
      <c r="CZ608" s="1418"/>
      <c r="DA608" s="1418"/>
      <c r="DB608" s="1418"/>
      <c r="DC608" s="1418">
        <f t="shared" si="13"/>
        <v>0</v>
      </c>
      <c r="DD608" s="1418"/>
      <c r="DE608" s="1418"/>
      <c r="DF608" s="1418"/>
      <c r="DG608" s="1418"/>
      <c r="DH608" s="1418">
        <f t="shared" si="14"/>
        <v>0</v>
      </c>
      <c r="DI608" s="1418"/>
      <c r="DJ608" s="1418"/>
      <c r="DK608" s="1418"/>
      <c r="DL608" s="1418"/>
      <c r="DM608" s="1418">
        <f t="shared" si="15"/>
        <v>0</v>
      </c>
      <c r="DN608" s="1418"/>
      <c r="DO608" s="1418"/>
      <c r="DP608" s="1418"/>
      <c r="DQ608" s="1418"/>
      <c r="DR608" s="1418">
        <f t="shared" si="16"/>
        <v>0</v>
      </c>
      <c r="DS608" s="1418"/>
      <c r="DT608" s="1418"/>
      <c r="DU608" s="1418"/>
      <c r="DV608" s="1418"/>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5" customHeight="1">
      <c r="B609" t="s">
        <v>318</v>
      </c>
      <c r="G609" s="1361"/>
      <c r="H609" s="1361"/>
      <c r="I609" s="1361"/>
      <c r="J609" s="1361"/>
      <c r="K609" s="1361"/>
      <c r="L609" s="1361"/>
      <c r="O609" s="33" t="s">
        <v>208</v>
      </c>
      <c r="P609" s="1362"/>
      <c r="Q609" s="1362"/>
      <c r="R609" s="1362"/>
      <c r="U609" t="s">
        <v>318</v>
      </c>
      <c r="Z609" s="1361"/>
      <c r="AA609" s="1361"/>
      <c r="AB609" s="1361"/>
      <c r="AC609" s="1361"/>
      <c r="AD609" s="1361"/>
      <c r="AE609" s="1361"/>
      <c r="AH609" s="33" t="s">
        <v>208</v>
      </c>
      <c r="AI609" s="1362"/>
      <c r="AJ609" s="1362"/>
      <c r="AK609" s="1362"/>
      <c r="AZ609" s="3"/>
      <c r="BA609" s="3"/>
      <c r="BB609" s="3"/>
      <c r="BC609" s="3"/>
      <c r="BD609" s="3"/>
      <c r="BE609" s="1415">
        <f t="shared" si="1"/>
        <v>0</v>
      </c>
      <c r="BF609" s="1417"/>
      <c r="BG609" s="1427">
        <f t="shared" si="2"/>
        <v>0</v>
      </c>
      <c r="BH609" s="1428"/>
      <c r="BI609" s="1415">
        <f t="shared" si="3"/>
        <v>0</v>
      </c>
      <c r="BJ609" s="1417"/>
      <c r="BK609" s="1427">
        <f t="shared" si="4"/>
        <v>0</v>
      </c>
      <c r="BL609" s="1428"/>
      <c r="BM609" s="3"/>
      <c r="BN609" s="1408">
        <f t="shared" si="5"/>
        <v>0</v>
      </c>
      <c r="BO609" s="1409"/>
      <c r="BP609" s="1409"/>
      <c r="BQ609" s="1409"/>
      <c r="BR609" s="1410"/>
      <c r="BS609" s="1414">
        <f t="shared" si="6"/>
        <v>0</v>
      </c>
      <c r="BT609" s="1414"/>
      <c r="BU609" s="1414"/>
      <c r="BV609" s="1414"/>
      <c r="BW609" s="1414"/>
      <c r="BX609" s="1414">
        <f t="shared" si="7"/>
        <v>0</v>
      </c>
      <c r="BY609" s="1414"/>
      <c r="BZ609" s="1414"/>
      <c r="CA609" s="1414"/>
      <c r="CB609" s="1414"/>
      <c r="CC609" s="1414">
        <f t="shared" si="8"/>
        <v>0</v>
      </c>
      <c r="CD609" s="1414"/>
      <c r="CE609" s="1414"/>
      <c r="CF609" s="1414"/>
      <c r="CG609" s="1414"/>
      <c r="CH609" s="1414">
        <f t="shared" si="9"/>
        <v>0</v>
      </c>
      <c r="CI609" s="1414"/>
      <c r="CJ609" s="1414"/>
      <c r="CK609" s="1414"/>
      <c r="CL609" s="1414"/>
      <c r="CM609" s="1414">
        <f t="shared" si="10"/>
        <v>0</v>
      </c>
      <c r="CN609" s="1414"/>
      <c r="CO609" s="1414"/>
      <c r="CP609" s="1414"/>
      <c r="CQ609" s="1414"/>
      <c r="CR609" s="6"/>
      <c r="CS609" s="1418">
        <f t="shared" si="11"/>
        <v>0</v>
      </c>
      <c r="CT609" s="1418"/>
      <c r="CU609" s="1418"/>
      <c r="CV609" s="1418"/>
      <c r="CW609" s="1418"/>
      <c r="CX609" s="1418">
        <f t="shared" si="12"/>
        <v>0</v>
      </c>
      <c r="CY609" s="1418"/>
      <c r="CZ609" s="1418"/>
      <c r="DA609" s="1418"/>
      <c r="DB609" s="1418"/>
      <c r="DC609" s="1418">
        <f t="shared" si="13"/>
        <v>0</v>
      </c>
      <c r="DD609" s="1418"/>
      <c r="DE609" s="1418"/>
      <c r="DF609" s="1418"/>
      <c r="DG609" s="1418"/>
      <c r="DH609" s="1418">
        <f t="shared" si="14"/>
        <v>0</v>
      </c>
      <c r="DI609" s="1418"/>
      <c r="DJ609" s="1418"/>
      <c r="DK609" s="1418"/>
      <c r="DL609" s="1418"/>
      <c r="DM609" s="1418">
        <f t="shared" si="15"/>
        <v>0</v>
      </c>
      <c r="DN609" s="1418"/>
      <c r="DO609" s="1418"/>
      <c r="DP609" s="1418"/>
      <c r="DQ609" s="1418"/>
      <c r="DR609" s="1418">
        <f t="shared" si="16"/>
        <v>0</v>
      </c>
      <c r="DS609" s="1418"/>
      <c r="DT609" s="1418"/>
      <c r="DU609" s="1418"/>
      <c r="DV609" s="1418"/>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5" customHeight="1">
      <c r="B610" t="s">
        <v>18</v>
      </c>
      <c r="H610" s="1358"/>
      <c r="I610" s="1358"/>
      <c r="J610" s="1358"/>
      <c r="K610" s="1358"/>
      <c r="L610" s="1358"/>
      <c r="M610" s="1358"/>
      <c r="N610" s="1358"/>
      <c r="O610" s="1358"/>
      <c r="P610" s="1358"/>
      <c r="Q610" s="1358"/>
      <c r="R610" s="1358"/>
      <c r="U610" t="s">
        <v>18</v>
      </c>
      <c r="AA610" s="1358"/>
      <c r="AB610" s="1358"/>
      <c r="AC610" s="1358"/>
      <c r="AD610" s="1358"/>
      <c r="AE610" s="1358"/>
      <c r="AF610" s="1358"/>
      <c r="AG610" s="1358"/>
      <c r="AH610" s="1358"/>
      <c r="AI610" s="1358"/>
      <c r="AJ610" s="1358"/>
      <c r="AK610" s="1358"/>
      <c r="AZ610" s="3"/>
      <c r="BA610" s="3"/>
      <c r="BB610" s="3"/>
      <c r="BC610" s="3"/>
      <c r="BD610" s="3"/>
      <c r="BE610" s="1415">
        <f t="shared" si="1"/>
        <v>0</v>
      </c>
      <c r="BF610" s="1417"/>
      <c r="BG610" s="1427">
        <f t="shared" si="2"/>
        <v>0</v>
      </c>
      <c r="BH610" s="1428"/>
      <c r="BI610" s="1415">
        <f t="shared" si="3"/>
        <v>0</v>
      </c>
      <c r="BJ610" s="1417"/>
      <c r="BK610" s="1427">
        <f t="shared" si="4"/>
        <v>0</v>
      </c>
      <c r="BL610" s="1428"/>
      <c r="BM610" s="3"/>
      <c r="BN610" s="1408">
        <f t="shared" si="5"/>
        <v>0</v>
      </c>
      <c r="BO610" s="1409"/>
      <c r="BP610" s="1409"/>
      <c r="BQ610" s="1409"/>
      <c r="BR610" s="1410"/>
      <c r="BS610" s="1414">
        <f t="shared" si="6"/>
        <v>0</v>
      </c>
      <c r="BT610" s="1414"/>
      <c r="BU610" s="1414"/>
      <c r="BV610" s="1414"/>
      <c r="BW610" s="1414"/>
      <c r="BX610" s="1414">
        <f t="shared" si="7"/>
        <v>0</v>
      </c>
      <c r="BY610" s="1414"/>
      <c r="BZ610" s="1414"/>
      <c r="CA610" s="1414"/>
      <c r="CB610" s="1414"/>
      <c r="CC610" s="1414">
        <f t="shared" si="8"/>
        <v>0</v>
      </c>
      <c r="CD610" s="1414"/>
      <c r="CE610" s="1414"/>
      <c r="CF610" s="1414"/>
      <c r="CG610" s="1414"/>
      <c r="CH610" s="1414">
        <f t="shared" si="9"/>
        <v>0</v>
      </c>
      <c r="CI610" s="1414"/>
      <c r="CJ610" s="1414"/>
      <c r="CK610" s="1414"/>
      <c r="CL610" s="1414"/>
      <c r="CM610" s="1414">
        <f t="shared" si="10"/>
        <v>0</v>
      </c>
      <c r="CN610" s="1414"/>
      <c r="CO610" s="1414"/>
      <c r="CP610" s="1414"/>
      <c r="CQ610" s="1414"/>
      <c r="CR610" s="6"/>
      <c r="CS610" s="1418">
        <f t="shared" si="11"/>
        <v>0</v>
      </c>
      <c r="CT610" s="1418"/>
      <c r="CU610" s="1418"/>
      <c r="CV610" s="1418"/>
      <c r="CW610" s="1418"/>
      <c r="CX610" s="1418">
        <f t="shared" si="12"/>
        <v>0</v>
      </c>
      <c r="CY610" s="1418"/>
      <c r="CZ610" s="1418"/>
      <c r="DA610" s="1418"/>
      <c r="DB610" s="1418"/>
      <c r="DC610" s="1418">
        <f t="shared" si="13"/>
        <v>0</v>
      </c>
      <c r="DD610" s="1418"/>
      <c r="DE610" s="1418"/>
      <c r="DF610" s="1418"/>
      <c r="DG610" s="1418"/>
      <c r="DH610" s="1418">
        <f t="shared" si="14"/>
        <v>0</v>
      </c>
      <c r="DI610" s="1418"/>
      <c r="DJ610" s="1418"/>
      <c r="DK610" s="1418"/>
      <c r="DL610" s="1418"/>
      <c r="DM610" s="1418">
        <f t="shared" si="15"/>
        <v>0</v>
      </c>
      <c r="DN610" s="1418"/>
      <c r="DO610" s="1418"/>
      <c r="DP610" s="1418"/>
      <c r="DQ610" s="1418"/>
      <c r="DR610" s="1418">
        <f t="shared" si="16"/>
        <v>0</v>
      </c>
      <c r="DS610" s="1418"/>
      <c r="DT610" s="1418"/>
      <c r="DU610" s="1418"/>
      <c r="DV610" s="1418"/>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5" customHeight="1">
      <c r="B611" t="s">
        <v>20</v>
      </c>
      <c r="N611" s="1359" t="s">
        <v>679</v>
      </c>
      <c r="O611" s="1359"/>
      <c r="U611" t="s">
        <v>20</v>
      </c>
      <c r="AG611" s="1359" t="s">
        <v>679</v>
      </c>
      <c r="AH611" s="1359"/>
      <c r="AZ611" s="3"/>
      <c r="BA611" s="3"/>
      <c r="BB611" s="3"/>
      <c r="BC611" s="3"/>
      <c r="BD611" s="3"/>
      <c r="BE611" s="1415">
        <f t="shared" si="1"/>
        <v>0</v>
      </c>
      <c r="BF611" s="1417"/>
      <c r="BG611" s="1427">
        <f t="shared" si="2"/>
        <v>0</v>
      </c>
      <c r="BH611" s="1428"/>
      <c r="BI611" s="1415">
        <f t="shared" si="3"/>
        <v>0</v>
      </c>
      <c r="BJ611" s="1417"/>
      <c r="BK611" s="1427">
        <f t="shared" si="4"/>
        <v>0</v>
      </c>
      <c r="BL611" s="1428"/>
      <c r="BM611" s="3"/>
      <c r="BN611" s="1408">
        <f t="shared" si="5"/>
        <v>0</v>
      </c>
      <c r="BO611" s="1409"/>
      <c r="BP611" s="1409"/>
      <c r="BQ611" s="1409"/>
      <c r="BR611" s="1410"/>
      <c r="BS611" s="1414">
        <f t="shared" si="6"/>
        <v>0</v>
      </c>
      <c r="BT611" s="1414"/>
      <c r="BU611" s="1414"/>
      <c r="BV611" s="1414"/>
      <c r="BW611" s="1414"/>
      <c r="BX611" s="1414">
        <f t="shared" si="7"/>
        <v>0</v>
      </c>
      <c r="BY611" s="1414"/>
      <c r="BZ611" s="1414"/>
      <c r="CA611" s="1414"/>
      <c r="CB611" s="1414"/>
      <c r="CC611" s="1414">
        <f t="shared" si="8"/>
        <v>0</v>
      </c>
      <c r="CD611" s="1414"/>
      <c r="CE611" s="1414"/>
      <c r="CF611" s="1414"/>
      <c r="CG611" s="1414"/>
      <c r="CH611" s="1414">
        <f t="shared" si="9"/>
        <v>0</v>
      </c>
      <c r="CI611" s="1414"/>
      <c r="CJ611" s="1414"/>
      <c r="CK611" s="1414"/>
      <c r="CL611" s="1414"/>
      <c r="CM611" s="1414">
        <f t="shared" si="10"/>
        <v>0</v>
      </c>
      <c r="CN611" s="1414"/>
      <c r="CO611" s="1414"/>
      <c r="CP611" s="1414"/>
      <c r="CQ611" s="1414"/>
      <c r="CR611" s="6"/>
      <c r="CS611" s="1418">
        <f t="shared" si="11"/>
        <v>0</v>
      </c>
      <c r="CT611" s="1418"/>
      <c r="CU611" s="1418"/>
      <c r="CV611" s="1418"/>
      <c r="CW611" s="1418"/>
      <c r="CX611" s="1418">
        <f t="shared" si="12"/>
        <v>0</v>
      </c>
      <c r="CY611" s="1418"/>
      <c r="CZ611" s="1418"/>
      <c r="DA611" s="1418"/>
      <c r="DB611" s="1418"/>
      <c r="DC611" s="1418">
        <f t="shared" si="13"/>
        <v>0</v>
      </c>
      <c r="DD611" s="1418"/>
      <c r="DE611" s="1418"/>
      <c r="DF611" s="1418"/>
      <c r="DG611" s="1418"/>
      <c r="DH611" s="1418">
        <f t="shared" si="14"/>
        <v>0</v>
      </c>
      <c r="DI611" s="1418"/>
      <c r="DJ611" s="1418"/>
      <c r="DK611" s="1418"/>
      <c r="DL611" s="1418"/>
      <c r="DM611" s="1418">
        <f t="shared" si="15"/>
        <v>0</v>
      </c>
      <c r="DN611" s="1418"/>
      <c r="DO611" s="1418"/>
      <c r="DP611" s="1418"/>
      <c r="DQ611" s="1418"/>
      <c r="DR611" s="1418">
        <f t="shared" si="16"/>
        <v>0</v>
      </c>
      <c r="DS611" s="1418"/>
      <c r="DT611" s="1418"/>
      <c r="DU611" s="1418"/>
      <c r="DV611" s="1418"/>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5" customHeight="1">
      <c r="AZ612" s="3"/>
      <c r="BA612" s="3"/>
      <c r="BB612" s="3"/>
      <c r="BC612" s="3"/>
      <c r="BD612" s="3"/>
      <c r="BE612" s="1415">
        <f t="shared" si="1"/>
        <v>0</v>
      </c>
      <c r="BF612" s="1417"/>
      <c r="BG612" s="1427">
        <f t="shared" si="2"/>
        <v>0</v>
      </c>
      <c r="BH612" s="1428"/>
      <c r="BI612" s="1415">
        <f t="shared" si="3"/>
        <v>0</v>
      </c>
      <c r="BJ612" s="1417"/>
      <c r="BK612" s="1427">
        <f t="shared" si="4"/>
        <v>0</v>
      </c>
      <c r="BL612" s="1428"/>
      <c r="BM612" s="3"/>
      <c r="BN612" s="1408">
        <f t="shared" si="5"/>
        <v>0</v>
      </c>
      <c r="BO612" s="1409"/>
      <c r="BP612" s="1409"/>
      <c r="BQ612" s="1409"/>
      <c r="BR612" s="1410"/>
      <c r="BS612" s="1414">
        <f t="shared" si="6"/>
        <v>0</v>
      </c>
      <c r="BT612" s="1414"/>
      <c r="BU612" s="1414"/>
      <c r="BV612" s="1414"/>
      <c r="BW612" s="1414"/>
      <c r="BX612" s="1414">
        <f t="shared" si="7"/>
        <v>0</v>
      </c>
      <c r="BY612" s="1414"/>
      <c r="BZ612" s="1414"/>
      <c r="CA612" s="1414"/>
      <c r="CB612" s="1414"/>
      <c r="CC612" s="1414">
        <f t="shared" si="8"/>
        <v>0</v>
      </c>
      <c r="CD612" s="1414"/>
      <c r="CE612" s="1414"/>
      <c r="CF612" s="1414"/>
      <c r="CG612" s="1414"/>
      <c r="CH612" s="1414">
        <f t="shared" si="9"/>
        <v>0</v>
      </c>
      <c r="CI612" s="1414"/>
      <c r="CJ612" s="1414"/>
      <c r="CK612" s="1414"/>
      <c r="CL612" s="1414"/>
      <c r="CM612" s="1414">
        <f t="shared" si="10"/>
        <v>0</v>
      </c>
      <c r="CN612" s="1414"/>
      <c r="CO612" s="1414"/>
      <c r="CP612" s="1414"/>
      <c r="CQ612" s="1414"/>
      <c r="CR612" s="6"/>
      <c r="CS612" s="1418">
        <f t="shared" si="11"/>
        <v>0</v>
      </c>
      <c r="CT612" s="1418"/>
      <c r="CU612" s="1418"/>
      <c r="CV612" s="1418"/>
      <c r="CW612" s="1418"/>
      <c r="CX612" s="1418">
        <f t="shared" si="12"/>
        <v>0</v>
      </c>
      <c r="CY612" s="1418"/>
      <c r="CZ612" s="1418"/>
      <c r="DA612" s="1418"/>
      <c r="DB612" s="1418"/>
      <c r="DC612" s="1418">
        <f t="shared" si="13"/>
        <v>0</v>
      </c>
      <c r="DD612" s="1418"/>
      <c r="DE612" s="1418"/>
      <c r="DF612" s="1418"/>
      <c r="DG612" s="1418"/>
      <c r="DH612" s="1418">
        <f t="shared" si="14"/>
        <v>0</v>
      </c>
      <c r="DI612" s="1418"/>
      <c r="DJ612" s="1418"/>
      <c r="DK612" s="1418"/>
      <c r="DL612" s="1418"/>
      <c r="DM612" s="1418">
        <f t="shared" si="15"/>
        <v>0</v>
      </c>
      <c r="DN612" s="1418"/>
      <c r="DO612" s="1418"/>
      <c r="DP612" s="1418"/>
      <c r="DQ612" s="1418"/>
      <c r="DR612" s="1418">
        <f t="shared" si="16"/>
        <v>0</v>
      </c>
      <c r="DS612" s="1418"/>
      <c r="DT612" s="1418"/>
      <c r="DU612" s="1418"/>
      <c r="DV612" s="1418"/>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5"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5">
        <f t="shared" si="1"/>
        <v>0</v>
      </c>
      <c r="BF613" s="1417"/>
      <c r="BG613" s="1427">
        <f t="shared" si="2"/>
        <v>0</v>
      </c>
      <c r="BH613" s="1428"/>
      <c r="BI613" s="1415">
        <f t="shared" si="3"/>
        <v>0</v>
      </c>
      <c r="BJ613" s="1417"/>
      <c r="BK613" s="1427">
        <f t="shared" si="4"/>
        <v>0</v>
      </c>
      <c r="BL613" s="1428"/>
      <c r="BM613" s="3"/>
      <c r="BN613" s="1408">
        <f t="shared" si="5"/>
        <v>0</v>
      </c>
      <c r="BO613" s="1409"/>
      <c r="BP613" s="1409"/>
      <c r="BQ613" s="1409"/>
      <c r="BR613" s="1410"/>
      <c r="BS613" s="1414">
        <f t="shared" si="6"/>
        <v>0</v>
      </c>
      <c r="BT613" s="1414"/>
      <c r="BU613" s="1414"/>
      <c r="BV613" s="1414"/>
      <c r="BW613" s="1414"/>
      <c r="BX613" s="1414">
        <f t="shared" si="7"/>
        <v>0</v>
      </c>
      <c r="BY613" s="1414"/>
      <c r="BZ613" s="1414"/>
      <c r="CA613" s="1414"/>
      <c r="CB613" s="1414"/>
      <c r="CC613" s="1414">
        <f t="shared" si="8"/>
        <v>0</v>
      </c>
      <c r="CD613" s="1414"/>
      <c r="CE613" s="1414"/>
      <c r="CF613" s="1414"/>
      <c r="CG613" s="1414"/>
      <c r="CH613" s="1414">
        <f t="shared" si="9"/>
        <v>0</v>
      </c>
      <c r="CI613" s="1414"/>
      <c r="CJ613" s="1414"/>
      <c r="CK613" s="1414"/>
      <c r="CL613" s="1414"/>
      <c r="CM613" s="1414">
        <f t="shared" si="10"/>
        <v>0</v>
      </c>
      <c r="CN613" s="1414"/>
      <c r="CO613" s="1414"/>
      <c r="CP613" s="1414"/>
      <c r="CQ613" s="1414"/>
      <c r="CR613" s="6"/>
      <c r="CS613" s="1418">
        <f t="shared" si="11"/>
        <v>0</v>
      </c>
      <c r="CT613" s="1418"/>
      <c r="CU613" s="1418"/>
      <c r="CV613" s="1418"/>
      <c r="CW613" s="1418"/>
      <c r="CX613" s="1418">
        <f t="shared" si="12"/>
        <v>0</v>
      </c>
      <c r="CY613" s="1418"/>
      <c r="CZ613" s="1418"/>
      <c r="DA613" s="1418"/>
      <c r="DB613" s="1418"/>
      <c r="DC613" s="1418">
        <f t="shared" si="13"/>
        <v>0</v>
      </c>
      <c r="DD613" s="1418"/>
      <c r="DE613" s="1418"/>
      <c r="DF613" s="1418"/>
      <c r="DG613" s="1418"/>
      <c r="DH613" s="1418">
        <f t="shared" si="14"/>
        <v>0</v>
      </c>
      <c r="DI613" s="1418"/>
      <c r="DJ613" s="1418"/>
      <c r="DK613" s="1418"/>
      <c r="DL613" s="1418"/>
      <c r="DM613" s="1418">
        <f t="shared" si="15"/>
        <v>0</v>
      </c>
      <c r="DN613" s="1418"/>
      <c r="DO613" s="1418"/>
      <c r="DP613" s="1418"/>
      <c r="DQ613" s="1418"/>
      <c r="DR613" s="1418">
        <f t="shared" si="16"/>
        <v>0</v>
      </c>
      <c r="DS613" s="1418"/>
      <c r="DT613" s="1418"/>
      <c r="DU613" s="1418"/>
      <c r="DV613" s="1418"/>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5">
        <f t="shared" si="1"/>
        <v>0</v>
      </c>
      <c r="BF614" s="1417"/>
      <c r="BG614" s="1427">
        <f t="shared" si="2"/>
        <v>0</v>
      </c>
      <c r="BH614" s="1428"/>
      <c r="BI614" s="1415">
        <f t="shared" si="3"/>
        <v>0</v>
      </c>
      <c r="BJ614" s="1417"/>
      <c r="BK614" s="1427">
        <f t="shared" si="4"/>
        <v>0</v>
      </c>
      <c r="BL614" s="1428"/>
      <c r="BM614" s="3"/>
      <c r="BN614" s="1408">
        <f t="shared" si="5"/>
        <v>0</v>
      </c>
      <c r="BO614" s="1409"/>
      <c r="BP614" s="1409"/>
      <c r="BQ614" s="1409"/>
      <c r="BR614" s="1410"/>
      <c r="BS614" s="1414">
        <f t="shared" si="6"/>
        <v>0</v>
      </c>
      <c r="BT614" s="1414"/>
      <c r="BU614" s="1414"/>
      <c r="BV614" s="1414"/>
      <c r="BW614" s="1414"/>
      <c r="BX614" s="1414">
        <f t="shared" si="7"/>
        <v>0</v>
      </c>
      <c r="BY614" s="1414"/>
      <c r="BZ614" s="1414"/>
      <c r="CA614" s="1414"/>
      <c r="CB614" s="1414"/>
      <c r="CC614" s="1414">
        <f t="shared" si="8"/>
        <v>0</v>
      </c>
      <c r="CD614" s="1414"/>
      <c r="CE614" s="1414"/>
      <c r="CF614" s="1414"/>
      <c r="CG614" s="1414"/>
      <c r="CH614" s="1414">
        <f t="shared" si="9"/>
        <v>0</v>
      </c>
      <c r="CI614" s="1414"/>
      <c r="CJ614" s="1414"/>
      <c r="CK614" s="1414"/>
      <c r="CL614" s="1414"/>
      <c r="CM614" s="1414">
        <f t="shared" si="10"/>
        <v>0</v>
      </c>
      <c r="CN614" s="1414"/>
      <c r="CO614" s="1414"/>
      <c r="CP614" s="1414"/>
      <c r="CQ614" s="1414"/>
      <c r="CR614" s="6"/>
      <c r="CS614" s="1418">
        <f t="shared" si="11"/>
        <v>0</v>
      </c>
      <c r="CT614" s="1418"/>
      <c r="CU614" s="1418"/>
      <c r="CV614" s="1418"/>
      <c r="CW614" s="1418"/>
      <c r="CX614" s="1418">
        <f t="shared" si="12"/>
        <v>0</v>
      </c>
      <c r="CY614" s="1418"/>
      <c r="CZ614" s="1418"/>
      <c r="DA614" s="1418"/>
      <c r="DB614" s="1418"/>
      <c r="DC614" s="1418">
        <f t="shared" si="13"/>
        <v>0</v>
      </c>
      <c r="DD614" s="1418"/>
      <c r="DE614" s="1418"/>
      <c r="DF614" s="1418"/>
      <c r="DG614" s="1418"/>
      <c r="DH614" s="1418">
        <f t="shared" si="14"/>
        <v>0</v>
      </c>
      <c r="DI614" s="1418"/>
      <c r="DJ614" s="1418"/>
      <c r="DK614" s="1418"/>
      <c r="DL614" s="1418"/>
      <c r="DM614" s="1418">
        <f t="shared" si="15"/>
        <v>0</v>
      </c>
      <c r="DN614" s="1418"/>
      <c r="DO614" s="1418"/>
      <c r="DP614" s="1418"/>
      <c r="DQ614" s="1418"/>
      <c r="DR614" s="1418">
        <f t="shared" si="16"/>
        <v>0</v>
      </c>
      <c r="DS614" s="1418"/>
      <c r="DT614" s="1418"/>
      <c r="DU614" s="1418"/>
      <c r="DV614" s="1418"/>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5" customHeight="1">
      <c r="AZ615" s="3"/>
      <c r="BA615" s="3"/>
      <c r="BB615" s="3"/>
      <c r="BC615" s="3"/>
      <c r="BD615" s="3"/>
      <c r="BE615" s="1415">
        <f t="shared" si="1"/>
        <v>0</v>
      </c>
      <c r="BF615" s="1417"/>
      <c r="BG615" s="1427">
        <f t="shared" si="2"/>
        <v>0</v>
      </c>
      <c r="BH615" s="1428"/>
      <c r="BI615" s="1415">
        <f t="shared" si="3"/>
        <v>0</v>
      </c>
      <c r="BJ615" s="1417"/>
      <c r="BK615" s="1427">
        <f t="shared" si="4"/>
        <v>0</v>
      </c>
      <c r="BL615" s="1428"/>
      <c r="BM615" s="3"/>
      <c r="BN615" s="1408">
        <f t="shared" si="5"/>
        <v>0</v>
      </c>
      <c r="BO615" s="1409"/>
      <c r="BP615" s="1409"/>
      <c r="BQ615" s="1409"/>
      <c r="BR615" s="1410"/>
      <c r="BS615" s="1414">
        <f t="shared" si="6"/>
        <v>0</v>
      </c>
      <c r="BT615" s="1414"/>
      <c r="BU615" s="1414"/>
      <c r="BV615" s="1414"/>
      <c r="BW615" s="1414"/>
      <c r="BX615" s="1414">
        <f t="shared" si="7"/>
        <v>0</v>
      </c>
      <c r="BY615" s="1414"/>
      <c r="BZ615" s="1414"/>
      <c r="CA615" s="1414"/>
      <c r="CB615" s="1414"/>
      <c r="CC615" s="1414">
        <f t="shared" si="8"/>
        <v>0</v>
      </c>
      <c r="CD615" s="1414"/>
      <c r="CE615" s="1414"/>
      <c r="CF615" s="1414"/>
      <c r="CG615" s="1414"/>
      <c r="CH615" s="1414">
        <f t="shared" si="9"/>
        <v>0</v>
      </c>
      <c r="CI615" s="1414"/>
      <c r="CJ615" s="1414"/>
      <c r="CK615" s="1414"/>
      <c r="CL615" s="1414"/>
      <c r="CM615" s="1414">
        <f t="shared" si="10"/>
        <v>0</v>
      </c>
      <c r="CN615" s="1414"/>
      <c r="CO615" s="1414"/>
      <c r="CP615" s="1414"/>
      <c r="CQ615" s="1414"/>
      <c r="CR615" s="6"/>
      <c r="CS615" s="1418">
        <f t="shared" si="11"/>
        <v>0</v>
      </c>
      <c r="CT615" s="1418"/>
      <c r="CU615" s="1418"/>
      <c r="CV615" s="1418"/>
      <c r="CW615" s="1418"/>
      <c r="CX615" s="1418">
        <f t="shared" si="12"/>
        <v>0</v>
      </c>
      <c r="CY615" s="1418"/>
      <c r="CZ615" s="1418"/>
      <c r="DA615" s="1418"/>
      <c r="DB615" s="1418"/>
      <c r="DC615" s="1418">
        <f t="shared" si="13"/>
        <v>0</v>
      </c>
      <c r="DD615" s="1418"/>
      <c r="DE615" s="1418"/>
      <c r="DF615" s="1418"/>
      <c r="DG615" s="1418"/>
      <c r="DH615" s="1418">
        <f t="shared" si="14"/>
        <v>0</v>
      </c>
      <c r="DI615" s="1418"/>
      <c r="DJ615" s="1418"/>
      <c r="DK615" s="1418"/>
      <c r="DL615" s="1418"/>
      <c r="DM615" s="1418">
        <f t="shared" si="15"/>
        <v>0</v>
      </c>
      <c r="DN615" s="1418"/>
      <c r="DO615" s="1418"/>
      <c r="DP615" s="1418"/>
      <c r="DQ615" s="1418"/>
      <c r="DR615" s="1418">
        <f t="shared" si="16"/>
        <v>0</v>
      </c>
      <c r="DS615" s="1418"/>
      <c r="DT615" s="1418"/>
      <c r="DU615" s="1418"/>
      <c r="DV615" s="1418"/>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5" customHeight="1">
      <c r="A616" s="2" t="s">
        <v>321</v>
      </c>
      <c r="B616" s="2"/>
      <c r="C616" s="2" t="s">
        <v>21</v>
      </c>
      <c r="AZ616" s="3"/>
      <c r="BA616" s="3"/>
      <c r="BB616" s="3"/>
      <c r="BC616" s="3"/>
      <c r="BD616" s="3"/>
      <c r="BE616" s="1415">
        <f t="shared" si="1"/>
        <v>0</v>
      </c>
      <c r="BF616" s="1417"/>
      <c r="BG616" s="1427">
        <f t="shared" si="2"/>
        <v>0</v>
      </c>
      <c r="BH616" s="1428"/>
      <c r="BI616" s="1415">
        <f t="shared" si="3"/>
        <v>0</v>
      </c>
      <c r="BJ616" s="1417"/>
      <c r="BK616" s="1427">
        <f t="shared" si="4"/>
        <v>0</v>
      </c>
      <c r="BL616" s="1428"/>
      <c r="BM616" s="3"/>
      <c r="BN616" s="1408">
        <f t="shared" si="5"/>
        <v>0</v>
      </c>
      <c r="BO616" s="1409"/>
      <c r="BP616" s="1409"/>
      <c r="BQ616" s="1409"/>
      <c r="BR616" s="1410"/>
      <c r="BS616" s="1414">
        <f t="shared" si="6"/>
        <v>0</v>
      </c>
      <c r="BT616" s="1414"/>
      <c r="BU616" s="1414"/>
      <c r="BV616" s="1414"/>
      <c r="BW616" s="1414"/>
      <c r="BX616" s="1414">
        <f t="shared" si="7"/>
        <v>0</v>
      </c>
      <c r="BY616" s="1414"/>
      <c r="BZ616" s="1414"/>
      <c r="CA616" s="1414"/>
      <c r="CB616" s="1414"/>
      <c r="CC616" s="1414">
        <f t="shared" si="8"/>
        <v>0</v>
      </c>
      <c r="CD616" s="1414"/>
      <c r="CE616" s="1414"/>
      <c r="CF616" s="1414"/>
      <c r="CG616" s="1414"/>
      <c r="CH616" s="1414">
        <f t="shared" si="9"/>
        <v>0</v>
      </c>
      <c r="CI616" s="1414"/>
      <c r="CJ616" s="1414"/>
      <c r="CK616" s="1414"/>
      <c r="CL616" s="1414"/>
      <c r="CM616" s="1414">
        <f t="shared" si="10"/>
        <v>0</v>
      </c>
      <c r="CN616" s="1414"/>
      <c r="CO616" s="1414"/>
      <c r="CP616" s="1414"/>
      <c r="CQ616" s="1414"/>
      <c r="CR616" s="6"/>
      <c r="CS616" s="1418">
        <f t="shared" si="11"/>
        <v>0</v>
      </c>
      <c r="CT616" s="1418"/>
      <c r="CU616" s="1418"/>
      <c r="CV616" s="1418"/>
      <c r="CW616" s="1418"/>
      <c r="CX616" s="1418">
        <f t="shared" si="12"/>
        <v>0</v>
      </c>
      <c r="CY616" s="1418"/>
      <c r="CZ616" s="1418"/>
      <c r="DA616" s="1418"/>
      <c r="DB616" s="1418"/>
      <c r="DC616" s="1418">
        <f t="shared" si="13"/>
        <v>0</v>
      </c>
      <c r="DD616" s="1418"/>
      <c r="DE616" s="1418"/>
      <c r="DF616" s="1418"/>
      <c r="DG616" s="1418"/>
      <c r="DH616" s="1418">
        <f t="shared" si="14"/>
        <v>0</v>
      </c>
      <c r="DI616" s="1418"/>
      <c r="DJ616" s="1418"/>
      <c r="DK616" s="1418"/>
      <c r="DL616" s="1418"/>
      <c r="DM616" s="1418">
        <f t="shared" si="15"/>
        <v>0</v>
      </c>
      <c r="DN616" s="1418"/>
      <c r="DO616" s="1418"/>
      <c r="DP616" s="1418"/>
      <c r="DQ616" s="1418"/>
      <c r="DR616" s="1418">
        <f t="shared" si="16"/>
        <v>0</v>
      </c>
      <c r="DS616" s="1418"/>
      <c r="DT616" s="1418"/>
      <c r="DU616" s="1418"/>
      <c r="DV616" s="1418"/>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5" customHeight="1">
      <c r="A617" s="2"/>
      <c r="B617" s="2"/>
      <c r="C617" s="2"/>
      <c r="AZ617" s="3"/>
      <c r="BA617" s="3"/>
      <c r="BB617" s="3"/>
      <c r="BC617" s="3"/>
      <c r="BD617" s="3"/>
      <c r="BE617" s="1415">
        <f t="shared" si="1"/>
        <v>0</v>
      </c>
      <c r="BF617" s="1417"/>
      <c r="BG617" s="1427">
        <f t="shared" si="2"/>
        <v>0</v>
      </c>
      <c r="BH617" s="1428"/>
      <c r="BI617" s="1415">
        <f t="shared" si="3"/>
        <v>0</v>
      </c>
      <c r="BJ617" s="1417"/>
      <c r="BK617" s="1427">
        <f t="shared" si="4"/>
        <v>0</v>
      </c>
      <c r="BL617" s="1428"/>
      <c r="BM617" s="3"/>
      <c r="BN617" s="1408">
        <f t="shared" si="5"/>
        <v>0</v>
      </c>
      <c r="BO617" s="1409"/>
      <c r="BP617" s="1409"/>
      <c r="BQ617" s="1409"/>
      <c r="BR617" s="1410"/>
      <c r="BS617" s="1414">
        <f t="shared" si="6"/>
        <v>0</v>
      </c>
      <c r="BT617" s="1414"/>
      <c r="BU617" s="1414"/>
      <c r="BV617" s="1414"/>
      <c r="BW617" s="1414"/>
      <c r="BX617" s="1414">
        <f t="shared" si="7"/>
        <v>0</v>
      </c>
      <c r="BY617" s="1414"/>
      <c r="BZ617" s="1414"/>
      <c r="CA617" s="1414"/>
      <c r="CB617" s="1414"/>
      <c r="CC617" s="1414">
        <f t="shared" si="8"/>
        <v>0</v>
      </c>
      <c r="CD617" s="1414"/>
      <c r="CE617" s="1414"/>
      <c r="CF617" s="1414"/>
      <c r="CG617" s="1414"/>
      <c r="CH617" s="1414">
        <f t="shared" si="9"/>
        <v>0</v>
      </c>
      <c r="CI617" s="1414"/>
      <c r="CJ617" s="1414"/>
      <c r="CK617" s="1414"/>
      <c r="CL617" s="1414"/>
      <c r="CM617" s="1414">
        <f t="shared" si="10"/>
        <v>0</v>
      </c>
      <c r="CN617" s="1414"/>
      <c r="CO617" s="1414"/>
      <c r="CP617" s="1414"/>
      <c r="CQ617" s="1414"/>
      <c r="CR617" s="6"/>
      <c r="CS617" s="1418">
        <f t="shared" si="11"/>
        <v>0</v>
      </c>
      <c r="CT617" s="1418"/>
      <c r="CU617" s="1418"/>
      <c r="CV617" s="1418"/>
      <c r="CW617" s="1418"/>
      <c r="CX617" s="1418">
        <f t="shared" si="12"/>
        <v>0</v>
      </c>
      <c r="CY617" s="1418"/>
      <c r="CZ617" s="1418"/>
      <c r="DA617" s="1418"/>
      <c r="DB617" s="1418"/>
      <c r="DC617" s="1418">
        <f t="shared" si="13"/>
        <v>0</v>
      </c>
      <c r="DD617" s="1418"/>
      <c r="DE617" s="1418"/>
      <c r="DF617" s="1418"/>
      <c r="DG617" s="1418"/>
      <c r="DH617" s="1418">
        <f t="shared" si="14"/>
        <v>0</v>
      </c>
      <c r="DI617" s="1418"/>
      <c r="DJ617" s="1418"/>
      <c r="DK617" s="1418"/>
      <c r="DL617" s="1418"/>
      <c r="DM617" s="1418">
        <f t="shared" si="15"/>
        <v>0</v>
      </c>
      <c r="DN617" s="1418"/>
      <c r="DO617" s="1418"/>
      <c r="DP617" s="1418"/>
      <c r="DQ617" s="1418"/>
      <c r="DR617" s="1418">
        <f t="shared" si="16"/>
        <v>0</v>
      </c>
      <c r="DS617" s="1418"/>
      <c r="DT617" s="1418"/>
      <c r="DU617" s="1418"/>
      <c r="DV617" s="1418"/>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5" customHeight="1">
      <c r="C618" s="2" t="s">
        <v>2525</v>
      </c>
      <c r="AZ618" s="3"/>
      <c r="BA618" s="3"/>
      <c r="BB618" s="3"/>
      <c r="BC618" s="3"/>
      <c r="BD618" s="3"/>
      <c r="BE618" s="1415">
        <f t="shared" si="1"/>
        <v>0</v>
      </c>
      <c r="BF618" s="1417"/>
      <c r="BG618" s="1427">
        <f t="shared" si="2"/>
        <v>0</v>
      </c>
      <c r="BH618" s="1428"/>
      <c r="BI618" s="1415">
        <f t="shared" si="3"/>
        <v>0</v>
      </c>
      <c r="BJ618" s="1417"/>
      <c r="BK618" s="1427">
        <f t="shared" si="4"/>
        <v>0</v>
      </c>
      <c r="BL618" s="1428"/>
      <c r="BM618" s="3"/>
      <c r="BN618" s="1408">
        <f t="shared" si="5"/>
        <v>0</v>
      </c>
      <c r="BO618" s="1409"/>
      <c r="BP618" s="1409"/>
      <c r="BQ618" s="1409"/>
      <c r="BR618" s="1410"/>
      <c r="BS618" s="1414">
        <f t="shared" si="6"/>
        <v>0</v>
      </c>
      <c r="BT618" s="1414"/>
      <c r="BU618" s="1414"/>
      <c r="BV618" s="1414"/>
      <c r="BW618" s="1414"/>
      <c r="BX618" s="1414">
        <f t="shared" si="7"/>
        <v>0</v>
      </c>
      <c r="BY618" s="1414"/>
      <c r="BZ618" s="1414"/>
      <c r="CA618" s="1414"/>
      <c r="CB618" s="1414"/>
      <c r="CC618" s="1414">
        <f t="shared" si="8"/>
        <v>0</v>
      </c>
      <c r="CD618" s="1414"/>
      <c r="CE618" s="1414"/>
      <c r="CF618" s="1414"/>
      <c r="CG618" s="1414"/>
      <c r="CH618" s="1414">
        <f t="shared" si="9"/>
        <v>0</v>
      </c>
      <c r="CI618" s="1414"/>
      <c r="CJ618" s="1414"/>
      <c r="CK618" s="1414"/>
      <c r="CL618" s="1414"/>
      <c r="CM618" s="1414">
        <f t="shared" si="10"/>
        <v>0</v>
      </c>
      <c r="CN618" s="1414"/>
      <c r="CO618" s="1414"/>
      <c r="CP618" s="1414"/>
      <c r="CQ618" s="1414"/>
      <c r="CR618" s="6"/>
      <c r="CS618" s="1418">
        <f t="shared" si="11"/>
        <v>0</v>
      </c>
      <c r="CT618" s="1418"/>
      <c r="CU618" s="1418"/>
      <c r="CV618" s="1418"/>
      <c r="CW618" s="1418"/>
      <c r="CX618" s="1418">
        <f t="shared" si="12"/>
        <v>0</v>
      </c>
      <c r="CY618" s="1418"/>
      <c r="CZ618" s="1418"/>
      <c r="DA618" s="1418"/>
      <c r="DB618" s="1418"/>
      <c r="DC618" s="1418">
        <f t="shared" si="13"/>
        <v>0</v>
      </c>
      <c r="DD618" s="1418"/>
      <c r="DE618" s="1418"/>
      <c r="DF618" s="1418"/>
      <c r="DG618" s="1418"/>
      <c r="DH618" s="1418">
        <f t="shared" si="14"/>
        <v>0</v>
      </c>
      <c r="DI618" s="1418"/>
      <c r="DJ618" s="1418"/>
      <c r="DK618" s="1418"/>
      <c r="DL618" s="1418"/>
      <c r="DM618" s="1418">
        <f t="shared" si="15"/>
        <v>0</v>
      </c>
      <c r="DN618" s="1418"/>
      <c r="DO618" s="1418"/>
      <c r="DP618" s="1418"/>
      <c r="DQ618" s="1418"/>
      <c r="DR618" s="1418">
        <f t="shared" si="16"/>
        <v>0</v>
      </c>
      <c r="DS618" s="1418"/>
      <c r="DT618" s="1418"/>
      <c r="DU618" s="1418"/>
      <c r="DV618" s="1418"/>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5" customHeight="1">
      <c r="B619" s="547"/>
      <c r="C619" s="2"/>
      <c r="AZ619" s="3"/>
      <c r="BA619" s="3"/>
      <c r="BB619" s="3"/>
      <c r="BC619" s="3"/>
      <c r="BD619" s="3"/>
      <c r="BE619" s="1415">
        <f t="shared" si="1"/>
        <v>0</v>
      </c>
      <c r="BF619" s="1417"/>
      <c r="BG619" s="1427">
        <f t="shared" si="2"/>
        <v>0</v>
      </c>
      <c r="BH619" s="1428"/>
      <c r="BI619" s="1415">
        <f t="shared" si="3"/>
        <v>0</v>
      </c>
      <c r="BJ619" s="1417"/>
      <c r="BK619" s="1427">
        <f t="shared" si="4"/>
        <v>0</v>
      </c>
      <c r="BL619" s="1428"/>
      <c r="BM619" s="3"/>
      <c r="BN619" s="1408">
        <f t="shared" si="5"/>
        <v>0</v>
      </c>
      <c r="BO619" s="1409"/>
      <c r="BP619" s="1409"/>
      <c r="BQ619" s="1409"/>
      <c r="BR619" s="1410"/>
      <c r="BS619" s="1414">
        <f t="shared" si="6"/>
        <v>0</v>
      </c>
      <c r="BT619" s="1414"/>
      <c r="BU619" s="1414"/>
      <c r="BV619" s="1414"/>
      <c r="BW619" s="1414"/>
      <c r="BX619" s="1414">
        <f t="shared" si="7"/>
        <v>0</v>
      </c>
      <c r="BY619" s="1414"/>
      <c r="BZ619" s="1414"/>
      <c r="CA619" s="1414"/>
      <c r="CB619" s="1414"/>
      <c r="CC619" s="1414">
        <f t="shared" si="8"/>
        <v>0</v>
      </c>
      <c r="CD619" s="1414"/>
      <c r="CE619" s="1414"/>
      <c r="CF619" s="1414"/>
      <c r="CG619" s="1414"/>
      <c r="CH619" s="1414">
        <f t="shared" si="9"/>
        <v>0</v>
      </c>
      <c r="CI619" s="1414"/>
      <c r="CJ619" s="1414"/>
      <c r="CK619" s="1414"/>
      <c r="CL619" s="1414"/>
      <c r="CM619" s="1414">
        <f t="shared" si="10"/>
        <v>0</v>
      </c>
      <c r="CN619" s="1414"/>
      <c r="CO619" s="1414"/>
      <c r="CP619" s="1414"/>
      <c r="CQ619" s="1414"/>
      <c r="CR619" s="6"/>
      <c r="CS619" s="1418">
        <f t="shared" si="11"/>
        <v>0</v>
      </c>
      <c r="CT619" s="1418"/>
      <c r="CU619" s="1418"/>
      <c r="CV619" s="1418"/>
      <c r="CW619" s="1418"/>
      <c r="CX619" s="1418">
        <f t="shared" si="12"/>
        <v>0</v>
      </c>
      <c r="CY619" s="1418"/>
      <c r="CZ619" s="1418"/>
      <c r="DA619" s="1418"/>
      <c r="DB619" s="1418"/>
      <c r="DC619" s="1418">
        <f t="shared" si="13"/>
        <v>0</v>
      </c>
      <c r="DD619" s="1418"/>
      <c r="DE619" s="1418"/>
      <c r="DF619" s="1418"/>
      <c r="DG619" s="1418"/>
      <c r="DH619" s="1418">
        <f t="shared" si="14"/>
        <v>0</v>
      </c>
      <c r="DI619" s="1418"/>
      <c r="DJ619" s="1418"/>
      <c r="DK619" s="1418"/>
      <c r="DL619" s="1418"/>
      <c r="DM619" s="1418">
        <f t="shared" si="15"/>
        <v>0</v>
      </c>
      <c r="DN619" s="1418"/>
      <c r="DO619" s="1418"/>
      <c r="DP619" s="1418"/>
      <c r="DQ619" s="1418"/>
      <c r="DR619" s="1418">
        <f t="shared" si="16"/>
        <v>0</v>
      </c>
      <c r="DS619" s="1418"/>
      <c r="DT619" s="1418"/>
      <c r="DU619" s="1418"/>
      <c r="DV619" s="1418"/>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5" customHeight="1">
      <c r="B620" s="1624" t="s">
        <v>2527</v>
      </c>
      <c r="C620" s="1624"/>
      <c r="D620" s="1624"/>
      <c r="E620" s="1624"/>
      <c r="F620" s="1624"/>
      <c r="G620" s="1624"/>
      <c r="H620" s="1624"/>
      <c r="I620" s="1624"/>
      <c r="J620" s="1624"/>
      <c r="K620" s="1624"/>
      <c r="L620" s="1624"/>
      <c r="M620" s="1357" t="s">
        <v>2528</v>
      </c>
      <c r="N620" s="1357"/>
      <c r="O620" s="1357"/>
      <c r="P620" s="1357"/>
      <c r="Q620" s="1357" t="s">
        <v>2116</v>
      </c>
      <c r="R620" s="1357"/>
      <c r="S620" s="1357"/>
      <c r="T620" s="1357" t="s">
        <v>2114</v>
      </c>
      <c r="U620" s="1357"/>
      <c r="V620" s="1357"/>
      <c r="W620" s="1356" t="s">
        <v>463</v>
      </c>
      <c r="X620" s="1356"/>
      <c r="Y620" s="1356"/>
      <c r="Z620" s="1367" t="s">
        <v>2557</v>
      </c>
      <c r="AA620" s="1367"/>
      <c r="AB620" s="1368"/>
      <c r="AC620" s="1614" t="s">
        <v>1936</v>
      </c>
      <c r="AD620" s="1615"/>
      <c r="AE620" s="1616"/>
      <c r="AF620" s="1824" t="s">
        <v>2314</v>
      </c>
      <c r="AG620" s="1367"/>
      <c r="AH620" s="1367"/>
      <c r="AI620" s="1367"/>
      <c r="AJ620" s="1368"/>
      <c r="AK620" s="1604" t="s">
        <v>2315</v>
      </c>
      <c r="AL620" s="1605"/>
      <c r="AM620" s="1605"/>
      <c r="AN620" s="1606"/>
      <c r="AO620" s="1357" t="s">
        <v>464</v>
      </c>
      <c r="AP620" s="1357"/>
      <c r="AQ620" s="1357"/>
      <c r="AR620" s="1357"/>
      <c r="AS620" s="1357"/>
      <c r="AZ620" s="3"/>
      <c r="BA620" s="3"/>
      <c r="BB620" s="3"/>
      <c r="BC620" s="3"/>
      <c r="BD620" s="3"/>
      <c r="BE620" s="1415">
        <f t="shared" si="1"/>
        <v>0</v>
      </c>
      <c r="BF620" s="1417"/>
      <c r="BG620" s="1427">
        <f t="shared" si="2"/>
        <v>0</v>
      </c>
      <c r="BH620" s="1428"/>
      <c r="BI620" s="1415">
        <f t="shared" si="3"/>
        <v>0</v>
      </c>
      <c r="BJ620" s="1417"/>
      <c r="BK620" s="1427">
        <f t="shared" si="4"/>
        <v>0</v>
      </c>
      <c r="BL620" s="1428"/>
      <c r="BM620" s="3"/>
      <c r="BN620" s="1408">
        <f t="shared" si="5"/>
        <v>0</v>
      </c>
      <c r="BO620" s="1409"/>
      <c r="BP620" s="1409"/>
      <c r="BQ620" s="1409"/>
      <c r="BR620" s="1410"/>
      <c r="BS620" s="1414">
        <f t="shared" si="6"/>
        <v>0</v>
      </c>
      <c r="BT620" s="1414"/>
      <c r="BU620" s="1414"/>
      <c r="BV620" s="1414"/>
      <c r="BW620" s="1414"/>
      <c r="BX620" s="1414">
        <f t="shared" si="7"/>
        <v>0</v>
      </c>
      <c r="BY620" s="1414"/>
      <c r="BZ620" s="1414"/>
      <c r="CA620" s="1414"/>
      <c r="CB620" s="1414"/>
      <c r="CC620" s="1414">
        <f t="shared" si="8"/>
        <v>0</v>
      </c>
      <c r="CD620" s="1414"/>
      <c r="CE620" s="1414"/>
      <c r="CF620" s="1414"/>
      <c r="CG620" s="1414"/>
      <c r="CH620" s="1414">
        <f t="shared" si="9"/>
        <v>0</v>
      </c>
      <c r="CI620" s="1414"/>
      <c r="CJ620" s="1414"/>
      <c r="CK620" s="1414"/>
      <c r="CL620" s="1414"/>
      <c r="CM620" s="1414">
        <f t="shared" si="10"/>
        <v>0</v>
      </c>
      <c r="CN620" s="1414"/>
      <c r="CO620" s="1414"/>
      <c r="CP620" s="1414"/>
      <c r="CQ620" s="1414"/>
      <c r="CR620" s="6"/>
      <c r="CS620" s="1418">
        <f t="shared" si="11"/>
        <v>0</v>
      </c>
      <c r="CT620" s="1418"/>
      <c r="CU620" s="1418"/>
      <c r="CV620" s="1418"/>
      <c r="CW620" s="1418"/>
      <c r="CX620" s="1418">
        <f t="shared" si="12"/>
        <v>0</v>
      </c>
      <c r="CY620" s="1418"/>
      <c r="CZ620" s="1418"/>
      <c r="DA620" s="1418"/>
      <c r="DB620" s="1418"/>
      <c r="DC620" s="1418">
        <f t="shared" si="13"/>
        <v>0</v>
      </c>
      <c r="DD620" s="1418"/>
      <c r="DE620" s="1418"/>
      <c r="DF620" s="1418"/>
      <c r="DG620" s="1418"/>
      <c r="DH620" s="1418">
        <f t="shared" si="14"/>
        <v>0</v>
      </c>
      <c r="DI620" s="1418"/>
      <c r="DJ620" s="1418"/>
      <c r="DK620" s="1418"/>
      <c r="DL620" s="1418"/>
      <c r="DM620" s="1418">
        <f t="shared" si="15"/>
        <v>0</v>
      </c>
      <c r="DN620" s="1418"/>
      <c r="DO620" s="1418"/>
      <c r="DP620" s="1418"/>
      <c r="DQ620" s="1418"/>
      <c r="DR620" s="1418">
        <f t="shared" si="16"/>
        <v>0</v>
      </c>
      <c r="DS620" s="1418"/>
      <c r="DT620" s="1418"/>
      <c r="DU620" s="1418"/>
      <c r="DV620" s="1418"/>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5" customHeight="1">
      <c r="B621" s="1624"/>
      <c r="C621" s="1624"/>
      <c r="D621" s="1624"/>
      <c r="E621" s="1624"/>
      <c r="F621" s="1624"/>
      <c r="G621" s="1624"/>
      <c r="H621" s="1624"/>
      <c r="I621" s="1624"/>
      <c r="J621" s="1624"/>
      <c r="K621" s="1624"/>
      <c r="L621" s="1624"/>
      <c r="M621" s="1357"/>
      <c r="N621" s="1357"/>
      <c r="O621" s="1357"/>
      <c r="P621" s="1357"/>
      <c r="Q621" s="1357"/>
      <c r="R621" s="1357"/>
      <c r="S621" s="1357"/>
      <c r="T621" s="1357"/>
      <c r="U621" s="1357"/>
      <c r="V621" s="1357"/>
      <c r="W621" s="1356"/>
      <c r="X621" s="1356"/>
      <c r="Y621" s="1356"/>
      <c r="Z621" s="1369"/>
      <c r="AA621" s="1369"/>
      <c r="AB621" s="1370"/>
      <c r="AC621" s="1617"/>
      <c r="AD621" s="1618"/>
      <c r="AE621" s="1619"/>
      <c r="AF621" s="1825"/>
      <c r="AG621" s="1369"/>
      <c r="AH621" s="1369"/>
      <c r="AI621" s="1369"/>
      <c r="AJ621" s="1370"/>
      <c r="AK621" s="1607"/>
      <c r="AL621" s="1608"/>
      <c r="AM621" s="1608"/>
      <c r="AN621" s="1609"/>
      <c r="AO621" s="1357"/>
      <c r="AP621" s="1357"/>
      <c r="AQ621" s="1357"/>
      <c r="AR621" s="1357"/>
      <c r="AS621" s="1357"/>
      <c r="AZ621" s="3"/>
      <c r="BA621" s="3"/>
      <c r="BB621" s="3"/>
      <c r="BC621" s="3"/>
      <c r="BD621" s="3"/>
      <c r="BE621" s="3"/>
      <c r="BF621" s="3"/>
      <c r="BG621" s="1415">
        <f>SUM(BG596:BH620)</f>
        <v>32</v>
      </c>
      <c r="BH621" s="1417"/>
      <c r="BI621" s="3"/>
      <c r="BJ621" s="3"/>
      <c r="BK621" s="1415">
        <f>SUM(BK596:BL620)</f>
        <v>17</v>
      </c>
      <c r="BL621" s="1417"/>
      <c r="BM621" s="3"/>
      <c r="BN621" s="1415">
        <f>SUM(BN596:BR620)</f>
        <v>0</v>
      </c>
      <c r="BO621" s="1416"/>
      <c r="BP621" s="1416"/>
      <c r="BQ621" s="1416"/>
      <c r="BR621" s="1417"/>
      <c r="BS621" s="1419">
        <f>SUM(BS596:BW620)</f>
        <v>111</v>
      </c>
      <c r="BT621" s="1419"/>
      <c r="BU621" s="1419"/>
      <c r="BV621" s="1419"/>
      <c r="BW621" s="1419"/>
      <c r="BX621" s="1419">
        <f>SUM(BX596:CB620)</f>
        <v>53</v>
      </c>
      <c r="BY621" s="1419"/>
      <c r="BZ621" s="1419"/>
      <c r="CA621" s="1419"/>
      <c r="CB621" s="1419"/>
      <c r="CC621" s="1419">
        <f>SUM(CC596:CG620)</f>
        <v>0</v>
      </c>
      <c r="CD621" s="1419"/>
      <c r="CE621" s="1419"/>
      <c r="CF621" s="1419"/>
      <c r="CG621" s="1419"/>
      <c r="CH621" s="1419">
        <f>SUM(CH596:CL620)</f>
        <v>0</v>
      </c>
      <c r="CI621" s="1419"/>
      <c r="CJ621" s="1419"/>
      <c r="CK621" s="1419"/>
      <c r="CL621" s="1419"/>
      <c r="CM621" s="1419">
        <f>SUM(CM596:CQ620)</f>
        <v>0</v>
      </c>
      <c r="CN621" s="1419"/>
      <c r="CO621" s="1419"/>
      <c r="CP621" s="1419"/>
      <c r="CQ621" s="1419"/>
      <c r="CR621" s="386"/>
      <c r="CS621" s="1419">
        <f>SUM(CS596:CW620)</f>
        <v>0</v>
      </c>
      <c r="CT621" s="1419"/>
      <c r="CU621" s="1419"/>
      <c r="CV621" s="1419"/>
      <c r="CW621" s="1419"/>
      <c r="CX621" s="1419">
        <f>SUM(CX596:DB620)</f>
        <v>11</v>
      </c>
      <c r="CY621" s="1419"/>
      <c r="CZ621" s="1419"/>
      <c r="DA621" s="1419"/>
      <c r="DB621" s="1419"/>
      <c r="DC621" s="1419">
        <f>SUM(DC596:DG620)</f>
        <v>6</v>
      </c>
      <c r="DD621" s="1419"/>
      <c r="DE621" s="1419"/>
      <c r="DF621" s="1419"/>
      <c r="DG621" s="1419"/>
      <c r="DH621" s="1419">
        <f>SUM(DH596:DL620)</f>
        <v>0</v>
      </c>
      <c r="DI621" s="1419"/>
      <c r="DJ621" s="1419"/>
      <c r="DK621" s="1419"/>
      <c r="DL621" s="1419"/>
      <c r="DM621" s="1419">
        <f>SUM(DM596:DQ620)</f>
        <v>0</v>
      </c>
      <c r="DN621" s="1419"/>
      <c r="DO621" s="1419"/>
      <c r="DP621" s="1419"/>
      <c r="DQ621" s="1419"/>
      <c r="DR621" s="1419">
        <f>SUM(DR596:DV620)</f>
        <v>0</v>
      </c>
      <c r="DS621" s="1419"/>
      <c r="DT621" s="1419"/>
      <c r="DU621" s="1419"/>
      <c r="DV621" s="1419"/>
      <c r="DX621" s="1419">
        <f>SUM(DX596:EB620)</f>
        <v>0</v>
      </c>
      <c r="DY621" s="1419"/>
      <c r="DZ621" s="1419"/>
      <c r="EA621" s="1419"/>
      <c r="EB621" s="1419"/>
      <c r="EC621" s="1419">
        <f>SUM(EC596:EG620)</f>
        <v>5010</v>
      </c>
      <c r="ED621" s="1419"/>
      <c r="EE621" s="1419"/>
      <c r="EF621" s="1419"/>
      <c r="EG621" s="1419"/>
      <c r="EH621" s="1419">
        <f>SUM(EH596:EL620)</f>
        <v>5965</v>
      </c>
      <c r="EI621" s="1419"/>
      <c r="EJ621" s="1419"/>
      <c r="EK621" s="1419"/>
      <c r="EL621" s="1419"/>
      <c r="EM621" s="1419">
        <f>SUM(EM596:EQ620)</f>
        <v>0</v>
      </c>
      <c r="EN621" s="1419"/>
      <c r="EO621" s="1419"/>
      <c r="EP621" s="1419"/>
      <c r="EQ621" s="1419"/>
      <c r="ER621" s="1419">
        <f>SUM(ER596:EV620)</f>
        <v>0</v>
      </c>
      <c r="ES621" s="1419"/>
      <c r="ET621" s="1419"/>
      <c r="EU621" s="1419"/>
      <c r="EV621" s="1419"/>
      <c r="EW621" s="1419">
        <f>SUM(EW596:FA620)</f>
        <v>0</v>
      </c>
      <c r="EX621" s="1419"/>
      <c r="EY621" s="1419"/>
      <c r="EZ621" s="1419"/>
      <c r="FA621" s="1419"/>
    </row>
    <row r="622" spans="1:157" ht="12.95" customHeight="1">
      <c r="B622" s="1624"/>
      <c r="C622" s="1624"/>
      <c r="D622" s="1624"/>
      <c r="E622" s="1624"/>
      <c r="F622" s="1624"/>
      <c r="G622" s="1624"/>
      <c r="H622" s="1624"/>
      <c r="I622" s="1624"/>
      <c r="J622" s="1624"/>
      <c r="K622" s="1624"/>
      <c r="L622" s="1624"/>
      <c r="M622" s="1357"/>
      <c r="N622" s="1357"/>
      <c r="O622" s="1357"/>
      <c r="P622" s="1357"/>
      <c r="Q622" s="1357"/>
      <c r="R622" s="1357"/>
      <c r="S622" s="1357"/>
      <c r="T622" s="1357"/>
      <c r="U622" s="1357"/>
      <c r="V622" s="1357"/>
      <c r="W622" s="1356"/>
      <c r="X622" s="1356"/>
      <c r="Y622" s="1356"/>
      <c r="Z622" s="1371"/>
      <c r="AA622" s="1371"/>
      <c r="AB622" s="1372"/>
      <c r="AC622" s="1620"/>
      <c r="AD622" s="1621"/>
      <c r="AE622" s="1622"/>
      <c r="AF622" s="1826"/>
      <c r="AG622" s="1371"/>
      <c r="AH622" s="1371"/>
      <c r="AI622" s="1371"/>
      <c r="AJ622" s="1372"/>
      <c r="AK622" s="1610"/>
      <c r="AL622" s="1611"/>
      <c r="AM622" s="1611"/>
      <c r="AN622" s="1612"/>
      <c r="AO622" s="1357"/>
      <c r="AP622" s="1357"/>
      <c r="AQ622" s="1357"/>
      <c r="AR622" s="1357"/>
      <c r="AS622" s="135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5">
        <f>BN621+BS621+BX621+CC621+CH621+CM621</f>
        <v>164</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84" t="s">
        <v>2704</v>
      </c>
      <c r="D623" s="1384"/>
      <c r="E623" s="1384"/>
      <c r="F623" s="1384"/>
      <c r="G623" s="1384"/>
      <c r="H623" s="1384"/>
      <c r="I623" s="1384"/>
      <c r="J623" s="1384"/>
      <c r="K623" s="1384"/>
      <c r="L623" s="1384"/>
      <c r="M623" s="1383" t="s">
        <v>2544</v>
      </c>
      <c r="N623" s="1383"/>
      <c r="O623" s="1383"/>
      <c r="P623" s="1383"/>
      <c r="Q623" s="1351">
        <v>216</v>
      </c>
      <c r="R623" s="1351"/>
      <c r="S623" s="1352"/>
      <c r="T623" s="1350">
        <v>480</v>
      </c>
      <c r="U623" s="1351"/>
      <c r="V623" s="1352"/>
      <c r="W623" s="1364">
        <v>5.5800000000000002E-2</v>
      </c>
      <c r="X623" s="1365"/>
      <c r="Y623" s="1366"/>
      <c r="Z623" s="1373" t="s">
        <v>2556</v>
      </c>
      <c r="AA623" s="1374"/>
      <c r="AB623" s="1375"/>
      <c r="AC623" s="1429">
        <v>1</v>
      </c>
      <c r="AD623" s="1430"/>
      <c r="AE623" s="1431"/>
      <c r="AF623" s="1353">
        <v>1342793</v>
      </c>
      <c r="AG623" s="1354"/>
      <c r="AH623" s="1354"/>
      <c r="AI623" s="1354"/>
      <c r="AJ623" s="1355"/>
      <c r="AK623" s="1424"/>
      <c r="AL623" s="1425"/>
      <c r="AM623" s="1425"/>
      <c r="AN623" s="1426"/>
      <c r="AO623" s="1423">
        <v>21610000</v>
      </c>
      <c r="AP623" s="1423"/>
      <c r="AQ623" s="1423"/>
      <c r="AR623" s="1423"/>
      <c r="AS623" s="1423"/>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111</v>
      </c>
      <c r="BX623" s="3"/>
      <c r="BY623" s="3"/>
      <c r="BZ623" s="3"/>
      <c r="CA623" s="3"/>
      <c r="CB623" s="897">
        <f>BX621*2</f>
        <v>106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217</v>
      </c>
      <c r="CT623" s="57" t="s">
        <v>2126</v>
      </c>
      <c r="CU623" s="3"/>
      <c r="CV623" s="3"/>
      <c r="CW623" s="3"/>
      <c r="CX623" s="3"/>
      <c r="CY623" s="3"/>
      <c r="CZ623" s="3"/>
      <c r="DA623" s="3"/>
      <c r="DB623" s="3"/>
      <c r="DC623" s="3"/>
      <c r="DD623" s="3"/>
      <c r="DE623" s="3"/>
      <c r="DF623" s="3"/>
    </row>
    <row r="624" spans="1:157" ht="12.95" customHeight="1">
      <c r="B624" s="52" t="s">
        <v>114</v>
      </c>
      <c r="C624" s="1384" t="s">
        <v>2629</v>
      </c>
      <c r="D624" s="1384"/>
      <c r="E624" s="1384"/>
      <c r="F624" s="1384"/>
      <c r="G624" s="1384"/>
      <c r="H624" s="1384"/>
      <c r="I624" s="1384"/>
      <c r="J624" s="1384"/>
      <c r="K624" s="1384"/>
      <c r="L624" s="1384"/>
      <c r="M624" s="1383" t="s">
        <v>2542</v>
      </c>
      <c r="N624" s="1383"/>
      <c r="O624" s="1383"/>
      <c r="P624" s="1383"/>
      <c r="Q624" s="1350">
        <v>660</v>
      </c>
      <c r="R624" s="1351"/>
      <c r="S624" s="1352"/>
      <c r="T624" s="1350"/>
      <c r="U624" s="1351"/>
      <c r="V624" s="1352"/>
      <c r="W624" s="1364">
        <v>2.6100000000000002E-2</v>
      </c>
      <c r="X624" s="1365"/>
      <c r="Y624" s="1366"/>
      <c r="Z624" s="1373" t="s">
        <v>467</v>
      </c>
      <c r="AA624" s="1374"/>
      <c r="AB624" s="1375"/>
      <c r="AC624" s="1429"/>
      <c r="AD624" s="1430"/>
      <c r="AE624" s="1431"/>
      <c r="AF624" s="1353"/>
      <c r="AG624" s="1354"/>
      <c r="AH624" s="1354"/>
      <c r="AI624" s="1354"/>
      <c r="AJ624" s="1355"/>
      <c r="AK624" s="1424"/>
      <c r="AL624" s="1425"/>
      <c r="AM624" s="1425"/>
      <c r="AN624" s="1426"/>
      <c r="AO624" s="1420">
        <v>4000000</v>
      </c>
      <c r="AP624" s="1421"/>
      <c r="AQ624" s="1421"/>
      <c r="AR624" s="1421"/>
      <c r="AS624" s="1422"/>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6" t="e">
        <f t="shared" ref="DX624:DX648" si="23">DX596*(BN596/$BN$621)</f>
        <v>#VALUE!</v>
      </c>
      <c r="DY624" s="1406"/>
      <c r="DZ624" s="1406"/>
      <c r="EA624" s="1406"/>
      <c r="EB624" s="1406"/>
      <c r="EC624" s="1406">
        <f t="shared" ref="EC624:EC648" si="24">EC596*(BS596/$BS$621)</f>
        <v>67.486486486486484</v>
      </c>
      <c r="ED624" s="1406"/>
      <c r="EE624" s="1406"/>
      <c r="EF624" s="1406"/>
      <c r="EG624" s="1406"/>
      <c r="EH624" s="1406" t="e">
        <f t="shared" ref="EH624:EH648" si="25">EH596*(BX596/$BX$621)</f>
        <v>#VALUE!</v>
      </c>
      <c r="EI624" s="1406"/>
      <c r="EJ624" s="1406"/>
      <c r="EK624" s="1406"/>
      <c r="EL624" s="1406"/>
      <c r="EM624" s="1406" t="e">
        <f t="shared" ref="EM624:EM648" si="26">EM596*(CC596/$CC$621)</f>
        <v>#VALUE!</v>
      </c>
      <c r="EN624" s="1406"/>
      <c r="EO624" s="1406"/>
      <c r="EP624" s="1406"/>
      <c r="EQ624" s="1406"/>
      <c r="ER624" s="1406" t="e">
        <f t="shared" ref="ER624:ER648" si="27">ER596*(CH596/$CH$621)</f>
        <v>#VALUE!</v>
      </c>
      <c r="ES624" s="1406"/>
      <c r="ET624" s="1406"/>
      <c r="EU624" s="1406"/>
      <c r="EV624" s="1406"/>
      <c r="EW624" s="1406" t="e">
        <f t="shared" ref="EW624:EW648" si="28">EW596*(CM596/$CM$621)</f>
        <v>#VALUE!</v>
      </c>
      <c r="EX624" s="1406"/>
      <c r="EY624" s="1406"/>
      <c r="EZ624" s="1406"/>
      <c r="FA624" s="1406"/>
    </row>
    <row r="625" spans="1:157" ht="12.95" customHeight="1">
      <c r="B625" s="52" t="s">
        <v>120</v>
      </c>
      <c r="C625" s="1384" t="s">
        <v>2702</v>
      </c>
      <c r="D625" s="1384"/>
      <c r="E625" s="1384"/>
      <c r="F625" s="1384"/>
      <c r="G625" s="1384"/>
      <c r="H625" s="1384"/>
      <c r="I625" s="1384"/>
      <c r="J625" s="1384"/>
      <c r="K625" s="1384"/>
      <c r="L625" s="1384"/>
      <c r="M625" s="1383" t="s">
        <v>2531</v>
      </c>
      <c r="N625" s="1383"/>
      <c r="O625" s="1383"/>
      <c r="P625" s="1383"/>
      <c r="Q625" s="1350">
        <v>660</v>
      </c>
      <c r="R625" s="1351"/>
      <c r="S625" s="1352"/>
      <c r="T625" s="1350"/>
      <c r="U625" s="1351"/>
      <c r="V625" s="1352"/>
      <c r="W625" s="1364">
        <v>0</v>
      </c>
      <c r="X625" s="1365"/>
      <c r="Y625" s="1366"/>
      <c r="Z625" s="1373" t="s">
        <v>467</v>
      </c>
      <c r="AA625" s="1374"/>
      <c r="AB625" s="1375"/>
      <c r="AC625" s="1429"/>
      <c r="AD625" s="1430"/>
      <c r="AE625" s="1431"/>
      <c r="AF625" s="1353"/>
      <c r="AG625" s="1354"/>
      <c r="AH625" s="1354"/>
      <c r="AI625" s="1354"/>
      <c r="AJ625" s="1355"/>
      <c r="AK625" s="1424"/>
      <c r="AL625" s="1425"/>
      <c r="AM625" s="1425"/>
      <c r="AN625" s="1426"/>
      <c r="AO625" s="1420">
        <v>5070331</v>
      </c>
      <c r="AP625" s="1421"/>
      <c r="AQ625" s="1421"/>
      <c r="AR625" s="1421"/>
      <c r="AS625" s="1422"/>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6" t="e">
        <f t="shared" si="23"/>
        <v>#VALUE!</v>
      </c>
      <c r="DY625" s="1406"/>
      <c r="DZ625" s="1406"/>
      <c r="EA625" s="1406"/>
      <c r="EB625" s="1406"/>
      <c r="EC625" s="1406">
        <f t="shared" si="24"/>
        <v>235.65765765765767</v>
      </c>
      <c r="ED625" s="1406"/>
      <c r="EE625" s="1406"/>
      <c r="EF625" s="1406"/>
      <c r="EG625" s="1406"/>
      <c r="EH625" s="1406" t="e">
        <f t="shared" si="25"/>
        <v>#VALUE!</v>
      </c>
      <c r="EI625" s="1406"/>
      <c r="EJ625" s="1406"/>
      <c r="EK625" s="1406"/>
      <c r="EL625" s="1406"/>
      <c r="EM625" s="1406" t="e">
        <f t="shared" si="26"/>
        <v>#VALUE!</v>
      </c>
      <c r="EN625" s="1406"/>
      <c r="EO625" s="1406"/>
      <c r="EP625" s="1406"/>
      <c r="EQ625" s="1406"/>
      <c r="ER625" s="1406" t="e">
        <f t="shared" si="27"/>
        <v>#VALUE!</v>
      </c>
      <c r="ES625" s="1406"/>
      <c r="ET625" s="1406"/>
      <c r="EU625" s="1406"/>
      <c r="EV625" s="1406"/>
      <c r="EW625" s="1406" t="e">
        <f t="shared" si="28"/>
        <v>#VALUE!</v>
      </c>
      <c r="EX625" s="1406"/>
      <c r="EY625" s="1406"/>
      <c r="EZ625" s="1406"/>
      <c r="FA625" s="1406"/>
    </row>
    <row r="626" spans="1:157" ht="12.95" customHeight="1">
      <c r="B626" s="52" t="s">
        <v>591</v>
      </c>
      <c r="C626" s="1384" t="s">
        <v>2705</v>
      </c>
      <c r="D626" s="1384"/>
      <c r="E626" s="1384"/>
      <c r="F626" s="1384"/>
      <c r="G626" s="1384"/>
      <c r="H626" s="1384"/>
      <c r="I626" s="1384"/>
      <c r="J626" s="1384"/>
      <c r="K626" s="1384"/>
      <c r="L626" s="1384"/>
      <c r="M626" s="1383" t="s">
        <v>2546</v>
      </c>
      <c r="N626" s="1383"/>
      <c r="O626" s="1383"/>
      <c r="P626" s="1383"/>
      <c r="Q626" s="1350"/>
      <c r="R626" s="1351"/>
      <c r="S626" s="1352"/>
      <c r="T626" s="1350"/>
      <c r="U626" s="1351"/>
      <c r="V626" s="1352"/>
      <c r="W626" s="1364"/>
      <c r="X626" s="1365"/>
      <c r="Y626" s="1366"/>
      <c r="Z626" s="1373" t="s">
        <v>1328</v>
      </c>
      <c r="AA626" s="1374"/>
      <c r="AB626" s="1375"/>
      <c r="AC626" s="1429"/>
      <c r="AD626" s="1430"/>
      <c r="AE626" s="1431"/>
      <c r="AF626" s="1353"/>
      <c r="AG626" s="1354"/>
      <c r="AH626" s="1354"/>
      <c r="AI626" s="1354"/>
      <c r="AJ626" s="1355"/>
      <c r="AK626" s="1424"/>
      <c r="AL626" s="1425"/>
      <c r="AM626" s="1425"/>
      <c r="AN626" s="1426"/>
      <c r="AO626" s="1420">
        <v>1965400</v>
      </c>
      <c r="AP626" s="1421"/>
      <c r="AQ626" s="1421"/>
      <c r="AR626" s="1421"/>
      <c r="AS626" s="1422"/>
      <c r="AT626" s="1201"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408">
        <f>IF(J758="SRO/Studio",O758,0)</f>
        <v>0</v>
      </c>
      <c r="BO626" s="1409"/>
      <c r="BP626" s="1409"/>
      <c r="BQ626" s="1409"/>
      <c r="BR626" s="1410"/>
      <c r="BS626" s="1414">
        <f>IF(J758="1 Bedroom",O758,0)</f>
        <v>0</v>
      </c>
      <c r="BT626" s="1414"/>
      <c r="BU626" s="1414"/>
      <c r="BV626" s="1414"/>
      <c r="BW626" s="1414"/>
      <c r="BX626" s="1414">
        <f>IF(J758="2 Bedrooms",O758,0)</f>
        <v>2</v>
      </c>
      <c r="BY626" s="1414"/>
      <c r="BZ626" s="1414"/>
      <c r="CA626" s="1414"/>
      <c r="CB626" s="1414"/>
      <c r="CC626" s="1414">
        <f>IF(J758="3 Bedrooms",O758,0)</f>
        <v>0</v>
      </c>
      <c r="CD626" s="1414"/>
      <c r="CE626" s="1414"/>
      <c r="CF626" s="1414"/>
      <c r="CG626" s="1414"/>
      <c r="CH626" s="1414">
        <f>IF(J758="4 Bedrooms",O758,0)</f>
        <v>0</v>
      </c>
      <c r="CI626" s="1414"/>
      <c r="CJ626" s="1414"/>
      <c r="CK626" s="1414"/>
      <c r="CL626" s="1414"/>
      <c r="CM626" s="1414">
        <f>IF(J758="5 Bedrooms",O758,0)</f>
        <v>0</v>
      </c>
      <c r="CN626" s="1414"/>
      <c r="CO626" s="1414"/>
      <c r="CP626" s="1414"/>
      <c r="CQ626" s="1414"/>
      <c r="CR626" s="6"/>
      <c r="CS626" s="3"/>
      <c r="CT626" s="3"/>
      <c r="CU626" s="3"/>
      <c r="CV626" s="3"/>
      <c r="CW626" s="3"/>
      <c r="CX626" s="3"/>
      <c r="CY626" s="3"/>
      <c r="CZ626" s="3"/>
      <c r="DA626" s="3"/>
      <c r="DB626" s="3"/>
      <c r="DC626" s="3"/>
      <c r="DD626" s="3"/>
      <c r="DE626" s="3"/>
      <c r="DF626" s="3"/>
      <c r="DX626" s="1406" t="e">
        <f t="shared" si="23"/>
        <v>#VALUE!</v>
      </c>
      <c r="DY626" s="1406"/>
      <c r="DZ626" s="1406"/>
      <c r="EA626" s="1406"/>
      <c r="EB626" s="1406"/>
      <c r="EC626" s="1406">
        <f t="shared" si="24"/>
        <v>286</v>
      </c>
      <c r="ED626" s="1406"/>
      <c r="EE626" s="1406"/>
      <c r="EF626" s="1406"/>
      <c r="EG626" s="1406"/>
      <c r="EH626" s="1406" t="e">
        <f t="shared" si="25"/>
        <v>#VALUE!</v>
      </c>
      <c r="EI626" s="1406"/>
      <c r="EJ626" s="1406"/>
      <c r="EK626" s="1406"/>
      <c r="EL626" s="1406"/>
      <c r="EM626" s="1406" t="e">
        <f t="shared" si="26"/>
        <v>#VALUE!</v>
      </c>
      <c r="EN626" s="1406"/>
      <c r="EO626" s="1406"/>
      <c r="EP626" s="1406"/>
      <c r="EQ626" s="1406"/>
      <c r="ER626" s="1406" t="e">
        <f t="shared" si="27"/>
        <v>#VALUE!</v>
      </c>
      <c r="ES626" s="1406"/>
      <c r="ET626" s="1406"/>
      <c r="EU626" s="1406"/>
      <c r="EV626" s="1406"/>
      <c r="EW626" s="1406" t="e">
        <f t="shared" si="28"/>
        <v>#VALUE!</v>
      </c>
      <c r="EX626" s="1406"/>
      <c r="EY626" s="1406"/>
      <c r="EZ626" s="1406"/>
      <c r="FA626" s="1406"/>
    </row>
    <row r="627" spans="1:157" ht="12.95" customHeight="1">
      <c r="B627" s="52" t="s">
        <v>788</v>
      </c>
      <c r="C627" s="1384" t="s">
        <v>2737</v>
      </c>
      <c r="D627" s="1382"/>
      <c r="E627" s="1382"/>
      <c r="F627" s="1382"/>
      <c r="G627" s="1382"/>
      <c r="H627" s="1382"/>
      <c r="I627" s="1382"/>
      <c r="J627" s="1382"/>
      <c r="K627" s="1382"/>
      <c r="L627" s="1382"/>
      <c r="M627" s="1383" t="s">
        <v>2547</v>
      </c>
      <c r="N627" s="1383"/>
      <c r="O627" s="1383"/>
      <c r="P627" s="1383"/>
      <c r="Q627" s="1350"/>
      <c r="R627" s="1351"/>
      <c r="S627" s="1352"/>
      <c r="T627" s="1350"/>
      <c r="U627" s="1351"/>
      <c r="V627" s="1352"/>
      <c r="W627" s="1364"/>
      <c r="X627" s="1365"/>
      <c r="Y627" s="1366"/>
      <c r="Z627" s="1373" t="s">
        <v>1328</v>
      </c>
      <c r="AA627" s="1374"/>
      <c r="AB627" s="1375"/>
      <c r="AC627" s="1429"/>
      <c r="AD627" s="1430"/>
      <c r="AE627" s="1431"/>
      <c r="AF627" s="1353"/>
      <c r="AG627" s="1354"/>
      <c r="AH627" s="1354"/>
      <c r="AI627" s="1354"/>
      <c r="AJ627" s="1355"/>
      <c r="AK627" s="1424"/>
      <c r="AL627" s="1425"/>
      <c r="AM627" s="1425"/>
      <c r="AN627" s="1426"/>
      <c r="AO627" s="1420">
        <v>6500000</v>
      </c>
      <c r="AP627" s="1421"/>
      <c r="AQ627" s="1421"/>
      <c r="AR627" s="1421"/>
      <c r="AS627" s="1422"/>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8">
        <f>IF(J759="SRO/Studio",O759,0)</f>
        <v>0</v>
      </c>
      <c r="BO627" s="1409"/>
      <c r="BP627" s="1409"/>
      <c r="BQ627" s="1409"/>
      <c r="BR627" s="1410"/>
      <c r="BS627" s="1414">
        <f>IF(J759="1 Bedroom",O759,0)</f>
        <v>0</v>
      </c>
      <c r="BT627" s="1414"/>
      <c r="BU627" s="1414"/>
      <c r="BV627" s="1414"/>
      <c r="BW627" s="1414"/>
      <c r="BX627" s="1414">
        <f>IF(J759="2 Bedrooms",O759,0)</f>
        <v>0</v>
      </c>
      <c r="BY627" s="1414"/>
      <c r="BZ627" s="1414"/>
      <c r="CA627" s="1414"/>
      <c r="CB627" s="1414"/>
      <c r="CC627" s="1414">
        <f>IF(J759="3 Bedrooms",O759,0)</f>
        <v>0</v>
      </c>
      <c r="CD627" s="1414"/>
      <c r="CE627" s="1414"/>
      <c r="CF627" s="1414"/>
      <c r="CG627" s="1414"/>
      <c r="CH627" s="1414">
        <f>IF(J759="4 Bedrooms",O759,0)</f>
        <v>0</v>
      </c>
      <c r="CI627" s="1414"/>
      <c r="CJ627" s="1414"/>
      <c r="CK627" s="1414"/>
      <c r="CL627" s="1414"/>
      <c r="CM627" s="1414">
        <f>IF(J759="5 Bedrooms",O759,0)</f>
        <v>0</v>
      </c>
      <c r="CN627" s="1414"/>
      <c r="CO627" s="1414"/>
      <c r="CP627" s="1414"/>
      <c r="CQ627" s="1414"/>
      <c r="CR627" s="6"/>
      <c r="CS627" s="3"/>
      <c r="CT627" s="3"/>
      <c r="CU627" s="3"/>
      <c r="CV627" s="3"/>
      <c r="CW627" s="3"/>
      <c r="CX627" s="3"/>
      <c r="CY627" s="3"/>
      <c r="CZ627" s="3"/>
      <c r="DA627" s="3"/>
      <c r="DB627" s="3"/>
      <c r="DC627" s="3"/>
      <c r="DD627" s="3"/>
      <c r="DE627" s="3"/>
      <c r="DF627" s="3"/>
      <c r="DX627" s="1406" t="e">
        <f t="shared" si="23"/>
        <v>#VALUE!</v>
      </c>
      <c r="DY627" s="1406"/>
      <c r="DZ627" s="1406"/>
      <c r="EA627" s="1406"/>
      <c r="EB627" s="1406"/>
      <c r="EC627" s="1406">
        <f t="shared" si="24"/>
        <v>856.14414414414409</v>
      </c>
      <c r="ED627" s="1406"/>
      <c r="EE627" s="1406"/>
      <c r="EF627" s="1406"/>
      <c r="EG627" s="1406"/>
      <c r="EH627" s="1406" t="e">
        <f t="shared" si="25"/>
        <v>#VALUE!</v>
      </c>
      <c r="EI627" s="1406"/>
      <c r="EJ627" s="1406"/>
      <c r="EK627" s="1406"/>
      <c r="EL627" s="1406"/>
      <c r="EM627" s="1406" t="e">
        <f t="shared" si="26"/>
        <v>#VALUE!</v>
      </c>
      <c r="EN627" s="1406"/>
      <c r="EO627" s="1406"/>
      <c r="EP627" s="1406"/>
      <c r="EQ627" s="1406"/>
      <c r="ER627" s="1406" t="e">
        <f t="shared" si="27"/>
        <v>#VALUE!</v>
      </c>
      <c r="ES627" s="1406"/>
      <c r="ET627" s="1406"/>
      <c r="EU627" s="1406"/>
      <c r="EV627" s="1406"/>
      <c r="EW627" s="1406" t="e">
        <f t="shared" si="28"/>
        <v>#VALUE!</v>
      </c>
      <c r="EX627" s="1406"/>
      <c r="EY627" s="1406"/>
      <c r="EZ627" s="1406"/>
      <c r="FA627" s="1406"/>
    </row>
    <row r="628" spans="1:157" ht="12.95" customHeight="1">
      <c r="B628" s="52" t="s">
        <v>594</v>
      </c>
      <c r="C628" s="1384" t="s">
        <v>2703</v>
      </c>
      <c r="D628" s="1384"/>
      <c r="E628" s="1384"/>
      <c r="F628" s="1384"/>
      <c r="G628" s="1384"/>
      <c r="H628" s="1384"/>
      <c r="I628" s="1384"/>
      <c r="J628" s="1384"/>
      <c r="K628" s="1384"/>
      <c r="L628" s="1384"/>
      <c r="M628" s="1383" t="s">
        <v>2536</v>
      </c>
      <c r="N628" s="1383"/>
      <c r="O628" s="1383"/>
      <c r="P628" s="1383"/>
      <c r="Q628" s="1350"/>
      <c r="R628" s="1351"/>
      <c r="S628" s="1352"/>
      <c r="T628" s="1350"/>
      <c r="U628" s="1351"/>
      <c r="V628" s="1352"/>
      <c r="W628" s="1364"/>
      <c r="X628" s="1365"/>
      <c r="Y628" s="1366"/>
      <c r="Z628" s="1373" t="s">
        <v>1328</v>
      </c>
      <c r="AA628" s="1374"/>
      <c r="AB628" s="1375"/>
      <c r="AC628" s="1429"/>
      <c r="AD628" s="1430"/>
      <c r="AE628" s="1431"/>
      <c r="AF628" s="1353"/>
      <c r="AG628" s="1354"/>
      <c r="AH628" s="1354"/>
      <c r="AI628" s="1354"/>
      <c r="AJ628" s="1355"/>
      <c r="AK628" s="1424"/>
      <c r="AL628" s="1425"/>
      <c r="AM628" s="1425"/>
      <c r="AN628" s="1426"/>
      <c r="AO628" s="1420">
        <v>149139</v>
      </c>
      <c r="AP628" s="1421"/>
      <c r="AQ628" s="1421"/>
      <c r="AR628" s="1421"/>
      <c r="AS628" s="1422"/>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8">
        <f>IF(J760="SRO/Studio",O760,0)</f>
        <v>0</v>
      </c>
      <c r="BO628" s="1409"/>
      <c r="BP628" s="1409"/>
      <c r="BQ628" s="1409"/>
      <c r="BR628" s="1410"/>
      <c r="BS628" s="1414">
        <f>IF(J760="1 Bedroom",O760,0)</f>
        <v>0</v>
      </c>
      <c r="BT628" s="1414"/>
      <c r="BU628" s="1414"/>
      <c r="BV628" s="1414"/>
      <c r="BW628" s="1414"/>
      <c r="BX628" s="1414">
        <f>IF(J760="2 Bedrooms",O760,0)</f>
        <v>0</v>
      </c>
      <c r="BY628" s="1414"/>
      <c r="BZ628" s="1414"/>
      <c r="CA628" s="1414"/>
      <c r="CB628" s="1414"/>
      <c r="CC628" s="1414">
        <f>IF(J760="3 Bedrooms",O760,0)</f>
        <v>0</v>
      </c>
      <c r="CD628" s="1414"/>
      <c r="CE628" s="1414"/>
      <c r="CF628" s="1414"/>
      <c r="CG628" s="1414"/>
      <c r="CH628" s="1414">
        <f>IF(J760="4 Bedrooms",O760,0)</f>
        <v>0</v>
      </c>
      <c r="CI628" s="1414"/>
      <c r="CJ628" s="1414"/>
      <c r="CK628" s="1414"/>
      <c r="CL628" s="1414"/>
      <c r="CM628" s="1414">
        <f>IF(J760="5 Bedrooms",O760,0)</f>
        <v>0</v>
      </c>
      <c r="CN628" s="1414"/>
      <c r="CO628" s="1414"/>
      <c r="CP628" s="1414"/>
      <c r="CQ628" s="1414"/>
      <c r="CR628" s="1049"/>
      <c r="CV628" s="3"/>
      <c r="CW628" s="3"/>
      <c r="CX628" s="3"/>
      <c r="CY628" s="3"/>
      <c r="CZ628" s="3"/>
      <c r="DA628" s="3"/>
      <c r="DB628" s="3"/>
      <c r="DC628" s="3"/>
      <c r="DD628" s="3"/>
      <c r="DE628" s="3"/>
      <c r="DF628" s="3"/>
      <c r="DX628" s="1406" t="e">
        <f t="shared" si="23"/>
        <v>#VALUE!</v>
      </c>
      <c r="DY628" s="1406"/>
      <c r="DZ628" s="1406"/>
      <c r="EA628" s="1406"/>
      <c r="EB628" s="1406"/>
      <c r="EC628" s="1406" t="e">
        <f t="shared" si="24"/>
        <v>#VALUE!</v>
      </c>
      <c r="ED628" s="1406"/>
      <c r="EE628" s="1406"/>
      <c r="EF628" s="1406"/>
      <c r="EG628" s="1406"/>
      <c r="EH628" s="1406">
        <f t="shared" si="25"/>
        <v>91.132075471698116</v>
      </c>
      <c r="EI628" s="1406"/>
      <c r="EJ628" s="1406"/>
      <c r="EK628" s="1406"/>
      <c r="EL628" s="1406"/>
      <c r="EM628" s="1406" t="e">
        <f t="shared" si="26"/>
        <v>#VALUE!</v>
      </c>
      <c r="EN628" s="1406"/>
      <c r="EO628" s="1406"/>
      <c r="EP628" s="1406"/>
      <c r="EQ628" s="1406"/>
      <c r="ER628" s="1406" t="e">
        <f t="shared" si="27"/>
        <v>#VALUE!</v>
      </c>
      <c r="ES628" s="1406"/>
      <c r="ET628" s="1406"/>
      <c r="EU628" s="1406"/>
      <c r="EV628" s="1406"/>
      <c r="EW628" s="1406" t="e">
        <f t="shared" si="28"/>
        <v>#VALUE!</v>
      </c>
      <c r="EX628" s="1406"/>
      <c r="EY628" s="1406"/>
      <c r="EZ628" s="1406"/>
      <c r="FA628" s="1406"/>
    </row>
    <row r="629" spans="1:157" ht="12.95" customHeight="1">
      <c r="B629" s="52" t="s">
        <v>465</v>
      </c>
      <c r="C629" s="1382"/>
      <c r="D629" s="1382"/>
      <c r="E629" s="1382"/>
      <c r="F629" s="1382"/>
      <c r="G629" s="1382"/>
      <c r="H629" s="1382"/>
      <c r="I629" s="1382"/>
      <c r="J629" s="1382"/>
      <c r="K629" s="1382"/>
      <c r="L629" s="1382"/>
      <c r="M629" s="1383" t="s">
        <v>1328</v>
      </c>
      <c r="N629" s="1383"/>
      <c r="O629" s="1383"/>
      <c r="P629" s="1383"/>
      <c r="Q629" s="1350"/>
      <c r="R629" s="1351"/>
      <c r="S629" s="1352"/>
      <c r="T629" s="1350"/>
      <c r="U629" s="1351"/>
      <c r="V629" s="1352"/>
      <c r="W629" s="1364"/>
      <c r="X629" s="1365"/>
      <c r="Y629" s="1366"/>
      <c r="Z629" s="1373" t="s">
        <v>1328</v>
      </c>
      <c r="AA629" s="1374"/>
      <c r="AB629" s="1375"/>
      <c r="AC629" s="1429"/>
      <c r="AD629" s="1430"/>
      <c r="AE629" s="1431"/>
      <c r="AF629" s="1353"/>
      <c r="AG629" s="1354"/>
      <c r="AH629" s="1354"/>
      <c r="AI629" s="1354"/>
      <c r="AJ629" s="1355"/>
      <c r="AK629" s="1424"/>
      <c r="AL629" s="1425"/>
      <c r="AM629" s="1425"/>
      <c r="AN629" s="1426"/>
      <c r="AO629" s="1420"/>
      <c r="AP629" s="1421"/>
      <c r="AQ629" s="1421"/>
      <c r="AR629" s="1421"/>
      <c r="AS629" s="1422"/>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8">
        <f>IF(J761="SRO/Studio",O761,0)</f>
        <v>0</v>
      </c>
      <c r="BO629" s="1409"/>
      <c r="BP629" s="1409"/>
      <c r="BQ629" s="1409"/>
      <c r="BR629" s="1410"/>
      <c r="BS629" s="1414">
        <f>IF(J761="1 Bedroom",O761,0)</f>
        <v>0</v>
      </c>
      <c r="BT629" s="1414"/>
      <c r="BU629" s="1414"/>
      <c r="BV629" s="1414"/>
      <c r="BW629" s="1414"/>
      <c r="BX629" s="1414">
        <f>IF(J761="2 Bedrooms",O761,0)</f>
        <v>0</v>
      </c>
      <c r="BY629" s="1414"/>
      <c r="BZ629" s="1414"/>
      <c r="CA629" s="1414"/>
      <c r="CB629" s="1414"/>
      <c r="CC629" s="1414">
        <f>IF(J761="3 Bedrooms",O761,0)</f>
        <v>0</v>
      </c>
      <c r="CD629" s="1414"/>
      <c r="CE629" s="1414"/>
      <c r="CF629" s="1414"/>
      <c r="CG629" s="1414"/>
      <c r="CH629" s="1414">
        <f>IF(J761="4 Bedrooms",O761,0)</f>
        <v>0</v>
      </c>
      <c r="CI629" s="1414"/>
      <c r="CJ629" s="1414"/>
      <c r="CK629" s="1414"/>
      <c r="CL629" s="1414"/>
      <c r="CM629" s="1414">
        <f>IF(J761="5 Bedrooms",O761,0)</f>
        <v>0</v>
      </c>
      <c r="CN629" s="1414"/>
      <c r="CO629" s="1414"/>
      <c r="CP629" s="1414"/>
      <c r="CQ629" s="1414"/>
      <c r="CV629" s="3"/>
      <c r="CW629" s="3"/>
      <c r="CX629" s="3"/>
      <c r="CY629" s="3"/>
      <c r="CZ629" s="3"/>
      <c r="DA629" s="3"/>
      <c r="DB629" s="3"/>
      <c r="DC629" s="3"/>
      <c r="DD629" s="3"/>
      <c r="DE629" s="3"/>
      <c r="DF629" s="3"/>
      <c r="DX629" s="1406" t="e">
        <f t="shared" si="23"/>
        <v>#VALUE!</v>
      </c>
      <c r="DY629" s="1406"/>
      <c r="DZ629" s="1406"/>
      <c r="EA629" s="1406"/>
      <c r="EB629" s="1406"/>
      <c r="EC629" s="1406" t="e">
        <f t="shared" si="24"/>
        <v>#VALUE!</v>
      </c>
      <c r="ED629" s="1406"/>
      <c r="EE629" s="1406"/>
      <c r="EF629" s="1406"/>
      <c r="EG629" s="1406"/>
      <c r="EH629" s="1406">
        <f t="shared" si="25"/>
        <v>266.98113207547169</v>
      </c>
      <c r="EI629" s="1406"/>
      <c r="EJ629" s="1406"/>
      <c r="EK629" s="1406"/>
      <c r="EL629" s="1406"/>
      <c r="EM629" s="1406" t="e">
        <f t="shared" si="26"/>
        <v>#VALUE!</v>
      </c>
      <c r="EN629" s="1406"/>
      <c r="EO629" s="1406"/>
      <c r="EP629" s="1406"/>
      <c r="EQ629" s="1406"/>
      <c r="ER629" s="1406" t="e">
        <f t="shared" si="27"/>
        <v>#VALUE!</v>
      </c>
      <c r="ES629" s="1406"/>
      <c r="ET629" s="1406"/>
      <c r="EU629" s="1406"/>
      <c r="EV629" s="1406"/>
      <c r="EW629" s="1406" t="e">
        <f t="shared" si="28"/>
        <v>#VALUE!</v>
      </c>
      <c r="EX629" s="1406"/>
      <c r="EY629" s="1406"/>
      <c r="EZ629" s="1406"/>
      <c r="FA629" s="1406"/>
    </row>
    <row r="630" spans="1:157" ht="12.95" customHeight="1">
      <c r="B630" s="52" t="s">
        <v>466</v>
      </c>
      <c r="C630" s="1382"/>
      <c r="D630" s="1382"/>
      <c r="E630" s="1382"/>
      <c r="F630" s="1382"/>
      <c r="G630" s="1382"/>
      <c r="H630" s="1382"/>
      <c r="I630" s="1382"/>
      <c r="J630" s="1382"/>
      <c r="K630" s="1382"/>
      <c r="L630" s="1382"/>
      <c r="M630" s="1383" t="s">
        <v>1328</v>
      </c>
      <c r="N630" s="1383"/>
      <c r="O630" s="1383"/>
      <c r="P630" s="1383"/>
      <c r="Q630" s="1350"/>
      <c r="R630" s="1351"/>
      <c r="S630" s="1352"/>
      <c r="T630" s="1350"/>
      <c r="U630" s="1351"/>
      <c r="V630" s="1352"/>
      <c r="W630" s="1364"/>
      <c r="X630" s="1365"/>
      <c r="Y630" s="1366"/>
      <c r="Z630" s="1373" t="s">
        <v>1328</v>
      </c>
      <c r="AA630" s="1374"/>
      <c r="AB630" s="1375"/>
      <c r="AC630" s="1429"/>
      <c r="AD630" s="1430"/>
      <c r="AE630" s="1431"/>
      <c r="AF630" s="1353"/>
      <c r="AG630" s="1354"/>
      <c r="AH630" s="1354"/>
      <c r="AI630" s="1354"/>
      <c r="AJ630" s="1355"/>
      <c r="AK630" s="1424"/>
      <c r="AL630" s="1425"/>
      <c r="AM630" s="1425"/>
      <c r="AN630" s="1426"/>
      <c r="AO630" s="1420"/>
      <c r="AP630" s="1421"/>
      <c r="AQ630" s="1421"/>
      <c r="AR630" s="1421"/>
      <c r="AS630" s="1422"/>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7">
        <f>SUM(BN626:BR629)</f>
        <v>0</v>
      </c>
      <c r="BO630" s="1595"/>
      <c r="BP630" s="1595"/>
      <c r="BQ630" s="1595"/>
      <c r="BR630" s="1428"/>
      <c r="BS630" s="1411">
        <f>SUM(BS626:BW629)</f>
        <v>0</v>
      </c>
      <c r="BT630" s="1412"/>
      <c r="BU630" s="1412"/>
      <c r="BV630" s="1412"/>
      <c r="BW630" s="1413"/>
      <c r="BX630" s="1411">
        <f>SUM(BX626:CB629)</f>
        <v>2</v>
      </c>
      <c r="BY630" s="1412"/>
      <c r="BZ630" s="1412"/>
      <c r="CA630" s="1412"/>
      <c r="CB630" s="1413"/>
      <c r="CC630" s="1411">
        <f>SUM(CC626:CG629)</f>
        <v>0</v>
      </c>
      <c r="CD630" s="1412"/>
      <c r="CE630" s="1412"/>
      <c r="CF630" s="1412"/>
      <c r="CG630" s="1413"/>
      <c r="CH630" s="1411">
        <f>SUM(CH626:CL629)</f>
        <v>0</v>
      </c>
      <c r="CI630" s="1412"/>
      <c r="CJ630" s="1412"/>
      <c r="CK630" s="1412"/>
      <c r="CL630" s="1413"/>
      <c r="CM630" s="1411">
        <f>SUM(CM626:CQ629)</f>
        <v>0</v>
      </c>
      <c r="CN630" s="1412"/>
      <c r="CO630" s="1412"/>
      <c r="CP630" s="1412"/>
      <c r="CQ630" s="1413"/>
      <c r="CS630" s="897">
        <f>BN630+BS630+BX630+CC630+CH630+CM630</f>
        <v>2</v>
      </c>
      <c r="CT630" s="57" t="s">
        <v>2123</v>
      </c>
      <c r="CU630" s="3"/>
      <c r="CV630" s="3"/>
      <c r="CW630" s="3"/>
      <c r="CX630" s="3"/>
      <c r="CY630" s="3"/>
      <c r="CZ630" s="3"/>
      <c r="DA630" s="3"/>
      <c r="DB630" s="3"/>
      <c r="DC630" s="3"/>
      <c r="DD630" s="3"/>
      <c r="DE630" s="3"/>
      <c r="DF630" s="3"/>
      <c r="DX630" s="1406" t="e">
        <f t="shared" si="23"/>
        <v>#VALUE!</v>
      </c>
      <c r="DY630" s="1406"/>
      <c r="DZ630" s="1406"/>
      <c r="EA630" s="1406"/>
      <c r="EB630" s="1406"/>
      <c r="EC630" s="1406" t="e">
        <f t="shared" si="24"/>
        <v>#VALUE!</v>
      </c>
      <c r="ED630" s="1406"/>
      <c r="EE630" s="1406"/>
      <c r="EF630" s="1406"/>
      <c r="EG630" s="1406"/>
      <c r="EH630" s="1406">
        <f t="shared" si="25"/>
        <v>324.52830188679246</v>
      </c>
      <c r="EI630" s="1406"/>
      <c r="EJ630" s="1406"/>
      <c r="EK630" s="1406"/>
      <c r="EL630" s="1406"/>
      <c r="EM630" s="1406" t="e">
        <f t="shared" si="26"/>
        <v>#VALUE!</v>
      </c>
      <c r="EN630" s="1406"/>
      <c r="EO630" s="1406"/>
      <c r="EP630" s="1406"/>
      <c r="EQ630" s="1406"/>
      <c r="ER630" s="1406" t="e">
        <f t="shared" si="27"/>
        <v>#VALUE!</v>
      </c>
      <c r="ES630" s="1406"/>
      <c r="ET630" s="1406"/>
      <c r="EU630" s="1406"/>
      <c r="EV630" s="1406"/>
      <c r="EW630" s="1406" t="e">
        <f t="shared" si="28"/>
        <v>#VALUE!</v>
      </c>
      <c r="EX630" s="1406"/>
      <c r="EY630" s="1406"/>
      <c r="EZ630" s="1406"/>
      <c r="FA630" s="1406"/>
    </row>
    <row r="631" spans="1:157" ht="12.95" customHeight="1">
      <c r="B631" s="52" t="s">
        <v>471</v>
      </c>
      <c r="C631" s="1382"/>
      <c r="D631" s="1382"/>
      <c r="E631" s="1382"/>
      <c r="F631" s="1382"/>
      <c r="G631" s="1382"/>
      <c r="H631" s="1382"/>
      <c r="I631" s="1382"/>
      <c r="J631" s="1382"/>
      <c r="K631" s="1382"/>
      <c r="L631" s="1382"/>
      <c r="M631" s="1383" t="s">
        <v>1328</v>
      </c>
      <c r="N631" s="1383"/>
      <c r="O631" s="1383"/>
      <c r="P631" s="1383"/>
      <c r="Q631" s="1350"/>
      <c r="R631" s="1351"/>
      <c r="S631" s="1352"/>
      <c r="T631" s="1350"/>
      <c r="U631" s="1351"/>
      <c r="V631" s="1352"/>
      <c r="W631" s="1364"/>
      <c r="X631" s="1365"/>
      <c r="Y631" s="1366"/>
      <c r="Z631" s="1373" t="s">
        <v>1328</v>
      </c>
      <c r="AA631" s="1374"/>
      <c r="AB631" s="1375"/>
      <c r="AC631" s="1429"/>
      <c r="AD631" s="1430"/>
      <c r="AE631" s="1431"/>
      <c r="AF631" s="1353"/>
      <c r="AG631" s="1354"/>
      <c r="AH631" s="1354"/>
      <c r="AI631" s="1354"/>
      <c r="AJ631" s="1355"/>
      <c r="AK631" s="1424"/>
      <c r="AL631" s="1425"/>
      <c r="AM631" s="1425"/>
      <c r="AN631" s="1426"/>
      <c r="AO631" s="1420"/>
      <c r="AP631" s="1421"/>
      <c r="AQ631" s="1421"/>
      <c r="AR631" s="1421"/>
      <c r="AS631" s="1422"/>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2125</v>
      </c>
      <c r="CU631" s="3"/>
      <c r="CV631" s="3"/>
      <c r="CW631" s="3"/>
      <c r="CX631" s="3"/>
      <c r="CY631" s="3"/>
      <c r="CZ631" s="3"/>
      <c r="DA631" s="3"/>
      <c r="DB631" s="3"/>
      <c r="DC631" s="3"/>
      <c r="DD631" s="3"/>
      <c r="DE631" s="3"/>
      <c r="DF631" s="3"/>
      <c r="DX631" s="1406" t="e">
        <f t="shared" si="23"/>
        <v>#VALUE!</v>
      </c>
      <c r="DY631" s="1406"/>
      <c r="DZ631" s="1406"/>
      <c r="EA631" s="1406"/>
      <c r="EB631" s="1406"/>
      <c r="EC631" s="1406" t="e">
        <f t="shared" si="24"/>
        <v>#VALUE!</v>
      </c>
      <c r="ED631" s="1406"/>
      <c r="EE631" s="1406"/>
      <c r="EF631" s="1406"/>
      <c r="EG631" s="1406"/>
      <c r="EH631" s="1406">
        <f t="shared" si="25"/>
        <v>1031.6037735849056</v>
      </c>
      <c r="EI631" s="1406"/>
      <c r="EJ631" s="1406"/>
      <c r="EK631" s="1406"/>
      <c r="EL631" s="1406"/>
      <c r="EM631" s="1406" t="e">
        <f t="shared" si="26"/>
        <v>#VALUE!</v>
      </c>
      <c r="EN631" s="1406"/>
      <c r="EO631" s="1406"/>
      <c r="EP631" s="1406"/>
      <c r="EQ631" s="1406"/>
      <c r="ER631" s="1406" t="e">
        <f t="shared" si="27"/>
        <v>#VALUE!</v>
      </c>
      <c r="ES631" s="1406"/>
      <c r="ET631" s="1406"/>
      <c r="EU631" s="1406"/>
      <c r="EV631" s="1406"/>
      <c r="EW631" s="1406" t="e">
        <f t="shared" si="28"/>
        <v>#VALUE!</v>
      </c>
      <c r="EX631" s="1406"/>
      <c r="EY631" s="1406"/>
      <c r="EZ631" s="1406"/>
      <c r="FA631" s="1406"/>
    </row>
    <row r="632" spans="1:157" ht="12.95" customHeight="1">
      <c r="B632" s="52" t="s">
        <v>656</v>
      </c>
      <c r="C632" s="1382"/>
      <c r="D632" s="1382"/>
      <c r="E632" s="1382"/>
      <c r="F632" s="1382"/>
      <c r="G632" s="1382"/>
      <c r="H632" s="1382"/>
      <c r="I632" s="1382"/>
      <c r="J632" s="1382"/>
      <c r="K632" s="1382"/>
      <c r="L632" s="1382"/>
      <c r="M632" s="1383" t="s">
        <v>1328</v>
      </c>
      <c r="N632" s="1383"/>
      <c r="O632" s="1383"/>
      <c r="P632" s="1383"/>
      <c r="Q632" s="1350"/>
      <c r="R632" s="1351"/>
      <c r="S632" s="1352"/>
      <c r="T632" s="1350"/>
      <c r="U632" s="1351"/>
      <c r="V632" s="1352"/>
      <c r="W632" s="1364"/>
      <c r="X632" s="1365"/>
      <c r="Y632" s="1366"/>
      <c r="Z632" s="1373" t="s">
        <v>1328</v>
      </c>
      <c r="AA632" s="1374"/>
      <c r="AB632" s="1375"/>
      <c r="AC632" s="1429"/>
      <c r="AD632" s="1430"/>
      <c r="AE632" s="1431"/>
      <c r="AF632" s="1353"/>
      <c r="AG632" s="1354"/>
      <c r="AH632" s="1354"/>
      <c r="AI632" s="1354"/>
      <c r="AJ632" s="1355"/>
      <c r="AK632" s="1424"/>
      <c r="AL632" s="1425"/>
      <c r="AM632" s="1425"/>
      <c r="AN632" s="1426"/>
      <c r="AO632" s="1420"/>
      <c r="AP632" s="1421"/>
      <c r="AQ632" s="1421"/>
      <c r="AR632" s="1421"/>
      <c r="AS632" s="1422"/>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6" t="e">
        <f t="shared" si="23"/>
        <v>#VALUE!</v>
      </c>
      <c r="DY632" s="1406"/>
      <c r="DZ632" s="1406"/>
      <c r="EA632" s="1406"/>
      <c r="EB632" s="1406"/>
      <c r="EC632" s="1406" t="e">
        <f t="shared" si="24"/>
        <v>#VALUE!</v>
      </c>
      <c r="ED632" s="1406"/>
      <c r="EE632" s="1406"/>
      <c r="EF632" s="1406"/>
      <c r="EG632" s="1406"/>
      <c r="EH632" s="1406" t="e">
        <f t="shared" si="25"/>
        <v>#VALUE!</v>
      </c>
      <c r="EI632" s="1406"/>
      <c r="EJ632" s="1406"/>
      <c r="EK632" s="1406"/>
      <c r="EL632" s="1406"/>
      <c r="EM632" s="1406" t="e">
        <f t="shared" si="26"/>
        <v>#VALUE!</v>
      </c>
      <c r="EN632" s="1406"/>
      <c r="EO632" s="1406"/>
      <c r="EP632" s="1406"/>
      <c r="EQ632" s="1406"/>
      <c r="ER632" s="1406" t="e">
        <f t="shared" si="27"/>
        <v>#VALUE!</v>
      </c>
      <c r="ES632" s="1406"/>
      <c r="ET632" s="1406"/>
      <c r="EU632" s="1406"/>
      <c r="EV632" s="1406"/>
      <c r="EW632" s="1406" t="e">
        <f t="shared" si="28"/>
        <v>#VALUE!</v>
      </c>
      <c r="EX632" s="1406"/>
      <c r="EY632" s="1406"/>
      <c r="EZ632" s="1406"/>
      <c r="FA632" s="1406"/>
    </row>
    <row r="633" spans="1:157" ht="12.95" customHeight="1">
      <c r="B633" s="52" t="s">
        <v>364</v>
      </c>
      <c r="C633" s="1382"/>
      <c r="D633" s="1382"/>
      <c r="E633" s="1382"/>
      <c r="F633" s="1382"/>
      <c r="G633" s="1382"/>
      <c r="H633" s="1382"/>
      <c r="I633" s="1382"/>
      <c r="J633" s="1382"/>
      <c r="K633" s="1382"/>
      <c r="L633" s="1382"/>
      <c r="M633" s="1383" t="s">
        <v>1328</v>
      </c>
      <c r="N633" s="1383"/>
      <c r="O633" s="1383"/>
      <c r="P633" s="1383"/>
      <c r="Q633" s="1350"/>
      <c r="R633" s="1351"/>
      <c r="S633" s="1352"/>
      <c r="T633" s="1350"/>
      <c r="U633" s="1351"/>
      <c r="V633" s="1352"/>
      <c r="W633" s="1364"/>
      <c r="X633" s="1365"/>
      <c r="Y633" s="1366"/>
      <c r="Z633" s="1373" t="s">
        <v>1328</v>
      </c>
      <c r="AA633" s="1374"/>
      <c r="AB633" s="1375"/>
      <c r="AC633" s="1429"/>
      <c r="AD633" s="1430"/>
      <c r="AE633" s="1431"/>
      <c r="AF633" s="1353"/>
      <c r="AG633" s="1354"/>
      <c r="AH633" s="1354"/>
      <c r="AI633" s="1354"/>
      <c r="AJ633" s="1355"/>
      <c r="AK633" s="1424"/>
      <c r="AL633" s="1425"/>
      <c r="AM633" s="1425"/>
      <c r="AN633" s="1426"/>
      <c r="AO633" s="1420"/>
      <c r="AP633" s="1421"/>
      <c r="AQ633" s="1421"/>
      <c r="AR633" s="1421"/>
      <c r="AS633" s="1422"/>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6" t="e">
        <f t="shared" si="23"/>
        <v>#VALUE!</v>
      </c>
      <c r="DY633" s="1406"/>
      <c r="DZ633" s="1406"/>
      <c r="EA633" s="1406"/>
      <c r="EB633" s="1406"/>
      <c r="EC633" s="1406" t="e">
        <f t="shared" si="24"/>
        <v>#VALUE!</v>
      </c>
      <c r="ED633" s="1406"/>
      <c r="EE633" s="1406"/>
      <c r="EF633" s="1406"/>
      <c r="EG633" s="1406"/>
      <c r="EH633" s="1406" t="e">
        <f t="shared" si="25"/>
        <v>#VALUE!</v>
      </c>
      <c r="EI633" s="1406"/>
      <c r="EJ633" s="1406"/>
      <c r="EK633" s="1406"/>
      <c r="EL633" s="1406"/>
      <c r="EM633" s="1406" t="e">
        <f t="shared" si="26"/>
        <v>#VALUE!</v>
      </c>
      <c r="EN633" s="1406"/>
      <c r="EO633" s="1406"/>
      <c r="EP633" s="1406"/>
      <c r="EQ633" s="1406"/>
      <c r="ER633" s="1406" t="e">
        <f t="shared" si="27"/>
        <v>#VALUE!</v>
      </c>
      <c r="ES633" s="1406"/>
      <c r="ET633" s="1406"/>
      <c r="EU633" s="1406"/>
      <c r="EV633" s="1406"/>
      <c r="EW633" s="1406" t="e">
        <f t="shared" si="28"/>
        <v>#VALUE!</v>
      </c>
      <c r="EX633" s="1406"/>
      <c r="EY633" s="1406"/>
      <c r="EZ633" s="1406"/>
      <c r="FA633" s="1406"/>
    </row>
    <row r="634" spans="1:157" ht="12.95" customHeight="1">
      <c r="B634" s="52" t="s">
        <v>365</v>
      </c>
      <c r="C634" s="1382"/>
      <c r="D634" s="1382"/>
      <c r="E634" s="1382"/>
      <c r="F634" s="1382"/>
      <c r="G634" s="1382"/>
      <c r="H634" s="1382"/>
      <c r="I634" s="1382"/>
      <c r="J634" s="1382"/>
      <c r="K634" s="1382"/>
      <c r="L634" s="1382"/>
      <c r="M634" s="1383" t="s">
        <v>1328</v>
      </c>
      <c r="N634" s="1383"/>
      <c r="O634" s="1383"/>
      <c r="P634" s="1383"/>
      <c r="Q634" s="1350"/>
      <c r="R634" s="1351"/>
      <c r="S634" s="1352"/>
      <c r="T634" s="1350"/>
      <c r="U634" s="1351"/>
      <c r="V634" s="1352"/>
      <c r="W634" s="1364"/>
      <c r="X634" s="1365"/>
      <c r="Y634" s="1366"/>
      <c r="Z634" s="1373" t="s">
        <v>1328</v>
      </c>
      <c r="AA634" s="1374"/>
      <c r="AB634" s="1375"/>
      <c r="AC634" s="1429"/>
      <c r="AD634" s="1430"/>
      <c r="AE634" s="1431"/>
      <c r="AF634" s="1353"/>
      <c r="AG634" s="1354"/>
      <c r="AH634" s="1354"/>
      <c r="AI634" s="1354"/>
      <c r="AJ634" s="1355"/>
      <c r="AK634" s="1424"/>
      <c r="AL634" s="1425"/>
      <c r="AM634" s="1425"/>
      <c r="AN634" s="1426"/>
      <c r="AO634" s="1420"/>
      <c r="AP634" s="1421"/>
      <c r="AQ634" s="1421"/>
      <c r="AR634" s="1421"/>
      <c r="AS634" s="1422"/>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8">
        <f t="shared" ref="BN634:BN643" si="30">IF(J772="SRO/Studio",O772,0)</f>
        <v>0</v>
      </c>
      <c r="BO634" s="1409"/>
      <c r="BP634" s="1409"/>
      <c r="BQ634" s="1409"/>
      <c r="BR634" s="1410"/>
      <c r="BS634" s="1414">
        <f t="shared" ref="BS634:BS643" si="31">IF(J772="1 Bedroom",O772,0)</f>
        <v>0</v>
      </c>
      <c r="BT634" s="1414"/>
      <c r="BU634" s="1414"/>
      <c r="BV634" s="1414"/>
      <c r="BW634" s="1414"/>
      <c r="BX634" s="1414">
        <f t="shared" ref="BX634:BX643" si="32">IF(J772="2 Bedrooms",O772,0)</f>
        <v>0</v>
      </c>
      <c r="BY634" s="1414"/>
      <c r="BZ634" s="1414"/>
      <c r="CA634" s="1414"/>
      <c r="CB634" s="1414"/>
      <c r="CC634" s="1414">
        <f t="shared" ref="CC634:CC643" si="33">IF(J772="3 Bedrooms",O772,0)</f>
        <v>0</v>
      </c>
      <c r="CD634" s="1414"/>
      <c r="CE634" s="1414"/>
      <c r="CF634" s="1414"/>
      <c r="CG634" s="1414"/>
      <c r="CH634" s="1414">
        <f t="shared" ref="CH634:CH643" si="34">IF(J772="4 Bedrooms",O772,0)</f>
        <v>0</v>
      </c>
      <c r="CI634" s="1414"/>
      <c r="CJ634" s="1414"/>
      <c r="CK634" s="1414"/>
      <c r="CL634" s="1414"/>
      <c r="CM634" s="1414">
        <f t="shared" ref="CM634:CM643" si="35">IF(J772="5 Bedrooms",O772,0)</f>
        <v>0</v>
      </c>
      <c r="CN634" s="1414"/>
      <c r="CO634" s="1414"/>
      <c r="CP634" s="1414"/>
      <c r="CQ634" s="1414"/>
      <c r="CR634" s="6"/>
      <c r="CS634" s="1408">
        <f>IF(AND(BN634&gt;=1,AH772&gt;=0.1,AH772&lt;=1),O772,0)</f>
        <v>0</v>
      </c>
      <c r="CT634" s="1409"/>
      <c r="CU634" s="1409"/>
      <c r="CV634" s="1409"/>
      <c r="CW634" s="1410"/>
      <c r="CX634" s="1408">
        <f>IF(AND(BS634&gt;=1,AH772&gt;=0.1,AH772&lt;=1),O772,0)</f>
        <v>0</v>
      </c>
      <c r="CY634" s="1409"/>
      <c r="CZ634" s="1409"/>
      <c r="DA634" s="1409"/>
      <c r="DB634" s="1410"/>
      <c r="DC634" s="1408">
        <f>IF(AND(BX634&gt;=1,AH772&gt;=0.1,AH772&lt;=1),O772,0)</f>
        <v>0</v>
      </c>
      <c r="DD634" s="1409"/>
      <c r="DE634" s="1409"/>
      <c r="DF634" s="1409"/>
      <c r="DG634" s="1410"/>
      <c r="DH634" s="1408">
        <f>IF(AND(CC634&gt;=1,AH772&gt;=0.1,AH772&lt;=1),O772,0)</f>
        <v>0</v>
      </c>
      <c r="DI634" s="1409"/>
      <c r="DJ634" s="1409"/>
      <c r="DK634" s="1409"/>
      <c r="DL634" s="1410"/>
      <c r="DM634" s="1408">
        <f>IF(AND(CH634&gt;=1,AH772&gt;=0.1,AH772&lt;=1),O772,0)</f>
        <v>0</v>
      </c>
      <c r="DN634" s="1409"/>
      <c r="DO634" s="1409"/>
      <c r="DP634" s="1409"/>
      <c r="DQ634" s="1410"/>
      <c r="DR634" s="1408">
        <f>IF(AND(CM634&gt;=1,AH772&gt;=0.1,AH772&lt;=1),O772,0)</f>
        <v>0</v>
      </c>
      <c r="DS634" s="1409"/>
      <c r="DT634" s="1409"/>
      <c r="DU634" s="1409"/>
      <c r="DV634" s="1410"/>
      <c r="DX634" s="1406" t="e">
        <f t="shared" si="23"/>
        <v>#VALUE!</v>
      </c>
      <c r="DY634" s="1406"/>
      <c r="DZ634" s="1406"/>
      <c r="EA634" s="1406"/>
      <c r="EB634" s="1406"/>
      <c r="EC634" s="1406" t="e">
        <f t="shared" si="24"/>
        <v>#VALUE!</v>
      </c>
      <c r="ED634" s="1406"/>
      <c r="EE634" s="1406"/>
      <c r="EF634" s="1406"/>
      <c r="EG634" s="1406"/>
      <c r="EH634" s="1406" t="e">
        <f t="shared" si="25"/>
        <v>#VALUE!</v>
      </c>
      <c r="EI634" s="1406"/>
      <c r="EJ634" s="1406"/>
      <c r="EK634" s="1406"/>
      <c r="EL634" s="1406"/>
      <c r="EM634" s="1406" t="e">
        <f t="shared" si="26"/>
        <v>#VALUE!</v>
      </c>
      <c r="EN634" s="1406"/>
      <c r="EO634" s="1406"/>
      <c r="EP634" s="1406"/>
      <c r="EQ634" s="1406"/>
      <c r="ER634" s="1406" t="e">
        <f t="shared" si="27"/>
        <v>#VALUE!</v>
      </c>
      <c r="ES634" s="1406"/>
      <c r="ET634" s="1406"/>
      <c r="EU634" s="1406"/>
      <c r="EV634" s="1406"/>
      <c r="EW634" s="1406" t="e">
        <f t="shared" si="28"/>
        <v>#VALUE!</v>
      </c>
      <c r="EX634" s="1406"/>
      <c r="EY634" s="1406"/>
      <c r="EZ634" s="1406"/>
      <c r="FA634" s="1406"/>
    </row>
    <row r="635" spans="1:157" ht="12.9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92">
        <f>SUM(AO623:AR634)</f>
        <v>39294870</v>
      </c>
      <c r="AP635" s="1593"/>
      <c r="AQ635" s="1593"/>
      <c r="AR635" s="1593"/>
      <c r="AS635" s="1594"/>
      <c r="AZ635" s="3"/>
      <c r="BA635" s="3"/>
      <c r="BB635" s="3"/>
      <c r="BC635" s="3"/>
      <c r="BD635" s="3"/>
      <c r="BE635" s="3"/>
      <c r="BF635" s="3"/>
      <c r="BG635" s="3"/>
      <c r="BH635" s="3"/>
      <c r="BI635" s="3"/>
      <c r="BJ635" s="3"/>
      <c r="BK635" s="3"/>
      <c r="BL635" s="3"/>
      <c r="BM635" s="3"/>
      <c r="BN635" s="1408">
        <f t="shared" si="30"/>
        <v>0</v>
      </c>
      <c r="BO635" s="1409"/>
      <c r="BP635" s="1409"/>
      <c r="BQ635" s="1409"/>
      <c r="BR635" s="1410"/>
      <c r="BS635" s="1414">
        <f t="shared" si="31"/>
        <v>0</v>
      </c>
      <c r="BT635" s="1414"/>
      <c r="BU635" s="1414"/>
      <c r="BV635" s="1414"/>
      <c r="BW635" s="1414"/>
      <c r="BX635" s="1414">
        <f t="shared" si="32"/>
        <v>0</v>
      </c>
      <c r="BY635" s="1414"/>
      <c r="BZ635" s="1414"/>
      <c r="CA635" s="1414"/>
      <c r="CB635" s="1414"/>
      <c r="CC635" s="1414">
        <f t="shared" si="33"/>
        <v>0</v>
      </c>
      <c r="CD635" s="1414"/>
      <c r="CE635" s="1414"/>
      <c r="CF635" s="1414"/>
      <c r="CG635" s="1414"/>
      <c r="CH635" s="1414">
        <f t="shared" si="34"/>
        <v>0</v>
      </c>
      <c r="CI635" s="1414"/>
      <c r="CJ635" s="1414"/>
      <c r="CK635" s="1414"/>
      <c r="CL635" s="1414"/>
      <c r="CM635" s="1414">
        <f t="shared" si="35"/>
        <v>0</v>
      </c>
      <c r="CN635" s="1414"/>
      <c r="CO635" s="1414"/>
      <c r="CP635" s="1414"/>
      <c r="CQ635" s="1414"/>
      <c r="CR635" s="6"/>
      <c r="CS635" s="1408">
        <f t="shared" ref="CS635:CS643" si="36">IF(AND(BN635&gt;=1,AH773&gt;=0.1,AH773&lt;=1),O773,0)</f>
        <v>0</v>
      </c>
      <c r="CT635" s="1409"/>
      <c r="CU635" s="1409"/>
      <c r="CV635" s="1409"/>
      <c r="CW635" s="1410"/>
      <c r="CX635" s="1408">
        <f t="shared" ref="CX635:CX643" si="37">IF(AND(BS635&gt;=1,AH773&gt;=0.1,AH773&lt;=1),O773,0)</f>
        <v>0</v>
      </c>
      <c r="CY635" s="1409"/>
      <c r="CZ635" s="1409"/>
      <c r="DA635" s="1409"/>
      <c r="DB635" s="1410"/>
      <c r="DC635" s="1408">
        <f t="shared" ref="DC635:DC643" si="38">IF(AND(BX635&gt;=1,AH773&gt;=0.1,AH773&lt;=1),O773,0)</f>
        <v>0</v>
      </c>
      <c r="DD635" s="1409"/>
      <c r="DE635" s="1409"/>
      <c r="DF635" s="1409"/>
      <c r="DG635" s="1410"/>
      <c r="DH635" s="1408">
        <f t="shared" ref="DH635:DH643" si="39">IF(AND(CC635&gt;=1,AH773&gt;=0.1,AH773&lt;=1),O773,0)</f>
        <v>0</v>
      </c>
      <c r="DI635" s="1409"/>
      <c r="DJ635" s="1409"/>
      <c r="DK635" s="1409"/>
      <c r="DL635" s="1410"/>
      <c r="DM635" s="1408">
        <f t="shared" ref="DM635:DM643" si="40">IF(AND(CH635&gt;=1,AH773&gt;=0.1,AH773&lt;=1),O773,0)</f>
        <v>0</v>
      </c>
      <c r="DN635" s="1409"/>
      <c r="DO635" s="1409"/>
      <c r="DP635" s="1409"/>
      <c r="DQ635" s="1410"/>
      <c r="DR635" s="1408">
        <f t="shared" ref="DR635:DR643" si="41">IF(AND(CM635&gt;=1,AH773&gt;=0.1,AH773&lt;=1),O773,0)</f>
        <v>0</v>
      </c>
      <c r="DS635" s="1409"/>
      <c r="DT635" s="1409"/>
      <c r="DU635" s="1409"/>
      <c r="DV635" s="1410"/>
      <c r="DX635" s="1406" t="e">
        <f t="shared" si="23"/>
        <v>#VALUE!</v>
      </c>
      <c r="DY635" s="1406"/>
      <c r="DZ635" s="1406"/>
      <c r="EA635" s="1406"/>
      <c r="EB635" s="1406"/>
      <c r="EC635" s="1406" t="e">
        <f t="shared" si="24"/>
        <v>#VALUE!</v>
      </c>
      <c r="ED635" s="1406"/>
      <c r="EE635" s="1406"/>
      <c r="EF635" s="1406"/>
      <c r="EG635" s="1406"/>
      <c r="EH635" s="1406" t="e">
        <f t="shared" si="25"/>
        <v>#VALUE!</v>
      </c>
      <c r="EI635" s="1406"/>
      <c r="EJ635" s="1406"/>
      <c r="EK635" s="1406"/>
      <c r="EL635" s="1406"/>
      <c r="EM635" s="1406" t="e">
        <f t="shared" si="26"/>
        <v>#VALUE!</v>
      </c>
      <c r="EN635" s="1406"/>
      <c r="EO635" s="1406"/>
      <c r="EP635" s="1406"/>
      <c r="EQ635" s="1406"/>
      <c r="ER635" s="1406" t="e">
        <f t="shared" si="27"/>
        <v>#VALUE!</v>
      </c>
      <c r="ES635" s="1406"/>
      <c r="ET635" s="1406"/>
      <c r="EU635" s="1406"/>
      <c r="EV635" s="1406"/>
      <c r="EW635" s="1406" t="e">
        <f t="shared" si="28"/>
        <v>#VALUE!</v>
      </c>
      <c r="EX635" s="1406"/>
      <c r="EY635" s="1406"/>
      <c r="EZ635" s="1406"/>
      <c r="FA635" s="1406"/>
    </row>
    <row r="636" spans="1:157" ht="12.9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0">
        <v>19802682</v>
      </c>
      <c r="AP636" s="1421"/>
      <c r="AQ636" s="1421"/>
      <c r="AR636" s="1421"/>
      <c r="AS636" s="1422"/>
      <c r="AZ636" s="34"/>
      <c r="BA636" s="34"/>
      <c r="BB636" s="34"/>
      <c r="BC636" s="34"/>
      <c r="BD636" s="34"/>
      <c r="BE636" s="34"/>
      <c r="BF636" s="34"/>
      <c r="BG636" s="34"/>
      <c r="BH636" s="34"/>
      <c r="BI636" s="34"/>
      <c r="BJ636" s="34"/>
      <c r="BK636" s="34"/>
      <c r="BL636" s="34"/>
      <c r="BM636" s="34"/>
      <c r="BN636" s="1408">
        <f t="shared" si="30"/>
        <v>0</v>
      </c>
      <c r="BO636" s="1409"/>
      <c r="BP636" s="1409"/>
      <c r="BQ636" s="1409"/>
      <c r="BR636" s="1410"/>
      <c r="BS636" s="1414">
        <f t="shared" si="31"/>
        <v>0</v>
      </c>
      <c r="BT636" s="1414"/>
      <c r="BU636" s="1414"/>
      <c r="BV636" s="1414"/>
      <c r="BW636" s="1414"/>
      <c r="BX636" s="1414">
        <f t="shared" si="32"/>
        <v>0</v>
      </c>
      <c r="BY636" s="1414"/>
      <c r="BZ636" s="1414"/>
      <c r="CA636" s="1414"/>
      <c r="CB636" s="1414"/>
      <c r="CC636" s="1414">
        <f t="shared" si="33"/>
        <v>0</v>
      </c>
      <c r="CD636" s="1414"/>
      <c r="CE636" s="1414"/>
      <c r="CF636" s="1414"/>
      <c r="CG636" s="1414"/>
      <c r="CH636" s="1414">
        <f t="shared" si="34"/>
        <v>0</v>
      </c>
      <c r="CI636" s="1414"/>
      <c r="CJ636" s="1414"/>
      <c r="CK636" s="1414"/>
      <c r="CL636" s="1414"/>
      <c r="CM636" s="1414">
        <f t="shared" si="35"/>
        <v>0</v>
      </c>
      <c r="CN636" s="1414"/>
      <c r="CO636" s="1414"/>
      <c r="CP636" s="1414"/>
      <c r="CQ636" s="1414"/>
      <c r="CR636" s="6"/>
      <c r="CS636" s="1408">
        <f t="shared" si="36"/>
        <v>0</v>
      </c>
      <c r="CT636" s="1409"/>
      <c r="CU636" s="1409"/>
      <c r="CV636" s="1409"/>
      <c r="CW636" s="1410"/>
      <c r="CX636" s="1408">
        <f t="shared" si="37"/>
        <v>0</v>
      </c>
      <c r="CY636" s="1409"/>
      <c r="CZ636" s="1409"/>
      <c r="DA636" s="1409"/>
      <c r="DB636" s="1410"/>
      <c r="DC636" s="1408">
        <f t="shared" si="38"/>
        <v>0</v>
      </c>
      <c r="DD636" s="1409"/>
      <c r="DE636" s="1409"/>
      <c r="DF636" s="1409"/>
      <c r="DG636" s="1410"/>
      <c r="DH636" s="1408">
        <f t="shared" si="39"/>
        <v>0</v>
      </c>
      <c r="DI636" s="1409"/>
      <c r="DJ636" s="1409"/>
      <c r="DK636" s="1409"/>
      <c r="DL636" s="1410"/>
      <c r="DM636" s="1408">
        <f t="shared" si="40"/>
        <v>0</v>
      </c>
      <c r="DN636" s="1409"/>
      <c r="DO636" s="1409"/>
      <c r="DP636" s="1409"/>
      <c r="DQ636" s="1410"/>
      <c r="DR636" s="1408">
        <f t="shared" si="41"/>
        <v>0</v>
      </c>
      <c r="DS636" s="1409"/>
      <c r="DT636" s="1409"/>
      <c r="DU636" s="1409"/>
      <c r="DV636" s="1410"/>
      <c r="DX636" s="1406" t="e">
        <f t="shared" si="23"/>
        <v>#VALUE!</v>
      </c>
      <c r="DY636" s="1406"/>
      <c r="DZ636" s="1406"/>
      <c r="EA636" s="1406"/>
      <c r="EB636" s="1406"/>
      <c r="EC636" s="1406" t="e">
        <f t="shared" si="24"/>
        <v>#VALUE!</v>
      </c>
      <c r="ED636" s="1406"/>
      <c r="EE636" s="1406"/>
      <c r="EF636" s="1406"/>
      <c r="EG636" s="1406"/>
      <c r="EH636" s="1406" t="e">
        <f t="shared" si="25"/>
        <v>#VALUE!</v>
      </c>
      <c r="EI636" s="1406"/>
      <c r="EJ636" s="1406"/>
      <c r="EK636" s="1406"/>
      <c r="EL636" s="1406"/>
      <c r="EM636" s="1406" t="e">
        <f t="shared" si="26"/>
        <v>#VALUE!</v>
      </c>
      <c r="EN636" s="1406"/>
      <c r="EO636" s="1406"/>
      <c r="EP636" s="1406"/>
      <c r="EQ636" s="1406"/>
      <c r="ER636" s="1406" t="e">
        <f t="shared" si="27"/>
        <v>#VALUE!</v>
      </c>
      <c r="ES636" s="1406"/>
      <c r="ET636" s="1406"/>
      <c r="EU636" s="1406"/>
      <c r="EV636" s="1406"/>
      <c r="EW636" s="1406" t="e">
        <f t="shared" si="28"/>
        <v>#VALUE!</v>
      </c>
      <c r="EX636" s="1406"/>
      <c r="EY636" s="1406"/>
      <c r="EZ636" s="1406"/>
      <c r="FA636" s="1406"/>
    </row>
    <row r="637" spans="1:157" ht="12.95" customHeight="1">
      <c r="B637" s="1822" t="s">
        <v>270</v>
      </c>
      <c r="C637" s="1817"/>
      <c r="D637" s="1817"/>
      <c r="E637" s="1817"/>
      <c r="F637" s="1817"/>
      <c r="G637" s="1817"/>
      <c r="H637" s="1817"/>
      <c r="I637" s="1817"/>
      <c r="J637" s="1817"/>
      <c r="K637" s="1817"/>
      <c r="L637" s="1817"/>
      <c r="M637" s="1817"/>
      <c r="N637" s="1817"/>
      <c r="O637" s="1817"/>
      <c r="P637" s="1817"/>
      <c r="Q637" s="1817"/>
      <c r="R637" s="1817"/>
      <c r="S637" s="1817"/>
      <c r="T637" s="1817"/>
      <c r="U637" s="1817"/>
      <c r="V637" s="1817"/>
      <c r="W637" s="1817"/>
      <c r="X637" s="1817"/>
      <c r="Y637" s="1817"/>
      <c r="Z637" s="1817"/>
      <c r="AA637" s="1817"/>
      <c r="AB637" s="1817"/>
      <c r="AC637" s="1817"/>
      <c r="AD637" s="1817"/>
      <c r="AE637" s="1817"/>
      <c r="AF637" s="1817"/>
      <c r="AG637" s="1817"/>
      <c r="AH637" s="1817"/>
      <c r="AI637" s="1817"/>
      <c r="AJ637" s="1817"/>
      <c r="AK637" s="1817"/>
      <c r="AL637" s="1817"/>
      <c r="AM637" s="1817"/>
      <c r="AN637" s="1823"/>
      <c r="AO637" s="1592">
        <f>AO635+AO636</f>
        <v>59097552</v>
      </c>
      <c r="AP637" s="1593"/>
      <c r="AQ637" s="1593"/>
      <c r="AR637" s="1593"/>
      <c r="AS637" s="1594"/>
      <c r="AZ637" s="34"/>
      <c r="BA637" s="34"/>
      <c r="BB637" s="34"/>
      <c r="BC637" s="34"/>
      <c r="BD637" s="34"/>
      <c r="BE637" s="34"/>
      <c r="BF637" s="34"/>
      <c r="BG637" s="34"/>
      <c r="BH637" s="34"/>
      <c r="BI637" s="34"/>
      <c r="BJ637" s="34"/>
      <c r="BK637" s="34"/>
      <c r="BL637" s="34"/>
      <c r="BM637" s="34"/>
      <c r="BN637" s="1408">
        <f t="shared" si="30"/>
        <v>0</v>
      </c>
      <c r="BO637" s="1409"/>
      <c r="BP637" s="1409"/>
      <c r="BQ637" s="1409"/>
      <c r="BR637" s="1410"/>
      <c r="BS637" s="1414">
        <f t="shared" si="31"/>
        <v>0</v>
      </c>
      <c r="BT637" s="1414"/>
      <c r="BU637" s="1414"/>
      <c r="BV637" s="1414"/>
      <c r="BW637" s="1414"/>
      <c r="BX637" s="1414">
        <f t="shared" si="32"/>
        <v>0</v>
      </c>
      <c r="BY637" s="1414"/>
      <c r="BZ637" s="1414"/>
      <c r="CA637" s="1414"/>
      <c r="CB637" s="1414"/>
      <c r="CC637" s="1414">
        <f t="shared" si="33"/>
        <v>0</v>
      </c>
      <c r="CD637" s="1414"/>
      <c r="CE637" s="1414"/>
      <c r="CF637" s="1414"/>
      <c r="CG637" s="1414"/>
      <c r="CH637" s="1414">
        <f t="shared" si="34"/>
        <v>0</v>
      </c>
      <c r="CI637" s="1414"/>
      <c r="CJ637" s="1414"/>
      <c r="CK637" s="1414"/>
      <c r="CL637" s="1414"/>
      <c r="CM637" s="1414">
        <f t="shared" si="35"/>
        <v>0</v>
      </c>
      <c r="CN637" s="1414"/>
      <c r="CO637" s="1414"/>
      <c r="CP637" s="1414"/>
      <c r="CQ637" s="1414"/>
      <c r="CR637" s="6"/>
      <c r="CS637" s="1408">
        <f t="shared" si="36"/>
        <v>0</v>
      </c>
      <c r="CT637" s="1409"/>
      <c r="CU637" s="1409"/>
      <c r="CV637" s="1409"/>
      <c r="CW637" s="1410"/>
      <c r="CX637" s="1408">
        <f t="shared" si="37"/>
        <v>0</v>
      </c>
      <c r="CY637" s="1409"/>
      <c r="CZ637" s="1409"/>
      <c r="DA637" s="1409"/>
      <c r="DB637" s="1410"/>
      <c r="DC637" s="1408">
        <f t="shared" si="38"/>
        <v>0</v>
      </c>
      <c r="DD637" s="1409"/>
      <c r="DE637" s="1409"/>
      <c r="DF637" s="1409"/>
      <c r="DG637" s="1410"/>
      <c r="DH637" s="1408">
        <f t="shared" si="39"/>
        <v>0</v>
      </c>
      <c r="DI637" s="1409"/>
      <c r="DJ637" s="1409"/>
      <c r="DK637" s="1409"/>
      <c r="DL637" s="1410"/>
      <c r="DM637" s="1408">
        <f t="shared" si="40"/>
        <v>0</v>
      </c>
      <c r="DN637" s="1409"/>
      <c r="DO637" s="1409"/>
      <c r="DP637" s="1409"/>
      <c r="DQ637" s="1410"/>
      <c r="DR637" s="1408">
        <f t="shared" si="41"/>
        <v>0</v>
      </c>
      <c r="DS637" s="1409"/>
      <c r="DT637" s="1409"/>
      <c r="DU637" s="1409"/>
      <c r="DV637" s="1410"/>
      <c r="DX637" s="1406" t="e">
        <f t="shared" si="23"/>
        <v>#VALUE!</v>
      </c>
      <c r="DY637" s="1406"/>
      <c r="DZ637" s="1406"/>
      <c r="EA637" s="1406"/>
      <c r="EB637" s="1406"/>
      <c r="EC637" s="1406" t="e">
        <f t="shared" si="24"/>
        <v>#VALUE!</v>
      </c>
      <c r="ED637" s="1406"/>
      <c r="EE637" s="1406"/>
      <c r="EF637" s="1406"/>
      <c r="EG637" s="1406"/>
      <c r="EH637" s="1406" t="e">
        <f t="shared" si="25"/>
        <v>#VALUE!</v>
      </c>
      <c r="EI637" s="1406"/>
      <c r="EJ637" s="1406"/>
      <c r="EK637" s="1406"/>
      <c r="EL637" s="1406"/>
      <c r="EM637" s="1406" t="e">
        <f t="shared" si="26"/>
        <v>#VALUE!</v>
      </c>
      <c r="EN637" s="1406"/>
      <c r="EO637" s="1406"/>
      <c r="EP637" s="1406"/>
      <c r="EQ637" s="1406"/>
      <c r="ER637" s="1406" t="e">
        <f t="shared" si="27"/>
        <v>#VALUE!</v>
      </c>
      <c r="ES637" s="1406"/>
      <c r="ET637" s="1406"/>
      <c r="EU637" s="1406"/>
      <c r="EV637" s="1406"/>
      <c r="EW637" s="1406" t="e">
        <f t="shared" si="28"/>
        <v>#VALUE!</v>
      </c>
      <c r="EX637" s="1406"/>
      <c r="EY637" s="1406"/>
      <c r="EZ637" s="1406"/>
      <c r="FA637" s="1406"/>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8">
        <f t="shared" si="30"/>
        <v>0</v>
      </c>
      <c r="BO638" s="1409"/>
      <c r="BP638" s="1409"/>
      <c r="BQ638" s="1409"/>
      <c r="BR638" s="1410"/>
      <c r="BS638" s="1414">
        <f t="shared" si="31"/>
        <v>0</v>
      </c>
      <c r="BT638" s="1414"/>
      <c r="BU638" s="1414"/>
      <c r="BV638" s="1414"/>
      <c r="BW638" s="1414"/>
      <c r="BX638" s="1414">
        <f t="shared" si="32"/>
        <v>0</v>
      </c>
      <c r="BY638" s="1414"/>
      <c r="BZ638" s="1414"/>
      <c r="CA638" s="1414"/>
      <c r="CB638" s="1414"/>
      <c r="CC638" s="1414">
        <f t="shared" si="33"/>
        <v>0</v>
      </c>
      <c r="CD638" s="1414"/>
      <c r="CE638" s="1414"/>
      <c r="CF638" s="1414"/>
      <c r="CG638" s="1414"/>
      <c r="CH638" s="1414">
        <f t="shared" si="34"/>
        <v>0</v>
      </c>
      <c r="CI638" s="1414"/>
      <c r="CJ638" s="1414"/>
      <c r="CK638" s="1414"/>
      <c r="CL638" s="1414"/>
      <c r="CM638" s="1414">
        <f t="shared" si="35"/>
        <v>0</v>
      </c>
      <c r="CN638" s="1414"/>
      <c r="CO638" s="1414"/>
      <c r="CP638" s="1414"/>
      <c r="CQ638" s="1414"/>
      <c r="CR638" s="6"/>
      <c r="CS638" s="1408">
        <f t="shared" si="36"/>
        <v>0</v>
      </c>
      <c r="CT638" s="1409"/>
      <c r="CU638" s="1409"/>
      <c r="CV638" s="1409"/>
      <c r="CW638" s="1410"/>
      <c r="CX638" s="1408">
        <f t="shared" si="37"/>
        <v>0</v>
      </c>
      <c r="CY638" s="1409"/>
      <c r="CZ638" s="1409"/>
      <c r="DA638" s="1409"/>
      <c r="DB638" s="1410"/>
      <c r="DC638" s="1408">
        <f t="shared" si="38"/>
        <v>0</v>
      </c>
      <c r="DD638" s="1409"/>
      <c r="DE638" s="1409"/>
      <c r="DF638" s="1409"/>
      <c r="DG638" s="1410"/>
      <c r="DH638" s="1408">
        <f t="shared" si="39"/>
        <v>0</v>
      </c>
      <c r="DI638" s="1409"/>
      <c r="DJ638" s="1409"/>
      <c r="DK638" s="1409"/>
      <c r="DL638" s="1410"/>
      <c r="DM638" s="1408">
        <f t="shared" si="40"/>
        <v>0</v>
      </c>
      <c r="DN638" s="1409"/>
      <c r="DO638" s="1409"/>
      <c r="DP638" s="1409"/>
      <c r="DQ638" s="1410"/>
      <c r="DR638" s="1408">
        <f t="shared" si="41"/>
        <v>0</v>
      </c>
      <c r="DS638" s="1409"/>
      <c r="DT638" s="1409"/>
      <c r="DU638" s="1409"/>
      <c r="DV638" s="1410"/>
      <c r="DX638" s="1406" t="e">
        <f t="shared" si="23"/>
        <v>#VALUE!</v>
      </c>
      <c r="DY638" s="1406"/>
      <c r="DZ638" s="1406"/>
      <c r="EA638" s="1406"/>
      <c r="EB638" s="1406"/>
      <c r="EC638" s="1406" t="e">
        <f t="shared" si="24"/>
        <v>#VALUE!</v>
      </c>
      <c r="ED638" s="1406"/>
      <c r="EE638" s="1406"/>
      <c r="EF638" s="1406"/>
      <c r="EG638" s="1406"/>
      <c r="EH638" s="1406" t="e">
        <f t="shared" si="25"/>
        <v>#VALUE!</v>
      </c>
      <c r="EI638" s="1406"/>
      <c r="EJ638" s="1406"/>
      <c r="EK638" s="1406"/>
      <c r="EL638" s="1406"/>
      <c r="EM638" s="1406" t="e">
        <f t="shared" si="26"/>
        <v>#VALUE!</v>
      </c>
      <c r="EN638" s="1406"/>
      <c r="EO638" s="1406"/>
      <c r="EP638" s="1406"/>
      <c r="EQ638" s="1406"/>
      <c r="ER638" s="1406" t="e">
        <f t="shared" si="27"/>
        <v>#VALUE!</v>
      </c>
      <c r="ES638" s="1406"/>
      <c r="ET638" s="1406"/>
      <c r="EU638" s="1406"/>
      <c r="EV638" s="1406"/>
      <c r="EW638" s="1406" t="e">
        <f t="shared" si="28"/>
        <v>#VALUE!</v>
      </c>
      <c r="EX638" s="1406"/>
      <c r="EY638" s="1406"/>
      <c r="EZ638" s="1406"/>
      <c r="FA638" s="1406"/>
    </row>
    <row r="639" spans="1:157" ht="12.95" customHeight="1">
      <c r="A639" s="55" t="s">
        <v>113</v>
      </c>
      <c r="B639" t="s">
        <v>473</v>
      </c>
      <c r="G639" s="1363" t="str">
        <f>C623</f>
        <v>Citibank, N.A.</v>
      </c>
      <c r="H639" s="1363"/>
      <c r="I639" s="1363"/>
      <c r="J639" s="1363"/>
      <c r="K639" s="1363"/>
      <c r="L639" s="1363"/>
      <c r="M639" s="1363"/>
      <c r="N639" s="1363"/>
      <c r="O639" s="1363"/>
      <c r="P639" s="1363"/>
      <c r="Q639" s="1363"/>
      <c r="R639" s="1363"/>
      <c r="S639" s="8"/>
      <c r="T639" s="55" t="s">
        <v>114</v>
      </c>
      <c r="U639" t="s">
        <v>473</v>
      </c>
      <c r="Z639" s="1363" t="str">
        <f>C624</f>
        <v>Riverside Charitable Corporation</v>
      </c>
      <c r="AA639" s="1363"/>
      <c r="AB639" s="1363"/>
      <c r="AC639" s="1363"/>
      <c r="AD639" s="1363"/>
      <c r="AE639" s="1363"/>
      <c r="AF639" s="1363"/>
      <c r="AG639" s="1363"/>
      <c r="AH639" s="1363"/>
      <c r="AI639" s="1363"/>
      <c r="AJ639" s="1363"/>
      <c r="AK639" s="1363"/>
      <c r="AZ639" s="34"/>
      <c r="BA639" s="34"/>
      <c r="BB639" s="34"/>
      <c r="BC639" s="34"/>
      <c r="BD639" s="34"/>
      <c r="BE639" s="34"/>
      <c r="BF639" s="34"/>
      <c r="BG639" s="34"/>
      <c r="BH639" s="34"/>
      <c r="BI639" s="34"/>
      <c r="BJ639" s="34"/>
      <c r="BK639" s="34"/>
      <c r="BL639" s="34"/>
      <c r="BM639" s="34"/>
      <c r="BN639" s="1408">
        <f t="shared" si="30"/>
        <v>0</v>
      </c>
      <c r="BO639" s="1409"/>
      <c r="BP639" s="1409"/>
      <c r="BQ639" s="1409"/>
      <c r="BR639" s="1410"/>
      <c r="BS639" s="1414">
        <f t="shared" si="31"/>
        <v>0</v>
      </c>
      <c r="BT639" s="1414"/>
      <c r="BU639" s="1414"/>
      <c r="BV639" s="1414"/>
      <c r="BW639" s="1414"/>
      <c r="BX639" s="1414">
        <f t="shared" si="32"/>
        <v>0</v>
      </c>
      <c r="BY639" s="1414"/>
      <c r="BZ639" s="1414"/>
      <c r="CA639" s="1414"/>
      <c r="CB639" s="1414"/>
      <c r="CC639" s="1414">
        <f t="shared" si="33"/>
        <v>0</v>
      </c>
      <c r="CD639" s="1414"/>
      <c r="CE639" s="1414"/>
      <c r="CF639" s="1414"/>
      <c r="CG639" s="1414"/>
      <c r="CH639" s="1414">
        <f t="shared" si="34"/>
        <v>0</v>
      </c>
      <c r="CI639" s="1414"/>
      <c r="CJ639" s="1414"/>
      <c r="CK639" s="1414"/>
      <c r="CL639" s="1414"/>
      <c r="CM639" s="1414">
        <f t="shared" si="35"/>
        <v>0</v>
      </c>
      <c r="CN639" s="1414"/>
      <c r="CO639" s="1414"/>
      <c r="CP639" s="1414"/>
      <c r="CQ639" s="1414"/>
      <c r="CR639" s="6"/>
      <c r="CS639" s="1408">
        <f t="shared" si="36"/>
        <v>0</v>
      </c>
      <c r="CT639" s="1409"/>
      <c r="CU639" s="1409"/>
      <c r="CV639" s="1409"/>
      <c r="CW639" s="1410"/>
      <c r="CX639" s="1408">
        <f t="shared" si="37"/>
        <v>0</v>
      </c>
      <c r="CY639" s="1409"/>
      <c r="CZ639" s="1409"/>
      <c r="DA639" s="1409"/>
      <c r="DB639" s="1410"/>
      <c r="DC639" s="1408">
        <f t="shared" si="38"/>
        <v>0</v>
      </c>
      <c r="DD639" s="1409"/>
      <c r="DE639" s="1409"/>
      <c r="DF639" s="1409"/>
      <c r="DG639" s="1410"/>
      <c r="DH639" s="1408">
        <f t="shared" si="39"/>
        <v>0</v>
      </c>
      <c r="DI639" s="1409"/>
      <c r="DJ639" s="1409"/>
      <c r="DK639" s="1409"/>
      <c r="DL639" s="1410"/>
      <c r="DM639" s="1408">
        <f t="shared" si="40"/>
        <v>0</v>
      </c>
      <c r="DN639" s="1409"/>
      <c r="DO639" s="1409"/>
      <c r="DP639" s="1409"/>
      <c r="DQ639" s="1410"/>
      <c r="DR639" s="1408">
        <f t="shared" si="41"/>
        <v>0</v>
      </c>
      <c r="DS639" s="1409"/>
      <c r="DT639" s="1409"/>
      <c r="DU639" s="1409"/>
      <c r="DV639" s="1410"/>
      <c r="DX639" s="1406" t="e">
        <f t="shared" si="23"/>
        <v>#VALUE!</v>
      </c>
      <c r="DY639" s="1406"/>
      <c r="DZ639" s="1406"/>
      <c r="EA639" s="1406"/>
      <c r="EB639" s="1406"/>
      <c r="EC639" s="1406" t="e">
        <f t="shared" si="24"/>
        <v>#VALUE!</v>
      </c>
      <c r="ED639" s="1406"/>
      <c r="EE639" s="1406"/>
      <c r="EF639" s="1406"/>
      <c r="EG639" s="1406"/>
      <c r="EH639" s="1406" t="e">
        <f t="shared" si="25"/>
        <v>#VALUE!</v>
      </c>
      <c r="EI639" s="1406"/>
      <c r="EJ639" s="1406"/>
      <c r="EK639" s="1406"/>
      <c r="EL639" s="1406"/>
      <c r="EM639" s="1406" t="e">
        <f t="shared" si="26"/>
        <v>#VALUE!</v>
      </c>
      <c r="EN639" s="1406"/>
      <c r="EO639" s="1406"/>
      <c r="EP639" s="1406"/>
      <c r="EQ639" s="1406"/>
      <c r="ER639" s="1406" t="e">
        <f t="shared" si="27"/>
        <v>#VALUE!</v>
      </c>
      <c r="ES639" s="1406"/>
      <c r="ET639" s="1406"/>
      <c r="EU639" s="1406"/>
      <c r="EV639" s="1406"/>
      <c r="EW639" s="1406" t="e">
        <f t="shared" si="28"/>
        <v>#VALUE!</v>
      </c>
      <c r="EX639" s="1406"/>
      <c r="EY639" s="1406"/>
      <c r="EZ639" s="1406"/>
      <c r="FA639" s="1406"/>
    </row>
    <row r="640" spans="1:157" ht="12.95" customHeight="1">
      <c r="A640" s="22"/>
      <c r="B640" t="s">
        <v>86</v>
      </c>
      <c r="G640" s="1358" t="s">
        <v>2710</v>
      </c>
      <c r="H640" s="1358"/>
      <c r="I640" s="1358"/>
      <c r="J640" s="1358"/>
      <c r="K640" s="1358"/>
      <c r="L640" s="1358"/>
      <c r="M640" s="1358"/>
      <c r="N640" s="1358"/>
      <c r="O640" s="1358"/>
      <c r="P640" s="1358"/>
      <c r="Q640" s="1358"/>
      <c r="R640" s="1358"/>
      <c r="S640" s="8"/>
      <c r="T640" s="22"/>
      <c r="U640" t="s">
        <v>86</v>
      </c>
      <c r="Z640" s="1398" t="s">
        <v>2714</v>
      </c>
      <c r="AA640" s="1398"/>
      <c r="AB640" s="1398"/>
      <c r="AC640" s="1398"/>
      <c r="AD640" s="1398"/>
      <c r="AE640" s="1398"/>
      <c r="AF640" s="1398"/>
      <c r="AG640" s="1398"/>
      <c r="AH640" s="1398"/>
      <c r="AI640" s="1398"/>
      <c r="AJ640" s="1398"/>
      <c r="AK640" s="1398"/>
      <c r="AZ640" s="34"/>
      <c r="BA640" s="34"/>
      <c r="BB640" s="34"/>
      <c r="BC640" s="34"/>
      <c r="BD640" s="34"/>
      <c r="BE640" s="34"/>
      <c r="BF640" s="34"/>
      <c r="BG640" s="34"/>
      <c r="BH640" s="34"/>
      <c r="BI640" s="34"/>
      <c r="BJ640" s="34"/>
      <c r="BK640" s="34"/>
      <c r="BL640" s="34"/>
      <c r="BM640" s="34"/>
      <c r="BN640" s="1408">
        <f t="shared" si="30"/>
        <v>0</v>
      </c>
      <c r="BO640" s="1409"/>
      <c r="BP640" s="1409"/>
      <c r="BQ640" s="1409"/>
      <c r="BR640" s="1410"/>
      <c r="BS640" s="1414">
        <f t="shared" si="31"/>
        <v>0</v>
      </c>
      <c r="BT640" s="1414"/>
      <c r="BU640" s="1414"/>
      <c r="BV640" s="1414"/>
      <c r="BW640" s="1414"/>
      <c r="BX640" s="1414">
        <f t="shared" si="32"/>
        <v>0</v>
      </c>
      <c r="BY640" s="1414"/>
      <c r="BZ640" s="1414"/>
      <c r="CA640" s="1414"/>
      <c r="CB640" s="1414"/>
      <c r="CC640" s="1414">
        <f t="shared" si="33"/>
        <v>0</v>
      </c>
      <c r="CD640" s="1414"/>
      <c r="CE640" s="1414"/>
      <c r="CF640" s="1414"/>
      <c r="CG640" s="1414"/>
      <c r="CH640" s="1414">
        <f t="shared" si="34"/>
        <v>0</v>
      </c>
      <c r="CI640" s="1414"/>
      <c r="CJ640" s="1414"/>
      <c r="CK640" s="1414"/>
      <c r="CL640" s="1414"/>
      <c r="CM640" s="1414">
        <f t="shared" si="35"/>
        <v>0</v>
      </c>
      <c r="CN640" s="1414"/>
      <c r="CO640" s="1414"/>
      <c r="CP640" s="1414"/>
      <c r="CQ640" s="1414"/>
      <c r="CR640" s="6"/>
      <c r="CS640" s="1408">
        <f t="shared" si="36"/>
        <v>0</v>
      </c>
      <c r="CT640" s="1409"/>
      <c r="CU640" s="1409"/>
      <c r="CV640" s="1409"/>
      <c r="CW640" s="1410"/>
      <c r="CX640" s="1408">
        <f t="shared" si="37"/>
        <v>0</v>
      </c>
      <c r="CY640" s="1409"/>
      <c r="CZ640" s="1409"/>
      <c r="DA640" s="1409"/>
      <c r="DB640" s="1410"/>
      <c r="DC640" s="1408">
        <f t="shared" si="38"/>
        <v>0</v>
      </c>
      <c r="DD640" s="1409"/>
      <c r="DE640" s="1409"/>
      <c r="DF640" s="1409"/>
      <c r="DG640" s="1410"/>
      <c r="DH640" s="1408">
        <f t="shared" si="39"/>
        <v>0</v>
      </c>
      <c r="DI640" s="1409"/>
      <c r="DJ640" s="1409"/>
      <c r="DK640" s="1409"/>
      <c r="DL640" s="1410"/>
      <c r="DM640" s="1408">
        <f t="shared" si="40"/>
        <v>0</v>
      </c>
      <c r="DN640" s="1409"/>
      <c r="DO640" s="1409"/>
      <c r="DP640" s="1409"/>
      <c r="DQ640" s="1410"/>
      <c r="DR640" s="1408">
        <f t="shared" si="41"/>
        <v>0</v>
      </c>
      <c r="DS640" s="1409"/>
      <c r="DT640" s="1409"/>
      <c r="DU640" s="1409"/>
      <c r="DV640" s="1410"/>
      <c r="DX640" s="1406" t="e">
        <f t="shared" si="23"/>
        <v>#VALUE!</v>
      </c>
      <c r="DY640" s="1406"/>
      <c r="DZ640" s="1406"/>
      <c r="EA640" s="1406"/>
      <c r="EB640" s="1406"/>
      <c r="EC640" s="1406" t="e">
        <f t="shared" si="24"/>
        <v>#VALUE!</v>
      </c>
      <c r="ED640" s="1406"/>
      <c r="EE640" s="1406"/>
      <c r="EF640" s="1406"/>
      <c r="EG640" s="1406"/>
      <c r="EH640" s="1406" t="e">
        <f t="shared" si="25"/>
        <v>#VALUE!</v>
      </c>
      <c r="EI640" s="1406"/>
      <c r="EJ640" s="1406"/>
      <c r="EK640" s="1406"/>
      <c r="EL640" s="1406"/>
      <c r="EM640" s="1406" t="e">
        <f t="shared" si="26"/>
        <v>#VALUE!</v>
      </c>
      <c r="EN640" s="1406"/>
      <c r="EO640" s="1406"/>
      <c r="EP640" s="1406"/>
      <c r="EQ640" s="1406"/>
      <c r="ER640" s="1406" t="e">
        <f t="shared" si="27"/>
        <v>#VALUE!</v>
      </c>
      <c r="ES640" s="1406"/>
      <c r="ET640" s="1406"/>
      <c r="EU640" s="1406"/>
      <c r="EV640" s="1406"/>
      <c r="EW640" s="1406" t="e">
        <f t="shared" si="28"/>
        <v>#VALUE!</v>
      </c>
      <c r="EX640" s="1406"/>
      <c r="EY640" s="1406"/>
      <c r="EZ640" s="1406"/>
      <c r="FA640" s="1406"/>
    </row>
    <row r="641" spans="1:157" ht="12.95" customHeight="1">
      <c r="A641" s="22"/>
      <c r="B641" t="s">
        <v>590</v>
      </c>
      <c r="G641" s="1398" t="s">
        <v>2711</v>
      </c>
      <c r="H641" s="1398"/>
      <c r="I641" s="1398"/>
      <c r="J641" s="1398"/>
      <c r="K641" s="1398"/>
      <c r="L641" s="1398"/>
      <c r="M641" s="1398"/>
      <c r="N641" s="1398"/>
      <c r="O641" s="1398"/>
      <c r="P641" s="1398"/>
      <c r="Q641" s="1398"/>
      <c r="R641" s="1398"/>
      <c r="T641" s="22"/>
      <c r="U641" t="s">
        <v>590</v>
      </c>
      <c r="Z641" s="1398" t="s">
        <v>2715</v>
      </c>
      <c r="AA641" s="1398"/>
      <c r="AB641" s="1398"/>
      <c r="AC641" s="1398"/>
      <c r="AD641" s="1398"/>
      <c r="AE641" s="1398"/>
      <c r="AF641" s="1398"/>
      <c r="AG641" s="1398"/>
      <c r="AH641" s="1398"/>
      <c r="AI641" s="1398"/>
      <c r="AJ641" s="1398"/>
      <c r="AK641" s="1398"/>
      <c r="AZ641" s="34"/>
      <c r="BA641" s="34"/>
      <c r="BB641" s="34"/>
      <c r="BC641" s="34"/>
      <c r="BD641" s="34"/>
      <c r="BE641" s="34"/>
      <c r="BF641" s="34"/>
      <c r="BG641" s="34"/>
      <c r="BH641" s="34"/>
      <c r="BI641" s="34"/>
      <c r="BJ641" s="34"/>
      <c r="BK641" s="34"/>
      <c r="BL641" s="34"/>
      <c r="BM641" s="34"/>
      <c r="BN641" s="1408">
        <f t="shared" si="30"/>
        <v>0</v>
      </c>
      <c r="BO641" s="1409"/>
      <c r="BP641" s="1409"/>
      <c r="BQ641" s="1409"/>
      <c r="BR641" s="1410"/>
      <c r="BS641" s="1414">
        <f t="shared" si="31"/>
        <v>0</v>
      </c>
      <c r="BT641" s="1414"/>
      <c r="BU641" s="1414"/>
      <c r="BV641" s="1414"/>
      <c r="BW641" s="1414"/>
      <c r="BX641" s="1414">
        <f t="shared" si="32"/>
        <v>0</v>
      </c>
      <c r="BY641" s="1414"/>
      <c r="BZ641" s="1414"/>
      <c r="CA641" s="1414"/>
      <c r="CB641" s="1414"/>
      <c r="CC641" s="1414">
        <f t="shared" si="33"/>
        <v>0</v>
      </c>
      <c r="CD641" s="1414"/>
      <c r="CE641" s="1414"/>
      <c r="CF641" s="1414"/>
      <c r="CG641" s="1414"/>
      <c r="CH641" s="1414">
        <f t="shared" si="34"/>
        <v>0</v>
      </c>
      <c r="CI641" s="1414"/>
      <c r="CJ641" s="1414"/>
      <c r="CK641" s="1414"/>
      <c r="CL641" s="1414"/>
      <c r="CM641" s="1414">
        <f t="shared" si="35"/>
        <v>0</v>
      </c>
      <c r="CN641" s="1414"/>
      <c r="CO641" s="1414"/>
      <c r="CP641" s="1414"/>
      <c r="CQ641" s="1414"/>
      <c r="CR641" s="6"/>
      <c r="CS641" s="1408">
        <f t="shared" si="36"/>
        <v>0</v>
      </c>
      <c r="CT641" s="1409"/>
      <c r="CU641" s="1409"/>
      <c r="CV641" s="1409"/>
      <c r="CW641" s="1410"/>
      <c r="CX641" s="1408">
        <f t="shared" si="37"/>
        <v>0</v>
      </c>
      <c r="CY641" s="1409"/>
      <c r="CZ641" s="1409"/>
      <c r="DA641" s="1409"/>
      <c r="DB641" s="1410"/>
      <c r="DC641" s="1408">
        <f t="shared" si="38"/>
        <v>0</v>
      </c>
      <c r="DD641" s="1409"/>
      <c r="DE641" s="1409"/>
      <c r="DF641" s="1409"/>
      <c r="DG641" s="1410"/>
      <c r="DH641" s="1408">
        <f t="shared" si="39"/>
        <v>0</v>
      </c>
      <c r="DI641" s="1409"/>
      <c r="DJ641" s="1409"/>
      <c r="DK641" s="1409"/>
      <c r="DL641" s="1410"/>
      <c r="DM641" s="1408">
        <f t="shared" si="40"/>
        <v>0</v>
      </c>
      <c r="DN641" s="1409"/>
      <c r="DO641" s="1409"/>
      <c r="DP641" s="1409"/>
      <c r="DQ641" s="1410"/>
      <c r="DR641" s="1408">
        <f t="shared" si="41"/>
        <v>0</v>
      </c>
      <c r="DS641" s="1409"/>
      <c r="DT641" s="1409"/>
      <c r="DU641" s="1409"/>
      <c r="DV641" s="1410"/>
      <c r="DX641" s="1406" t="e">
        <f t="shared" si="23"/>
        <v>#VALUE!</v>
      </c>
      <c r="DY641" s="1406"/>
      <c r="DZ641" s="1406"/>
      <c r="EA641" s="1406"/>
      <c r="EB641" s="1406"/>
      <c r="EC641" s="1406" t="e">
        <f t="shared" si="24"/>
        <v>#VALUE!</v>
      </c>
      <c r="ED641" s="1406"/>
      <c r="EE641" s="1406"/>
      <c r="EF641" s="1406"/>
      <c r="EG641" s="1406"/>
      <c r="EH641" s="1406" t="e">
        <f t="shared" si="25"/>
        <v>#VALUE!</v>
      </c>
      <c r="EI641" s="1406"/>
      <c r="EJ641" s="1406"/>
      <c r="EK641" s="1406"/>
      <c r="EL641" s="1406"/>
      <c r="EM641" s="1406" t="e">
        <f t="shared" si="26"/>
        <v>#VALUE!</v>
      </c>
      <c r="EN641" s="1406"/>
      <c r="EO641" s="1406"/>
      <c r="EP641" s="1406"/>
      <c r="EQ641" s="1406"/>
      <c r="ER641" s="1406" t="e">
        <f t="shared" si="27"/>
        <v>#VALUE!</v>
      </c>
      <c r="ES641" s="1406"/>
      <c r="ET641" s="1406"/>
      <c r="EU641" s="1406"/>
      <c r="EV641" s="1406"/>
      <c r="EW641" s="1406" t="e">
        <f t="shared" si="28"/>
        <v>#VALUE!</v>
      </c>
      <c r="EX641" s="1406"/>
      <c r="EY641" s="1406"/>
      <c r="EZ641" s="1406"/>
      <c r="FA641" s="1406"/>
    </row>
    <row r="642" spans="1:157" ht="12.95" customHeight="1">
      <c r="A642" s="22"/>
      <c r="B642" t="s">
        <v>17</v>
      </c>
      <c r="G642" s="1398" t="s">
        <v>2712</v>
      </c>
      <c r="H642" s="1398"/>
      <c r="I642" s="1398"/>
      <c r="J642" s="1398"/>
      <c r="K642" s="1398"/>
      <c r="L642" s="1398"/>
      <c r="M642" s="1398"/>
      <c r="N642" s="1398"/>
      <c r="O642" s="1398"/>
      <c r="P642" s="1398"/>
      <c r="Q642" s="1398"/>
      <c r="R642" s="1398"/>
      <c r="S642" s="8"/>
      <c r="T642" s="22"/>
      <c r="U642" t="s">
        <v>17</v>
      </c>
      <c r="Z642" s="1398" t="s">
        <v>2635</v>
      </c>
      <c r="AA642" s="1398"/>
      <c r="AB642" s="1398"/>
      <c r="AC642" s="1398"/>
      <c r="AD642" s="1398"/>
      <c r="AE642" s="1398"/>
      <c r="AF642" s="1398"/>
      <c r="AG642" s="1398"/>
      <c r="AH642" s="1398"/>
      <c r="AI642" s="1398"/>
      <c r="AJ642" s="1398"/>
      <c r="AK642" s="1398"/>
      <c r="AZ642" s="34"/>
      <c r="BA642" s="34"/>
      <c r="BB642" s="34"/>
      <c r="BC642" s="34"/>
      <c r="BD642" s="34"/>
      <c r="BE642" s="34"/>
      <c r="BF642" s="34"/>
      <c r="BG642" s="34"/>
      <c r="BH642" s="34"/>
      <c r="BI642" s="34"/>
      <c r="BJ642" s="34"/>
      <c r="BK642" s="34"/>
      <c r="BL642" s="34"/>
      <c r="BM642" s="34"/>
      <c r="BN642" s="1408">
        <f t="shared" si="30"/>
        <v>0</v>
      </c>
      <c r="BO642" s="1409"/>
      <c r="BP642" s="1409"/>
      <c r="BQ642" s="1409"/>
      <c r="BR642" s="1410"/>
      <c r="BS642" s="1414">
        <f t="shared" si="31"/>
        <v>0</v>
      </c>
      <c r="BT642" s="1414"/>
      <c r="BU642" s="1414"/>
      <c r="BV642" s="1414"/>
      <c r="BW642" s="1414"/>
      <c r="BX642" s="1414">
        <f t="shared" si="32"/>
        <v>0</v>
      </c>
      <c r="BY642" s="1414"/>
      <c r="BZ642" s="1414"/>
      <c r="CA642" s="1414"/>
      <c r="CB642" s="1414"/>
      <c r="CC642" s="1414">
        <f t="shared" si="33"/>
        <v>0</v>
      </c>
      <c r="CD642" s="1414"/>
      <c r="CE642" s="1414"/>
      <c r="CF642" s="1414"/>
      <c r="CG642" s="1414"/>
      <c r="CH642" s="1414">
        <f t="shared" si="34"/>
        <v>0</v>
      </c>
      <c r="CI642" s="1414"/>
      <c r="CJ642" s="1414"/>
      <c r="CK642" s="1414"/>
      <c r="CL642" s="1414"/>
      <c r="CM642" s="1414">
        <f t="shared" si="35"/>
        <v>0</v>
      </c>
      <c r="CN642" s="1414"/>
      <c r="CO642" s="1414"/>
      <c r="CP642" s="1414"/>
      <c r="CQ642" s="1414"/>
      <c r="CR642" s="6"/>
      <c r="CS642" s="1408">
        <f t="shared" si="36"/>
        <v>0</v>
      </c>
      <c r="CT642" s="1409"/>
      <c r="CU642" s="1409"/>
      <c r="CV642" s="1409"/>
      <c r="CW642" s="1410"/>
      <c r="CX642" s="1408">
        <f t="shared" si="37"/>
        <v>0</v>
      </c>
      <c r="CY642" s="1409"/>
      <c r="CZ642" s="1409"/>
      <c r="DA642" s="1409"/>
      <c r="DB642" s="1410"/>
      <c r="DC642" s="1408">
        <f t="shared" si="38"/>
        <v>0</v>
      </c>
      <c r="DD642" s="1409"/>
      <c r="DE642" s="1409"/>
      <c r="DF642" s="1409"/>
      <c r="DG642" s="1410"/>
      <c r="DH642" s="1408">
        <f t="shared" si="39"/>
        <v>0</v>
      </c>
      <c r="DI642" s="1409"/>
      <c r="DJ642" s="1409"/>
      <c r="DK642" s="1409"/>
      <c r="DL642" s="1410"/>
      <c r="DM642" s="1408">
        <f t="shared" si="40"/>
        <v>0</v>
      </c>
      <c r="DN642" s="1409"/>
      <c r="DO642" s="1409"/>
      <c r="DP642" s="1409"/>
      <c r="DQ642" s="1410"/>
      <c r="DR642" s="1408">
        <f t="shared" si="41"/>
        <v>0</v>
      </c>
      <c r="DS642" s="1409"/>
      <c r="DT642" s="1409"/>
      <c r="DU642" s="1409"/>
      <c r="DV642" s="1410"/>
      <c r="DX642" s="1406" t="e">
        <f t="shared" si="23"/>
        <v>#VALUE!</v>
      </c>
      <c r="DY642" s="1406"/>
      <c r="DZ642" s="1406"/>
      <c r="EA642" s="1406"/>
      <c r="EB642" s="1406"/>
      <c r="EC642" s="1406" t="e">
        <f t="shared" si="24"/>
        <v>#VALUE!</v>
      </c>
      <c r="ED642" s="1406"/>
      <c r="EE642" s="1406"/>
      <c r="EF642" s="1406"/>
      <c r="EG642" s="1406"/>
      <c r="EH642" s="1406" t="e">
        <f t="shared" si="25"/>
        <v>#VALUE!</v>
      </c>
      <c r="EI642" s="1406"/>
      <c r="EJ642" s="1406"/>
      <c r="EK642" s="1406"/>
      <c r="EL642" s="1406"/>
      <c r="EM642" s="1406" t="e">
        <f t="shared" si="26"/>
        <v>#VALUE!</v>
      </c>
      <c r="EN642" s="1406"/>
      <c r="EO642" s="1406"/>
      <c r="EP642" s="1406"/>
      <c r="EQ642" s="1406"/>
      <c r="ER642" s="1406" t="e">
        <f t="shared" si="27"/>
        <v>#VALUE!</v>
      </c>
      <c r="ES642" s="1406"/>
      <c r="ET642" s="1406"/>
      <c r="EU642" s="1406"/>
      <c r="EV642" s="1406"/>
      <c r="EW642" s="1406" t="e">
        <f t="shared" si="28"/>
        <v>#VALUE!</v>
      </c>
      <c r="EX642" s="1406"/>
      <c r="EY642" s="1406"/>
      <c r="EZ642" s="1406"/>
      <c r="FA642" s="1406"/>
    </row>
    <row r="643" spans="1:157" ht="12.95" customHeight="1">
      <c r="A643" s="22"/>
      <c r="B643" t="s">
        <v>318</v>
      </c>
      <c r="G643" s="1360">
        <v>8055570933</v>
      </c>
      <c r="H643" s="1360"/>
      <c r="I643" s="1360"/>
      <c r="J643" s="1360"/>
      <c r="K643" s="1360"/>
      <c r="L643" s="1360"/>
      <c r="O643" s="33" t="s">
        <v>208</v>
      </c>
      <c r="P643" s="1362"/>
      <c r="Q643" s="1362"/>
      <c r="R643" s="1362"/>
      <c r="S643" s="10"/>
      <c r="T643" s="22"/>
      <c r="U643" t="s">
        <v>318</v>
      </c>
      <c r="Z643" s="1361">
        <v>7146281654</v>
      </c>
      <c r="AA643" s="1361"/>
      <c r="AB643" s="1361"/>
      <c r="AC643" s="1361"/>
      <c r="AD643" s="1361"/>
      <c r="AE643" s="1361"/>
      <c r="AH643" s="33" t="s">
        <v>208</v>
      </c>
      <c r="AI643" s="1362"/>
      <c r="AJ643" s="1362"/>
      <c r="AK643" s="1362"/>
      <c r="AZ643" s="34"/>
      <c r="BA643" s="34"/>
      <c r="BB643" s="34"/>
      <c r="BC643" s="34"/>
      <c r="BD643" s="34"/>
      <c r="BE643" s="34"/>
      <c r="BF643" s="34"/>
      <c r="BG643" s="34"/>
      <c r="BH643" s="34"/>
      <c r="BI643" s="34"/>
      <c r="BJ643" s="34"/>
      <c r="BK643" s="34"/>
      <c r="BL643" s="34"/>
      <c r="BM643" s="34"/>
      <c r="BN643" s="1408">
        <f t="shared" si="30"/>
        <v>0</v>
      </c>
      <c r="BO643" s="1409"/>
      <c r="BP643" s="1409"/>
      <c r="BQ643" s="1409"/>
      <c r="BR643" s="1410"/>
      <c r="BS643" s="1414">
        <f t="shared" si="31"/>
        <v>0</v>
      </c>
      <c r="BT643" s="1414"/>
      <c r="BU643" s="1414"/>
      <c r="BV643" s="1414"/>
      <c r="BW643" s="1414"/>
      <c r="BX643" s="1414">
        <f t="shared" si="32"/>
        <v>0</v>
      </c>
      <c r="BY643" s="1414"/>
      <c r="BZ643" s="1414"/>
      <c r="CA643" s="1414"/>
      <c r="CB643" s="1414"/>
      <c r="CC643" s="1414">
        <f t="shared" si="33"/>
        <v>0</v>
      </c>
      <c r="CD643" s="1414"/>
      <c r="CE643" s="1414"/>
      <c r="CF643" s="1414"/>
      <c r="CG643" s="1414"/>
      <c r="CH643" s="1414">
        <f t="shared" si="34"/>
        <v>0</v>
      </c>
      <c r="CI643" s="1414"/>
      <c r="CJ643" s="1414"/>
      <c r="CK643" s="1414"/>
      <c r="CL643" s="1414"/>
      <c r="CM643" s="1414">
        <f t="shared" si="35"/>
        <v>0</v>
      </c>
      <c r="CN643" s="1414"/>
      <c r="CO643" s="1414"/>
      <c r="CP643" s="1414"/>
      <c r="CQ643" s="1414"/>
      <c r="CR643" s="6"/>
      <c r="CS643" s="1408">
        <f t="shared" si="36"/>
        <v>0</v>
      </c>
      <c r="CT643" s="1409"/>
      <c r="CU643" s="1409"/>
      <c r="CV643" s="1409"/>
      <c r="CW643" s="1410"/>
      <c r="CX643" s="1408">
        <f t="shared" si="37"/>
        <v>0</v>
      </c>
      <c r="CY643" s="1409"/>
      <c r="CZ643" s="1409"/>
      <c r="DA643" s="1409"/>
      <c r="DB643" s="1410"/>
      <c r="DC643" s="1408">
        <f t="shared" si="38"/>
        <v>0</v>
      </c>
      <c r="DD643" s="1409"/>
      <c r="DE643" s="1409"/>
      <c r="DF643" s="1409"/>
      <c r="DG643" s="1410"/>
      <c r="DH643" s="1408">
        <f t="shared" si="39"/>
        <v>0</v>
      </c>
      <c r="DI643" s="1409"/>
      <c r="DJ643" s="1409"/>
      <c r="DK643" s="1409"/>
      <c r="DL643" s="1410"/>
      <c r="DM643" s="1408">
        <f t="shared" si="40"/>
        <v>0</v>
      </c>
      <c r="DN643" s="1409"/>
      <c r="DO643" s="1409"/>
      <c r="DP643" s="1409"/>
      <c r="DQ643" s="1410"/>
      <c r="DR643" s="1408">
        <f t="shared" si="41"/>
        <v>0</v>
      </c>
      <c r="DS643" s="1409"/>
      <c r="DT643" s="1409"/>
      <c r="DU643" s="1409"/>
      <c r="DV643" s="1410"/>
      <c r="DX643" s="1406" t="e">
        <f t="shared" si="23"/>
        <v>#VALUE!</v>
      </c>
      <c r="DY643" s="1406"/>
      <c r="DZ643" s="1406"/>
      <c r="EA643" s="1406"/>
      <c r="EB643" s="1406"/>
      <c r="EC643" s="1406" t="e">
        <f t="shared" si="24"/>
        <v>#VALUE!</v>
      </c>
      <c r="ED643" s="1406"/>
      <c r="EE643" s="1406"/>
      <c r="EF643" s="1406"/>
      <c r="EG643" s="1406"/>
      <c r="EH643" s="1406" t="e">
        <f t="shared" si="25"/>
        <v>#VALUE!</v>
      </c>
      <c r="EI643" s="1406"/>
      <c r="EJ643" s="1406"/>
      <c r="EK643" s="1406"/>
      <c r="EL643" s="1406"/>
      <c r="EM643" s="1406" t="e">
        <f t="shared" si="26"/>
        <v>#VALUE!</v>
      </c>
      <c r="EN643" s="1406"/>
      <c r="EO643" s="1406"/>
      <c r="EP643" s="1406"/>
      <c r="EQ643" s="1406"/>
      <c r="ER643" s="1406" t="e">
        <f t="shared" si="27"/>
        <v>#VALUE!</v>
      </c>
      <c r="ES643" s="1406"/>
      <c r="ET643" s="1406"/>
      <c r="EU643" s="1406"/>
      <c r="EV643" s="1406"/>
      <c r="EW643" s="1406" t="e">
        <f t="shared" si="28"/>
        <v>#VALUE!</v>
      </c>
      <c r="EX643" s="1406"/>
      <c r="EY643" s="1406"/>
      <c r="EZ643" s="1406"/>
      <c r="FA643" s="1406"/>
    </row>
    <row r="644" spans="1:157" ht="12.95" customHeight="1">
      <c r="A644" s="22"/>
      <c r="B644" t="s">
        <v>18</v>
      </c>
      <c r="H644" s="1388" t="s">
        <v>2713</v>
      </c>
      <c r="I644" s="1358"/>
      <c r="J644" s="1358"/>
      <c r="K644" s="1358"/>
      <c r="L644" s="1358"/>
      <c r="M644" s="1358"/>
      <c r="N644" s="1358"/>
      <c r="O644" s="1358"/>
      <c r="P644" s="1358"/>
      <c r="Q644" s="1358"/>
      <c r="R644" s="1358"/>
      <c r="S644" s="8"/>
      <c r="T644" s="22"/>
      <c r="U644" t="s">
        <v>18</v>
      </c>
      <c r="AA644" s="1358" t="s">
        <v>2716</v>
      </c>
      <c r="AB644" s="1358"/>
      <c r="AC644" s="1358"/>
      <c r="AD644" s="1358"/>
      <c r="AE644" s="1358"/>
      <c r="AF644" s="1358"/>
      <c r="AG644" s="1358"/>
      <c r="AH644" s="1358"/>
      <c r="AI644" s="1358"/>
      <c r="AJ644" s="1358"/>
      <c r="AK644" s="1358"/>
      <c r="AZ644" s="34"/>
      <c r="BA644" s="34"/>
      <c r="BB644" s="34"/>
      <c r="BC644" s="34"/>
      <c r="BD644" s="34"/>
      <c r="BE644" s="34"/>
      <c r="BF644" s="34"/>
      <c r="BG644" s="34"/>
      <c r="BH644" s="34"/>
      <c r="BI644" s="34"/>
      <c r="BJ644" s="34"/>
      <c r="BK644" s="34"/>
      <c r="BL644" s="34"/>
      <c r="BM644" s="34"/>
      <c r="BN644" s="1427">
        <f>SUM(BN634:BR643)</f>
        <v>0</v>
      </c>
      <c r="BO644" s="1595"/>
      <c r="BP644" s="1595"/>
      <c r="BQ644" s="1595"/>
      <c r="BR644" s="1428"/>
      <c r="BS644" s="1411">
        <f>SUM(BS634:BW643)</f>
        <v>0</v>
      </c>
      <c r="BT644" s="1412"/>
      <c r="BU644" s="1412"/>
      <c r="BV644" s="1412"/>
      <c r="BW644" s="1413"/>
      <c r="BX644" s="1411">
        <f>SUM(BX634:CB643)</f>
        <v>0</v>
      </c>
      <c r="BY644" s="1412"/>
      <c r="BZ644" s="1412"/>
      <c r="CA644" s="1412"/>
      <c r="CB644" s="1413"/>
      <c r="CC644" s="1411">
        <f>SUM(CC634:CG643)</f>
        <v>0</v>
      </c>
      <c r="CD644" s="1412"/>
      <c r="CE644" s="1412"/>
      <c r="CF644" s="1412"/>
      <c r="CG644" s="1413"/>
      <c r="CH644" s="1411">
        <f>SUM(CH634:CL643)</f>
        <v>0</v>
      </c>
      <c r="CI644" s="1412"/>
      <c r="CJ644" s="1412"/>
      <c r="CK644" s="1412"/>
      <c r="CL644" s="1413"/>
      <c r="CM644" s="1411">
        <f>SUM(CM634:CQ643)</f>
        <v>0</v>
      </c>
      <c r="CN644" s="1412"/>
      <c r="CO644" s="1412"/>
      <c r="CP644" s="1412"/>
      <c r="CQ644" s="1413"/>
      <c r="CR644" s="1049"/>
      <c r="CS644" s="1407">
        <f>SUM(CS634:CW643)</f>
        <v>0</v>
      </c>
      <c r="CT644" s="1407"/>
      <c r="CU644" s="1407"/>
      <c r="CV644" s="1407"/>
      <c r="CW644" s="1407"/>
      <c r="CX644" s="1407">
        <f>SUM(CX634:DB643)</f>
        <v>0</v>
      </c>
      <c r="CY644" s="1407"/>
      <c r="CZ644" s="1407"/>
      <c r="DA644" s="1407"/>
      <c r="DB644" s="1407"/>
      <c r="DC644" s="1407">
        <f>SUM(DC634:DG643)</f>
        <v>0</v>
      </c>
      <c r="DD644" s="1407"/>
      <c r="DE644" s="1407"/>
      <c r="DF644" s="1407"/>
      <c r="DG644" s="1407"/>
      <c r="DH644" s="1407">
        <f>SUM(DH634:DL643)</f>
        <v>0</v>
      </c>
      <c r="DI644" s="1407"/>
      <c r="DJ644" s="1407"/>
      <c r="DK644" s="1407"/>
      <c r="DL644" s="1407"/>
      <c r="DM644" s="1407">
        <f>SUM(DM634:DQ643)</f>
        <v>0</v>
      </c>
      <c r="DN644" s="1407"/>
      <c r="DO644" s="1407"/>
      <c r="DP644" s="1407"/>
      <c r="DQ644" s="1407"/>
      <c r="DR644" s="1407">
        <f>SUM(DR634:DV643)</f>
        <v>0</v>
      </c>
      <c r="DS644" s="1407"/>
      <c r="DT644" s="1407"/>
      <c r="DU644" s="1407"/>
      <c r="DV644" s="1407"/>
      <c r="DX644" s="1406" t="e">
        <f t="shared" si="23"/>
        <v>#VALUE!</v>
      </c>
      <c r="DY644" s="1406"/>
      <c r="DZ644" s="1406"/>
      <c r="EA644" s="1406"/>
      <c r="EB644" s="1406"/>
      <c r="EC644" s="1406" t="e">
        <f t="shared" si="24"/>
        <v>#VALUE!</v>
      </c>
      <c r="ED644" s="1406"/>
      <c r="EE644" s="1406"/>
      <c r="EF644" s="1406"/>
      <c r="EG644" s="1406"/>
      <c r="EH644" s="1406" t="e">
        <f t="shared" si="25"/>
        <v>#VALUE!</v>
      </c>
      <c r="EI644" s="1406"/>
      <c r="EJ644" s="1406"/>
      <c r="EK644" s="1406"/>
      <c r="EL644" s="1406"/>
      <c r="EM644" s="1406" t="e">
        <f t="shared" si="26"/>
        <v>#VALUE!</v>
      </c>
      <c r="EN644" s="1406"/>
      <c r="EO644" s="1406"/>
      <c r="EP644" s="1406"/>
      <c r="EQ644" s="1406"/>
      <c r="ER644" s="1406" t="e">
        <f t="shared" si="27"/>
        <v>#VALUE!</v>
      </c>
      <c r="ES644" s="1406"/>
      <c r="ET644" s="1406"/>
      <c r="EU644" s="1406"/>
      <c r="EV644" s="1406"/>
      <c r="EW644" s="1406" t="e">
        <f t="shared" si="28"/>
        <v>#VALUE!</v>
      </c>
      <c r="EX644" s="1406"/>
      <c r="EY644" s="1406"/>
      <c r="EZ644" s="1406"/>
      <c r="FA644" s="1406"/>
    </row>
    <row r="645" spans="1:157" ht="12.95" customHeight="1">
      <c r="A645" s="22"/>
      <c r="B645" t="s">
        <v>20</v>
      </c>
      <c r="N645" s="1359" t="s">
        <v>555</v>
      </c>
      <c r="O645" s="1359"/>
      <c r="T645" s="22"/>
      <c r="U645" t="s">
        <v>20</v>
      </c>
      <c r="AG645" s="1359" t="s">
        <v>555</v>
      </c>
      <c r="AH645" s="1359"/>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6" t="e">
        <f t="shared" si="23"/>
        <v>#VALUE!</v>
      </c>
      <c r="DY645" s="1406"/>
      <c r="DZ645" s="1406"/>
      <c r="EA645" s="1406"/>
      <c r="EB645" s="1406"/>
      <c r="EC645" s="1406" t="e">
        <f t="shared" si="24"/>
        <v>#VALUE!</v>
      </c>
      <c r="ED645" s="1406"/>
      <c r="EE645" s="1406"/>
      <c r="EF645" s="1406"/>
      <c r="EG645" s="1406"/>
      <c r="EH645" s="1406" t="e">
        <f t="shared" si="25"/>
        <v>#VALUE!</v>
      </c>
      <c r="EI645" s="1406"/>
      <c r="EJ645" s="1406"/>
      <c r="EK645" s="1406"/>
      <c r="EL645" s="1406"/>
      <c r="EM645" s="1406" t="e">
        <f t="shared" si="26"/>
        <v>#VALUE!</v>
      </c>
      <c r="EN645" s="1406"/>
      <c r="EO645" s="1406"/>
      <c r="EP645" s="1406"/>
      <c r="EQ645" s="1406"/>
      <c r="ER645" s="1406" t="e">
        <f t="shared" si="27"/>
        <v>#VALUE!</v>
      </c>
      <c r="ES645" s="1406"/>
      <c r="ET645" s="1406"/>
      <c r="EU645" s="1406"/>
      <c r="EV645" s="1406"/>
      <c r="EW645" s="1406" t="e">
        <f t="shared" si="28"/>
        <v>#VALUE!</v>
      </c>
      <c r="EX645" s="1406"/>
      <c r="EY645" s="1406"/>
      <c r="EZ645" s="1406"/>
      <c r="FA645" s="1406"/>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6">
        <f>SUM(CS644:DV644)</f>
        <v>0</v>
      </c>
      <c r="DS646" s="1406"/>
      <c r="DT646" s="1406"/>
      <c r="DU646" s="1406"/>
      <c r="DV646" s="1406"/>
      <c r="DX646" s="1406" t="e">
        <f t="shared" si="23"/>
        <v>#VALUE!</v>
      </c>
      <c r="DY646" s="1406"/>
      <c r="DZ646" s="1406"/>
      <c r="EA646" s="1406"/>
      <c r="EB646" s="1406"/>
      <c r="EC646" s="1406" t="e">
        <f t="shared" si="24"/>
        <v>#VALUE!</v>
      </c>
      <c r="ED646" s="1406"/>
      <c r="EE646" s="1406"/>
      <c r="EF646" s="1406"/>
      <c r="EG646" s="1406"/>
      <c r="EH646" s="1406" t="e">
        <f t="shared" si="25"/>
        <v>#VALUE!</v>
      </c>
      <c r="EI646" s="1406"/>
      <c r="EJ646" s="1406"/>
      <c r="EK646" s="1406"/>
      <c r="EL646" s="1406"/>
      <c r="EM646" s="1406" t="e">
        <f t="shared" si="26"/>
        <v>#VALUE!</v>
      </c>
      <c r="EN646" s="1406"/>
      <c r="EO646" s="1406"/>
      <c r="EP646" s="1406"/>
      <c r="EQ646" s="1406"/>
      <c r="ER646" s="1406" t="e">
        <f t="shared" si="27"/>
        <v>#VALUE!</v>
      </c>
      <c r="ES646" s="1406"/>
      <c r="ET646" s="1406"/>
      <c r="EU646" s="1406"/>
      <c r="EV646" s="1406"/>
      <c r="EW646" s="1406" t="e">
        <f t="shared" si="28"/>
        <v>#VALUE!</v>
      </c>
      <c r="EX646" s="1406"/>
      <c r="EY646" s="1406"/>
      <c r="EZ646" s="1406"/>
      <c r="FA646" s="1406"/>
    </row>
    <row r="647" spans="1:157" ht="12.95" customHeight="1">
      <c r="A647" s="55" t="s">
        <v>120</v>
      </c>
      <c r="B647" t="s">
        <v>473</v>
      </c>
      <c r="G647" s="1363" t="str">
        <f>C625</f>
        <v>USA Multi-Family Development, Inc.</v>
      </c>
      <c r="H647" s="1363"/>
      <c r="I647" s="1363"/>
      <c r="J647" s="1363"/>
      <c r="K647" s="1363"/>
      <c r="L647" s="1363"/>
      <c r="M647" s="1363"/>
      <c r="N647" s="1363"/>
      <c r="O647" s="1363"/>
      <c r="P647" s="1363"/>
      <c r="Q647" s="1363"/>
      <c r="R647" s="1363"/>
      <c r="T647" s="55" t="s">
        <v>591</v>
      </c>
      <c r="U647" t="s">
        <v>473</v>
      </c>
      <c r="Z647" s="1363" t="str">
        <f>C626</f>
        <v>NOI During Construction</v>
      </c>
      <c r="AA647" s="1363"/>
      <c r="AB647" s="1363"/>
      <c r="AC647" s="1363"/>
      <c r="AD647" s="1363"/>
      <c r="AE647" s="1363"/>
      <c r="AF647" s="1363"/>
      <c r="AG647" s="1363"/>
      <c r="AH647" s="1363"/>
      <c r="AI647" s="1363"/>
      <c r="AJ647" s="1363"/>
      <c r="AK647" s="1363"/>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6" t="e">
        <f t="shared" si="23"/>
        <v>#VALUE!</v>
      </c>
      <c r="DY647" s="1406"/>
      <c r="DZ647" s="1406"/>
      <c r="EA647" s="1406"/>
      <c r="EB647" s="1406"/>
      <c r="EC647" s="1406" t="e">
        <f t="shared" si="24"/>
        <v>#VALUE!</v>
      </c>
      <c r="ED647" s="1406"/>
      <c r="EE647" s="1406"/>
      <c r="EF647" s="1406"/>
      <c r="EG647" s="1406"/>
      <c r="EH647" s="1406" t="e">
        <f t="shared" si="25"/>
        <v>#VALUE!</v>
      </c>
      <c r="EI647" s="1406"/>
      <c r="EJ647" s="1406"/>
      <c r="EK647" s="1406"/>
      <c r="EL647" s="1406"/>
      <c r="EM647" s="1406" t="e">
        <f t="shared" si="26"/>
        <v>#VALUE!</v>
      </c>
      <c r="EN647" s="1406"/>
      <c r="EO647" s="1406"/>
      <c r="EP647" s="1406"/>
      <c r="EQ647" s="1406"/>
      <c r="ER647" s="1406" t="e">
        <f t="shared" si="27"/>
        <v>#VALUE!</v>
      </c>
      <c r="ES647" s="1406"/>
      <c r="ET647" s="1406"/>
      <c r="EU647" s="1406"/>
      <c r="EV647" s="1406"/>
      <c r="EW647" s="1406" t="e">
        <f t="shared" si="28"/>
        <v>#VALUE!</v>
      </c>
      <c r="EX647" s="1406"/>
      <c r="EY647" s="1406"/>
      <c r="EZ647" s="1406"/>
      <c r="FA647" s="1406"/>
    </row>
    <row r="648" spans="1:157" ht="12.95" customHeight="1">
      <c r="A648" s="22"/>
      <c r="B648" t="s">
        <v>86</v>
      </c>
      <c r="G648" s="1358" t="s">
        <v>2651</v>
      </c>
      <c r="H648" s="1358"/>
      <c r="I648" s="1358"/>
      <c r="J648" s="1358"/>
      <c r="K648" s="1358"/>
      <c r="L648" s="1358"/>
      <c r="M648" s="1358"/>
      <c r="N648" s="1358"/>
      <c r="O648" s="1358"/>
      <c r="P648" s="1358"/>
      <c r="Q648" s="1358"/>
      <c r="R648" s="1358"/>
      <c r="T648" s="22"/>
      <c r="U648" t="s">
        <v>86</v>
      </c>
      <c r="Z648" s="1358" t="s">
        <v>2651</v>
      </c>
      <c r="AA648" s="1358"/>
      <c r="AB648" s="1358"/>
      <c r="AC648" s="1358"/>
      <c r="AD648" s="1358"/>
      <c r="AE648" s="1358"/>
      <c r="AF648" s="1358"/>
      <c r="AG648" s="1358"/>
      <c r="AH648" s="1358"/>
      <c r="AI648" s="1358"/>
      <c r="AJ648" s="1358"/>
      <c r="AK648" s="1358"/>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6" t="e">
        <f t="shared" si="23"/>
        <v>#VALUE!</v>
      </c>
      <c r="DY648" s="1406"/>
      <c r="DZ648" s="1406"/>
      <c r="EA648" s="1406"/>
      <c r="EB648" s="1406"/>
      <c r="EC648" s="1406" t="e">
        <f t="shared" si="24"/>
        <v>#VALUE!</v>
      </c>
      <c r="ED648" s="1406"/>
      <c r="EE648" s="1406"/>
      <c r="EF648" s="1406"/>
      <c r="EG648" s="1406"/>
      <c r="EH648" s="1406" t="e">
        <f t="shared" si="25"/>
        <v>#VALUE!</v>
      </c>
      <c r="EI648" s="1406"/>
      <c r="EJ648" s="1406"/>
      <c r="EK648" s="1406"/>
      <c r="EL648" s="1406"/>
      <c r="EM648" s="1406" t="e">
        <f t="shared" si="26"/>
        <v>#VALUE!</v>
      </c>
      <c r="EN648" s="1406"/>
      <c r="EO648" s="1406"/>
      <c r="EP648" s="1406"/>
      <c r="EQ648" s="1406"/>
      <c r="ER648" s="1406" t="e">
        <f t="shared" si="27"/>
        <v>#VALUE!</v>
      </c>
      <c r="ES648" s="1406"/>
      <c r="ET648" s="1406"/>
      <c r="EU648" s="1406"/>
      <c r="EV648" s="1406"/>
      <c r="EW648" s="1406" t="e">
        <f t="shared" si="28"/>
        <v>#VALUE!</v>
      </c>
      <c r="EX648" s="1406"/>
      <c r="EY648" s="1406"/>
      <c r="EZ648" s="1406"/>
      <c r="FA648" s="1406"/>
    </row>
    <row r="649" spans="1:157" ht="12.95" customHeight="1">
      <c r="A649" s="22"/>
      <c r="B649" t="s">
        <v>590</v>
      </c>
      <c r="G649" s="1398" t="s">
        <v>2638</v>
      </c>
      <c r="H649" s="1398"/>
      <c r="I649" s="1398"/>
      <c r="J649" s="1398"/>
      <c r="K649" s="1398"/>
      <c r="L649" s="1398"/>
      <c r="M649" s="1398"/>
      <c r="N649" s="1398"/>
      <c r="O649" s="1398"/>
      <c r="P649" s="1398"/>
      <c r="Q649" s="1398"/>
      <c r="R649" s="1398"/>
      <c r="T649" s="22"/>
      <c r="U649" t="s">
        <v>590</v>
      </c>
      <c r="Z649" s="1398" t="s">
        <v>2638</v>
      </c>
      <c r="AA649" s="1398"/>
      <c r="AB649" s="1398"/>
      <c r="AC649" s="1398"/>
      <c r="AD649" s="1398"/>
      <c r="AE649" s="1398"/>
      <c r="AF649" s="1398"/>
      <c r="AG649" s="1398"/>
      <c r="AH649" s="1398"/>
      <c r="AI649" s="1398"/>
      <c r="AJ649" s="1398"/>
      <c r="AK649" s="1398"/>
      <c r="AZ649" s="34"/>
      <c r="BA649" s="34"/>
      <c r="BB649" s="34"/>
      <c r="BC649" s="34"/>
      <c r="BD649" s="34"/>
      <c r="BE649" s="34"/>
      <c r="BF649" s="34"/>
      <c r="BG649" s="34"/>
      <c r="BH649" s="34"/>
      <c r="BI649" s="34"/>
      <c r="BJ649" s="34"/>
      <c r="BK649" s="34"/>
      <c r="BL649" s="34"/>
      <c r="BM649" s="34"/>
      <c r="BN649" s="1411">
        <f>BN621+BN630+BN644</f>
        <v>0</v>
      </c>
      <c r="BO649" s="1412"/>
      <c r="BP649" s="1412"/>
      <c r="BQ649" s="1412"/>
      <c r="BR649" s="1413"/>
      <c r="BS649" s="1411">
        <f>BS621+BS630+BS644</f>
        <v>111</v>
      </c>
      <c r="BT649" s="1412"/>
      <c r="BU649" s="1412"/>
      <c r="BV649" s="1412"/>
      <c r="BW649" s="1413"/>
      <c r="BX649" s="1411">
        <f>BX621+BX630+BX644</f>
        <v>55</v>
      </c>
      <c r="BY649" s="1412"/>
      <c r="BZ649" s="1412"/>
      <c r="CA649" s="1412"/>
      <c r="CB649" s="1413"/>
      <c r="CC649" s="1411">
        <f>CC621+CC630+CC644</f>
        <v>0</v>
      </c>
      <c r="CD649" s="1412"/>
      <c r="CE649" s="1412"/>
      <c r="CF649" s="1412"/>
      <c r="CG649" s="1413"/>
      <c r="CH649" s="1411">
        <f>CH621+CH630+CH644</f>
        <v>0</v>
      </c>
      <c r="CI649" s="1412"/>
      <c r="CJ649" s="1412"/>
      <c r="CK649" s="1412"/>
      <c r="CL649" s="1413"/>
      <c r="CM649" s="1415">
        <f>CM644+CM630+CM621</f>
        <v>0</v>
      </c>
      <c r="CN649" s="1416"/>
      <c r="CO649" s="1416"/>
      <c r="CP649" s="1416"/>
      <c r="CQ649" s="1417"/>
      <c r="CR649" s="3"/>
      <c r="CS649" s="897">
        <f>CS623+CS647</f>
        <v>217</v>
      </c>
      <c r="CT649" s="57" t="s">
        <v>2127</v>
      </c>
      <c r="CU649" s="3"/>
      <c r="CV649" s="3"/>
      <c r="CW649" s="3"/>
      <c r="CX649" s="3"/>
      <c r="CY649" s="3"/>
      <c r="CZ649" s="3"/>
      <c r="DA649" s="3"/>
      <c r="DB649" s="3"/>
      <c r="DC649" s="3"/>
      <c r="DD649" s="3"/>
      <c r="DE649" s="3"/>
      <c r="DF649" s="3"/>
      <c r="DX649" s="1406">
        <f>SUMIF(DX624:EB648,"&gt;0")</f>
        <v>0</v>
      </c>
      <c r="DY649" s="1406"/>
      <c r="DZ649" s="1406"/>
      <c r="EA649" s="1406"/>
      <c r="EB649" s="1406"/>
      <c r="EC649" s="1406">
        <f>SUMIF(EC624:EG648,"&gt;0")</f>
        <v>1445.2882882882882</v>
      </c>
      <c r="ED649" s="1406"/>
      <c r="EE649" s="1406"/>
      <c r="EF649" s="1406"/>
      <c r="EG649" s="1406"/>
      <c r="EH649" s="1406">
        <f>SUMIF(EH624:EL648,"&gt;0")</f>
        <v>1714.2452830188679</v>
      </c>
      <c r="EI649" s="1406"/>
      <c r="EJ649" s="1406"/>
      <c r="EK649" s="1406"/>
      <c r="EL649" s="1406"/>
      <c r="EM649" s="1406">
        <f>SUMIF(EM624:EQ648,"&gt;0")</f>
        <v>0</v>
      </c>
      <c r="EN649" s="1406"/>
      <c r="EO649" s="1406"/>
      <c r="EP649" s="1406"/>
      <c r="EQ649" s="1406"/>
      <c r="ER649" s="1406">
        <f>SUMIF(ER624:EV648,"&gt;0")</f>
        <v>0</v>
      </c>
      <c r="ES649" s="1406"/>
      <c r="ET649" s="1406"/>
      <c r="EU649" s="1406"/>
      <c r="EV649" s="1406"/>
      <c r="EW649" s="1406">
        <f>SUMIF(EW624:FA648,"&gt;0")</f>
        <v>0</v>
      </c>
      <c r="EX649" s="1406"/>
      <c r="EY649" s="1406"/>
      <c r="EZ649" s="1406"/>
      <c r="FA649" s="1406"/>
    </row>
    <row r="650" spans="1:157" ht="12.95" customHeight="1">
      <c r="A650" s="22"/>
      <c r="B650" t="s">
        <v>17</v>
      </c>
      <c r="G650" s="1398" t="s">
        <v>2706</v>
      </c>
      <c r="H650" s="1398"/>
      <c r="I650" s="1398"/>
      <c r="J650" s="1398"/>
      <c r="K650" s="1398"/>
      <c r="L650" s="1398"/>
      <c r="M650" s="1398"/>
      <c r="N650" s="1398"/>
      <c r="O650" s="1398"/>
      <c r="P650" s="1398"/>
      <c r="Q650" s="1398"/>
      <c r="R650" s="1398"/>
      <c r="T650" s="22"/>
      <c r="U650" t="s">
        <v>17</v>
      </c>
      <c r="Z650" s="1398" t="s">
        <v>2706</v>
      </c>
      <c r="AA650" s="1398"/>
      <c r="AB650" s="1398"/>
      <c r="AC650" s="1398"/>
      <c r="AD650" s="1398"/>
      <c r="AE650" s="1398"/>
      <c r="AF650" s="1398"/>
      <c r="AG650" s="1398"/>
      <c r="AH650" s="1398"/>
      <c r="AI650" s="1398"/>
      <c r="AJ650" s="1398"/>
      <c r="AK650" s="139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60">
        <v>9167736060</v>
      </c>
      <c r="H651" s="1360"/>
      <c r="I651" s="1360"/>
      <c r="J651" s="1360"/>
      <c r="K651" s="1360"/>
      <c r="L651" s="1360"/>
      <c r="O651" s="33" t="s">
        <v>208</v>
      </c>
      <c r="P651" s="1362"/>
      <c r="Q651" s="1362"/>
      <c r="R651" s="1362"/>
      <c r="T651" s="22"/>
      <c r="U651" t="s">
        <v>318</v>
      </c>
      <c r="Z651" s="1360">
        <v>9167736060</v>
      </c>
      <c r="AA651" s="1360"/>
      <c r="AB651" s="1360"/>
      <c r="AC651" s="1360"/>
      <c r="AD651" s="1360"/>
      <c r="AE651" s="1360"/>
      <c r="AH651" s="33" t="s">
        <v>208</v>
      </c>
      <c r="AI651" s="1362"/>
      <c r="AJ651" s="1362"/>
      <c r="AK651" s="13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88" t="s">
        <v>1922</v>
      </c>
      <c r="I652" s="1358"/>
      <c r="J652" s="1358"/>
      <c r="K652" s="1358"/>
      <c r="L652" s="1358"/>
      <c r="M652" s="1358"/>
      <c r="N652" s="1358"/>
      <c r="O652" s="1358"/>
      <c r="P652" s="1358"/>
      <c r="Q652" s="1358"/>
      <c r="R652" s="1358"/>
      <c r="T652" s="22"/>
      <c r="U652" t="s">
        <v>18</v>
      </c>
      <c r="AA652" s="1388" t="s">
        <v>2707</v>
      </c>
      <c r="AB652" s="1358"/>
      <c r="AC652" s="1358"/>
      <c r="AD652" s="1358"/>
      <c r="AE652" s="1358"/>
      <c r="AF652" s="1358"/>
      <c r="AG652" s="1358"/>
      <c r="AH652" s="1358"/>
      <c r="AI652" s="1358"/>
      <c r="AJ652" s="1358"/>
      <c r="AK652" s="1358"/>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9" t="s">
        <v>555</v>
      </c>
      <c r="O653" s="1359"/>
      <c r="T653" s="22"/>
      <c r="U653" t="s">
        <v>20</v>
      </c>
      <c r="AG653" s="1359" t="s">
        <v>555</v>
      </c>
      <c r="AH653" s="1359"/>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63" t="str">
        <f>C627</f>
        <v>Safehold, Inc.</v>
      </c>
      <c r="H655" s="1363"/>
      <c r="I655" s="1363"/>
      <c r="J655" s="1363"/>
      <c r="K655" s="1363"/>
      <c r="L655" s="1363"/>
      <c r="M655" s="1363"/>
      <c r="N655" s="1363"/>
      <c r="O655" s="1363"/>
      <c r="P655" s="1363"/>
      <c r="Q655" s="1363"/>
      <c r="R655" s="1363"/>
      <c r="T655" s="55" t="s">
        <v>594</v>
      </c>
      <c r="U655" t="s">
        <v>473</v>
      </c>
      <c r="Z655" s="1363" t="str">
        <f>C628</f>
        <v>WNC - Solar Credits</v>
      </c>
      <c r="AA655" s="1363"/>
      <c r="AB655" s="1363"/>
      <c r="AC655" s="1363"/>
      <c r="AD655" s="1363"/>
      <c r="AE655" s="1363"/>
      <c r="AF655" s="1363"/>
      <c r="AG655" s="1363"/>
      <c r="AH655" s="1363"/>
      <c r="AI655" s="1363"/>
      <c r="AJ655" s="1363"/>
      <c r="AK655" s="1363"/>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88" t="s">
        <v>2725</v>
      </c>
      <c r="H656" s="1358"/>
      <c r="I656" s="1358"/>
      <c r="J656" s="1358"/>
      <c r="K656" s="1358"/>
      <c r="L656" s="1358"/>
      <c r="M656" s="1358"/>
      <c r="N656" s="1358"/>
      <c r="O656" s="1358"/>
      <c r="P656" s="1358"/>
      <c r="Q656" s="1358"/>
      <c r="R656" s="1358"/>
      <c r="T656" s="22"/>
      <c r="U656" t="s">
        <v>86</v>
      </c>
      <c r="Z656" s="1358" t="s">
        <v>2682</v>
      </c>
      <c r="AA656" s="1358"/>
      <c r="AB656" s="1358"/>
      <c r="AC656" s="1358"/>
      <c r="AD656" s="1358"/>
      <c r="AE656" s="1358"/>
      <c r="AF656" s="1358"/>
      <c r="AG656" s="1358"/>
      <c r="AH656" s="1358"/>
      <c r="AI656" s="1358"/>
      <c r="AJ656" s="1358"/>
      <c r="AK656" s="1358"/>
      <c r="AZ656" s="3"/>
      <c r="BA656" s="118">
        <f t="shared" ref="BA656:BA680" si="42">IF($G714=0,"N/A",VLOOKUP($T$189,TC_Rent,(MATCH($B714,bedrooms,FALSE))))</f>
        <v>2540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88" t="s">
        <v>2726</v>
      </c>
      <c r="H657" s="1358"/>
      <c r="I657" s="1358"/>
      <c r="J657" s="1358"/>
      <c r="K657" s="1358"/>
      <c r="L657" s="1358"/>
      <c r="M657" s="1358"/>
      <c r="N657" s="1358"/>
      <c r="O657" s="1358"/>
      <c r="P657" s="1358"/>
      <c r="Q657" s="1358"/>
      <c r="R657" s="1358"/>
      <c r="T657" s="22"/>
      <c r="U657" t="s">
        <v>590</v>
      </c>
      <c r="Z657" s="1398" t="s">
        <v>2709</v>
      </c>
      <c r="AA657" s="1398"/>
      <c r="AB657" s="1398"/>
      <c r="AC657" s="1398"/>
      <c r="AD657" s="1398"/>
      <c r="AE657" s="1398"/>
      <c r="AF657" s="1398"/>
      <c r="AG657" s="1398"/>
      <c r="AH657" s="1398"/>
      <c r="AI657" s="1398"/>
      <c r="AJ657" s="1398"/>
      <c r="AK657" s="1398"/>
      <c r="AZ657" s="3"/>
      <c r="BA657" s="118">
        <f t="shared" si="42"/>
        <v>2540</v>
      </c>
      <c r="BB657" s="3"/>
      <c r="BC657" s="3"/>
      <c r="BD657" s="3"/>
      <c r="BE657" s="3"/>
      <c r="BF657" s="218"/>
      <c r="BG657" s="315">
        <f t="shared" ref="BG657:BG681" si="43">G714</f>
        <v>11</v>
      </c>
      <c r="BH657" s="319">
        <f>BG657/$BG$682</f>
        <v>6.7073170731707321E-2</v>
      </c>
      <c r="BI657" s="320">
        <f t="shared" ref="BI657:BI681" si="44">IF(BH657=0," ",BH657*AC714)</f>
        <v>2.0121951219512196E-2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88" t="s">
        <v>2724</v>
      </c>
      <c r="H658" s="1358"/>
      <c r="I658" s="1358"/>
      <c r="J658" s="1358"/>
      <c r="K658" s="1358"/>
      <c r="L658" s="1358"/>
      <c r="M658" s="1358"/>
      <c r="N658" s="1358"/>
      <c r="O658" s="1358"/>
      <c r="P658" s="1358"/>
      <c r="Q658" s="1358"/>
      <c r="R658" s="1358"/>
      <c r="T658" s="22"/>
      <c r="U658" t="s">
        <v>17</v>
      </c>
      <c r="Z658" s="1398" t="s">
        <v>2684</v>
      </c>
      <c r="AA658" s="1398"/>
      <c r="AB658" s="1398"/>
      <c r="AC658" s="1398"/>
      <c r="AD658" s="1398"/>
      <c r="AE658" s="1398"/>
      <c r="AF658" s="1398"/>
      <c r="AG658" s="1398"/>
      <c r="AH658" s="1398"/>
      <c r="AI658" s="1398"/>
      <c r="AJ658" s="1398"/>
      <c r="AK658" s="1398"/>
      <c r="AZ658" s="3"/>
      <c r="BA658" s="118">
        <f t="shared" si="42"/>
        <v>2540</v>
      </c>
      <c r="BB658" s="3"/>
      <c r="BC658" s="3"/>
      <c r="BD658" s="3"/>
      <c r="BE658" s="3"/>
      <c r="BF658" s="218"/>
      <c r="BG658" s="316">
        <f t="shared" si="43"/>
        <v>22</v>
      </c>
      <c r="BH658" s="319">
        <f t="shared" ref="BH658:BH681" si="45">BG658/$BG$682</f>
        <v>0.13414634146341464</v>
      </c>
      <c r="BI658" s="320">
        <f t="shared" si="44"/>
        <v>6.7073170731707321E-2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61">
        <v>3103155580</v>
      </c>
      <c r="H659" s="1361"/>
      <c r="I659" s="1361"/>
      <c r="J659" s="1361"/>
      <c r="K659" s="1361"/>
      <c r="L659" s="1361"/>
      <c r="O659" s="33" t="s">
        <v>208</v>
      </c>
      <c r="P659" s="1362"/>
      <c r="Q659" s="1362"/>
      <c r="R659" s="1362"/>
      <c r="T659" s="22"/>
      <c r="U659" t="s">
        <v>318</v>
      </c>
      <c r="Z659" s="1360" t="s">
        <v>2708</v>
      </c>
      <c r="AA659" s="1361"/>
      <c r="AB659" s="1361"/>
      <c r="AC659" s="1361"/>
      <c r="AD659" s="1361"/>
      <c r="AE659" s="1361"/>
      <c r="AH659" s="33" t="s">
        <v>208</v>
      </c>
      <c r="AI659" s="1362"/>
      <c r="AJ659" s="1362"/>
      <c r="AK659" s="1362"/>
      <c r="AZ659" s="3"/>
      <c r="BA659" s="118">
        <f t="shared" si="42"/>
        <v>2540</v>
      </c>
      <c r="BB659" s="3"/>
      <c r="BC659" s="3"/>
      <c r="BD659" s="3"/>
      <c r="BE659" s="3"/>
      <c r="BF659" s="218"/>
      <c r="BG659" s="316">
        <f t="shared" si="43"/>
        <v>22</v>
      </c>
      <c r="BH659" s="319">
        <f t="shared" si="45"/>
        <v>0.13414634146341464</v>
      </c>
      <c r="BI659" s="320">
        <f t="shared" si="44"/>
        <v>8.0487804878048783E-2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88" t="s">
        <v>302</v>
      </c>
      <c r="I660" s="1358"/>
      <c r="J660" s="1358"/>
      <c r="K660" s="1358"/>
      <c r="L660" s="1358"/>
      <c r="M660" s="1358"/>
      <c r="N660" s="1358"/>
      <c r="O660" s="1358"/>
      <c r="P660" s="1358"/>
      <c r="Q660" s="1358"/>
      <c r="R660" s="1358"/>
      <c r="T660" s="22"/>
      <c r="U660" t="s">
        <v>18</v>
      </c>
      <c r="AA660" s="1358" t="s">
        <v>2717</v>
      </c>
      <c r="AB660" s="1358"/>
      <c r="AC660" s="1358"/>
      <c r="AD660" s="1358"/>
      <c r="AE660" s="1358"/>
      <c r="AF660" s="1358"/>
      <c r="AG660" s="1358"/>
      <c r="AH660" s="1358"/>
      <c r="AI660" s="1358"/>
      <c r="AJ660" s="1358"/>
      <c r="AK660" s="1358"/>
      <c r="AZ660" s="3"/>
      <c r="BA660" s="118">
        <f t="shared" si="42"/>
        <v>3050</v>
      </c>
      <c r="BB660" s="3"/>
      <c r="BC660" s="3"/>
      <c r="BD660" s="3"/>
      <c r="BE660" s="3"/>
      <c r="BF660" s="218"/>
      <c r="BG660" s="316">
        <f t="shared" si="43"/>
        <v>56</v>
      </c>
      <c r="BH660" s="319">
        <f t="shared" si="45"/>
        <v>0.34146341463414637</v>
      </c>
      <c r="BI660" s="320">
        <f t="shared" si="44"/>
        <v>0.23902439024390243</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9" t="s">
        <v>555</v>
      </c>
      <c r="O661" s="1359"/>
      <c r="T661" s="22"/>
      <c r="U661" t="s">
        <v>20</v>
      </c>
      <c r="AG661" s="1359" t="s">
        <v>555</v>
      </c>
      <c r="AH661" s="1359"/>
      <c r="AZ661" s="3"/>
      <c r="BA661" s="118">
        <f t="shared" si="42"/>
        <v>3050</v>
      </c>
      <c r="BB661" s="3"/>
      <c r="BC661" s="3"/>
      <c r="BD661" s="3"/>
      <c r="BE661" s="3"/>
      <c r="BF661" s="218"/>
      <c r="BG661" s="316">
        <f t="shared" si="43"/>
        <v>6</v>
      </c>
      <c r="BH661" s="319">
        <f t="shared" si="45"/>
        <v>3.6585365853658534E-2</v>
      </c>
      <c r="BI661" s="320">
        <f t="shared" si="44"/>
        <v>1.097560975609756E-2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3050</v>
      </c>
      <c r="BB662" s="3"/>
      <c r="BC662" s="3"/>
      <c r="BD662" s="3"/>
      <c r="BE662" s="3"/>
      <c r="BF662" s="218"/>
      <c r="BG662" s="316">
        <f t="shared" si="43"/>
        <v>10</v>
      </c>
      <c r="BH662" s="319">
        <f t="shared" si="45"/>
        <v>6.097560975609756E-2</v>
      </c>
      <c r="BI662" s="320">
        <f t="shared" si="44"/>
        <v>3.048780487804878E-2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63">
        <f>C629</f>
        <v>0</v>
      </c>
      <c r="H663" s="1363"/>
      <c r="I663" s="1363"/>
      <c r="J663" s="1363"/>
      <c r="K663" s="1363"/>
      <c r="L663" s="1363"/>
      <c r="M663" s="1363"/>
      <c r="N663" s="1363"/>
      <c r="O663" s="1363"/>
      <c r="P663" s="1363"/>
      <c r="Q663" s="1363"/>
      <c r="R663" s="1363"/>
      <c r="T663" s="55" t="s">
        <v>466</v>
      </c>
      <c r="U663" t="s">
        <v>473</v>
      </c>
      <c r="Z663" s="1363">
        <f>C630</f>
        <v>0</v>
      </c>
      <c r="AA663" s="1363"/>
      <c r="AB663" s="1363"/>
      <c r="AC663" s="1363"/>
      <c r="AD663" s="1363"/>
      <c r="AE663" s="1363"/>
      <c r="AF663" s="1363"/>
      <c r="AG663" s="1363"/>
      <c r="AH663" s="1363"/>
      <c r="AI663" s="1363"/>
      <c r="AJ663" s="1363"/>
      <c r="AK663" s="1363"/>
      <c r="AZ663" s="3"/>
      <c r="BA663" s="118">
        <f t="shared" si="42"/>
        <v>3050</v>
      </c>
      <c r="BB663" s="3"/>
      <c r="BC663" s="3"/>
      <c r="BD663" s="3"/>
      <c r="BE663" s="3"/>
      <c r="BF663" s="218"/>
      <c r="BG663" s="316">
        <f t="shared" si="43"/>
        <v>10</v>
      </c>
      <c r="BH663" s="319">
        <f t="shared" si="45"/>
        <v>6.097560975609756E-2</v>
      </c>
      <c r="BI663" s="320">
        <f t="shared" si="44"/>
        <v>3.6585365853658534E-2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8"/>
      <c r="H664" s="1358"/>
      <c r="I664" s="1358"/>
      <c r="J664" s="1358"/>
      <c r="K664" s="1358"/>
      <c r="L664" s="1358"/>
      <c r="M664" s="1358"/>
      <c r="N664" s="1358"/>
      <c r="O664" s="1358"/>
      <c r="P664" s="1358"/>
      <c r="Q664" s="1358"/>
      <c r="R664" s="1358"/>
      <c r="T664" s="22"/>
      <c r="U664" t="s">
        <v>86</v>
      </c>
      <c r="Z664" s="1358"/>
      <c r="AA664" s="1358"/>
      <c r="AB664" s="1358"/>
      <c r="AC664" s="1358"/>
      <c r="AD664" s="1358"/>
      <c r="AE664" s="1358"/>
      <c r="AF664" s="1358"/>
      <c r="AG664" s="1358"/>
      <c r="AH664" s="1358"/>
      <c r="AI664" s="1358"/>
      <c r="AJ664" s="1358"/>
      <c r="AK664" s="1358"/>
      <c r="AZ664" s="3"/>
      <c r="BA664" s="118" t="str">
        <f t="shared" si="42"/>
        <v>N/A</v>
      </c>
      <c r="BB664" s="3"/>
      <c r="BC664" s="3"/>
      <c r="BD664" s="3"/>
      <c r="BE664" s="3"/>
      <c r="BF664" s="218"/>
      <c r="BG664" s="316">
        <f t="shared" si="43"/>
        <v>27</v>
      </c>
      <c r="BH664" s="319">
        <f t="shared" si="45"/>
        <v>0.16463414634146342</v>
      </c>
      <c r="BI664" s="320">
        <f t="shared" si="44"/>
        <v>0.11524390243902438</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8"/>
      <c r="H665" s="1358"/>
      <c r="I665" s="1358"/>
      <c r="J665" s="1358"/>
      <c r="K665" s="1358"/>
      <c r="L665" s="1358"/>
      <c r="M665" s="1358"/>
      <c r="N665" s="1358"/>
      <c r="O665" s="1358"/>
      <c r="P665" s="1358"/>
      <c r="Q665" s="1358"/>
      <c r="R665" s="1358"/>
      <c r="T665" s="22"/>
      <c r="U665" t="s">
        <v>590</v>
      </c>
      <c r="Z665" s="1398"/>
      <c r="AA665" s="1398"/>
      <c r="AB665" s="1398"/>
      <c r="AC665" s="1398"/>
      <c r="AD665" s="1398"/>
      <c r="AE665" s="1398"/>
      <c r="AF665" s="1398"/>
      <c r="AG665" s="1398"/>
      <c r="AH665" s="1398"/>
      <c r="AI665" s="1398"/>
      <c r="AJ665" s="1398"/>
      <c r="AK665" s="1398"/>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8"/>
      <c r="H666" s="1358"/>
      <c r="I666" s="1358"/>
      <c r="J666" s="1358"/>
      <c r="K666" s="1358"/>
      <c r="L666" s="1358"/>
      <c r="M666" s="1358"/>
      <c r="N666" s="1358"/>
      <c r="O666" s="1358"/>
      <c r="P666" s="1358"/>
      <c r="Q666" s="1358"/>
      <c r="R666" s="1358"/>
      <c r="T666" s="22"/>
      <c r="U666" t="s">
        <v>17</v>
      </c>
      <c r="Z666" s="1398"/>
      <c r="AA666" s="1398"/>
      <c r="AB666" s="1398"/>
      <c r="AC666" s="1398"/>
      <c r="AD666" s="1398"/>
      <c r="AE666" s="1398"/>
      <c r="AF666" s="1398"/>
      <c r="AG666" s="1398"/>
      <c r="AH666" s="1398"/>
      <c r="AI666" s="1398"/>
      <c r="AJ666" s="1398"/>
      <c r="AK666" s="1398"/>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61"/>
      <c r="H667" s="1361"/>
      <c r="I667" s="1361"/>
      <c r="J667" s="1361"/>
      <c r="K667" s="1361"/>
      <c r="L667" s="1361"/>
      <c r="O667" s="33" t="s">
        <v>208</v>
      </c>
      <c r="P667" s="1362"/>
      <c r="Q667" s="1362"/>
      <c r="R667" s="1362"/>
      <c r="T667" s="22"/>
      <c r="U667" t="s">
        <v>318</v>
      </c>
      <c r="Z667" s="1361"/>
      <c r="AA667" s="1361"/>
      <c r="AB667" s="1361"/>
      <c r="AC667" s="1361"/>
      <c r="AD667" s="1361"/>
      <c r="AE667" s="1361"/>
      <c r="AH667" s="33" t="s">
        <v>208</v>
      </c>
      <c r="AI667" s="1362"/>
      <c r="AJ667" s="1362"/>
      <c r="AK667" s="136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8"/>
      <c r="I668" s="1358"/>
      <c r="J668" s="1358"/>
      <c r="K668" s="1358"/>
      <c r="L668" s="1358"/>
      <c r="M668" s="1358"/>
      <c r="N668" s="1358"/>
      <c r="O668" s="1358"/>
      <c r="P668" s="1358"/>
      <c r="Q668" s="1358"/>
      <c r="R668" s="1358"/>
      <c r="T668" s="22"/>
      <c r="U668" t="s">
        <v>18</v>
      </c>
      <c r="AA668" s="1358"/>
      <c r="AB668" s="1358"/>
      <c r="AC668" s="1358"/>
      <c r="AD668" s="1358"/>
      <c r="AE668" s="1358"/>
      <c r="AF668" s="1358"/>
      <c r="AG668" s="1358"/>
      <c r="AH668" s="1358"/>
      <c r="AI668" s="1358"/>
      <c r="AJ668" s="1358"/>
      <c r="AK668" s="1358"/>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9" t="s">
        <v>679</v>
      </c>
      <c r="O669" s="1359"/>
      <c r="T669" s="22"/>
      <c r="U669" t="s">
        <v>20</v>
      </c>
      <c r="AG669" s="1359" t="s">
        <v>679</v>
      </c>
      <c r="AH669" s="1359"/>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63">
        <f>C631</f>
        <v>0</v>
      </c>
      <c r="H671" s="1363"/>
      <c r="I671" s="1363"/>
      <c r="J671" s="1363"/>
      <c r="K671" s="1363"/>
      <c r="L671" s="1363"/>
      <c r="M671" s="1363"/>
      <c r="N671" s="1363"/>
      <c r="O671" s="1363"/>
      <c r="P671" s="1363"/>
      <c r="Q671" s="1363"/>
      <c r="R671" s="1363"/>
      <c r="T671" s="55" t="s">
        <v>656</v>
      </c>
      <c r="U671" t="s">
        <v>473</v>
      </c>
      <c r="Z671" s="1363">
        <f>C632</f>
        <v>0</v>
      </c>
      <c r="AA671" s="1363"/>
      <c r="AB671" s="1363"/>
      <c r="AC671" s="1363"/>
      <c r="AD671" s="1363"/>
      <c r="AE671" s="1363"/>
      <c r="AF671" s="1363"/>
      <c r="AG671" s="1363"/>
      <c r="AH671" s="1363"/>
      <c r="AI671" s="1363"/>
      <c r="AJ671" s="1363"/>
      <c r="AK671" s="136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8"/>
      <c r="H672" s="1358"/>
      <c r="I672" s="1358"/>
      <c r="J672" s="1358"/>
      <c r="K672" s="1358"/>
      <c r="L672" s="1358"/>
      <c r="M672" s="1358"/>
      <c r="N672" s="1358"/>
      <c r="O672" s="1358"/>
      <c r="P672" s="1358"/>
      <c r="Q672" s="1358"/>
      <c r="R672" s="1358"/>
      <c r="T672" s="22"/>
      <c r="U672" t="s">
        <v>86</v>
      </c>
      <c r="Z672" s="1358"/>
      <c r="AA672" s="1358"/>
      <c r="AB672" s="1358"/>
      <c r="AC672" s="1358"/>
      <c r="AD672" s="1358"/>
      <c r="AE672" s="1358"/>
      <c r="AF672" s="1358"/>
      <c r="AG672" s="1358"/>
      <c r="AH672" s="1358"/>
      <c r="AI672" s="1358"/>
      <c r="AJ672" s="1358"/>
      <c r="AK672" s="1358"/>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8"/>
      <c r="H673" s="1358"/>
      <c r="I673" s="1358"/>
      <c r="J673" s="1358"/>
      <c r="K673" s="1358"/>
      <c r="L673" s="1358"/>
      <c r="M673" s="1358"/>
      <c r="N673" s="1358"/>
      <c r="O673" s="1358"/>
      <c r="P673" s="1358"/>
      <c r="Q673" s="1358"/>
      <c r="R673" s="1358"/>
      <c r="T673" s="22"/>
      <c r="U673" t="s">
        <v>590</v>
      </c>
      <c r="Z673" s="1398"/>
      <c r="AA673" s="1398"/>
      <c r="AB673" s="1398"/>
      <c r="AC673" s="1398"/>
      <c r="AD673" s="1398"/>
      <c r="AE673" s="1398"/>
      <c r="AF673" s="1398"/>
      <c r="AG673" s="1398"/>
      <c r="AH673" s="1398"/>
      <c r="AI673" s="1398"/>
      <c r="AJ673" s="1398"/>
      <c r="AK673" s="1398"/>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8"/>
      <c r="H674" s="1358"/>
      <c r="I674" s="1358"/>
      <c r="J674" s="1358"/>
      <c r="K674" s="1358"/>
      <c r="L674" s="1358"/>
      <c r="M674" s="1358"/>
      <c r="N674" s="1358"/>
      <c r="O674" s="1358"/>
      <c r="P674" s="1358"/>
      <c r="Q674" s="1358"/>
      <c r="R674" s="1358"/>
      <c r="T674" s="22"/>
      <c r="U674" t="s">
        <v>17</v>
      </c>
      <c r="Z674" s="1398"/>
      <c r="AA674" s="1398"/>
      <c r="AB674" s="1398"/>
      <c r="AC674" s="1398"/>
      <c r="AD674" s="1398"/>
      <c r="AE674" s="1398"/>
      <c r="AF674" s="1398"/>
      <c r="AG674" s="1398"/>
      <c r="AH674" s="1398"/>
      <c r="AI674" s="1398"/>
      <c r="AJ674" s="1398"/>
      <c r="AK674" s="1398"/>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1"/>
      <c r="H675" s="1361"/>
      <c r="I675" s="1361"/>
      <c r="J675" s="1361"/>
      <c r="K675" s="1361"/>
      <c r="L675" s="1361"/>
      <c r="O675" s="33" t="s">
        <v>208</v>
      </c>
      <c r="P675" s="1362"/>
      <c r="Q675" s="1362"/>
      <c r="R675" s="1362"/>
      <c r="T675" s="22"/>
      <c r="U675" t="s">
        <v>318</v>
      </c>
      <c r="Z675" s="1361"/>
      <c r="AA675" s="1361"/>
      <c r="AB675" s="1361"/>
      <c r="AC675" s="1361"/>
      <c r="AD675" s="1361"/>
      <c r="AE675" s="1361"/>
      <c r="AH675" s="33" t="s">
        <v>208</v>
      </c>
      <c r="AI675" s="1362"/>
      <c r="AJ675" s="1362"/>
      <c r="AK675" s="13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8"/>
      <c r="I676" s="1358"/>
      <c r="J676" s="1358"/>
      <c r="K676" s="1358"/>
      <c r="L676" s="1358"/>
      <c r="M676" s="1358"/>
      <c r="N676" s="1358"/>
      <c r="O676" s="1358"/>
      <c r="P676" s="1358"/>
      <c r="Q676" s="1358"/>
      <c r="R676" s="1358"/>
      <c r="T676" s="22"/>
      <c r="U676" t="s">
        <v>18</v>
      </c>
      <c r="AA676" s="1358"/>
      <c r="AB676" s="1358"/>
      <c r="AC676" s="1358"/>
      <c r="AD676" s="1358"/>
      <c r="AE676" s="1358"/>
      <c r="AF676" s="1358"/>
      <c r="AG676" s="1358"/>
      <c r="AH676" s="1358"/>
      <c r="AI676" s="1358"/>
      <c r="AJ676" s="1358"/>
      <c r="AK676" s="1358"/>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9" t="s">
        <v>679</v>
      </c>
      <c r="O677" s="1359"/>
      <c r="T677" s="22"/>
      <c r="U677" t="s">
        <v>20</v>
      </c>
      <c r="AG677" s="1359" t="s">
        <v>679</v>
      </c>
      <c r="AH677" s="1359"/>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63">
        <f>C633</f>
        <v>0</v>
      </c>
      <c r="H679" s="1363"/>
      <c r="I679" s="1363"/>
      <c r="J679" s="1363"/>
      <c r="K679" s="1363"/>
      <c r="L679" s="1363"/>
      <c r="M679" s="1363"/>
      <c r="N679" s="1363"/>
      <c r="O679" s="1363"/>
      <c r="P679" s="1363"/>
      <c r="Q679" s="1363"/>
      <c r="R679" s="1363"/>
      <c r="T679" s="55" t="s">
        <v>365</v>
      </c>
      <c r="U679" t="s">
        <v>473</v>
      </c>
      <c r="Z679" s="1363">
        <f>C634</f>
        <v>0</v>
      </c>
      <c r="AA679" s="1363"/>
      <c r="AB679" s="1363"/>
      <c r="AC679" s="1363"/>
      <c r="AD679" s="1363"/>
      <c r="AE679" s="1363"/>
      <c r="AF679" s="1363"/>
      <c r="AG679" s="1363"/>
      <c r="AH679" s="1363"/>
      <c r="AI679" s="1363"/>
      <c r="AJ679" s="1363"/>
      <c r="AK679" s="136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8"/>
      <c r="H680" s="1358"/>
      <c r="I680" s="1358"/>
      <c r="J680" s="1358"/>
      <c r="K680" s="1358"/>
      <c r="L680" s="1358"/>
      <c r="M680" s="1358"/>
      <c r="N680" s="1358"/>
      <c r="O680" s="1358"/>
      <c r="P680" s="1358"/>
      <c r="Q680" s="1358"/>
      <c r="R680" s="1358"/>
      <c r="T680" s="22"/>
      <c r="U680" t="s">
        <v>86</v>
      </c>
      <c r="Z680" s="1358"/>
      <c r="AA680" s="1358"/>
      <c r="AB680" s="1358"/>
      <c r="AC680" s="1358"/>
      <c r="AD680" s="1358"/>
      <c r="AE680" s="1358"/>
      <c r="AF680" s="1358"/>
      <c r="AG680" s="1358"/>
      <c r="AH680" s="1358"/>
      <c r="AI680" s="1358"/>
      <c r="AJ680" s="1358"/>
      <c r="AK680" s="1358"/>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8"/>
      <c r="H681" s="1358"/>
      <c r="I681" s="1358"/>
      <c r="J681" s="1358"/>
      <c r="K681" s="1358"/>
      <c r="L681" s="1358"/>
      <c r="M681" s="1358"/>
      <c r="N681" s="1358"/>
      <c r="O681" s="1358"/>
      <c r="P681" s="1358"/>
      <c r="Q681" s="1358"/>
      <c r="R681" s="1358"/>
      <c r="U681" t="s">
        <v>590</v>
      </c>
      <c r="Z681" s="1398"/>
      <c r="AA681" s="1398"/>
      <c r="AB681" s="1398"/>
      <c r="AC681" s="1398"/>
      <c r="AD681" s="1398"/>
      <c r="AE681" s="1398"/>
      <c r="AF681" s="1398"/>
      <c r="AG681" s="1398"/>
      <c r="AH681" s="1398"/>
      <c r="AI681" s="1398"/>
      <c r="AJ681" s="1398"/>
      <c r="AK681" s="1398"/>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8"/>
      <c r="H682" s="1358"/>
      <c r="I682" s="1358"/>
      <c r="J682" s="1358"/>
      <c r="K682" s="1358"/>
      <c r="L682" s="1358"/>
      <c r="M682" s="1358"/>
      <c r="N682" s="1358"/>
      <c r="O682" s="1358"/>
      <c r="P682" s="1358"/>
      <c r="Q682" s="1358"/>
      <c r="R682" s="1358"/>
      <c r="U682" t="s">
        <v>17</v>
      </c>
      <c r="Z682" s="1398"/>
      <c r="AA682" s="1398"/>
      <c r="AB682" s="1398"/>
      <c r="AC682" s="1398"/>
      <c r="AD682" s="1398"/>
      <c r="AE682" s="1398"/>
      <c r="AF682" s="1398"/>
      <c r="AG682" s="1398"/>
      <c r="AH682" s="1398"/>
      <c r="AI682" s="1398"/>
      <c r="AJ682" s="1398"/>
      <c r="AK682" s="1398"/>
      <c r="AZ682" s="3"/>
      <c r="BA682" s="3"/>
      <c r="BB682" s="3"/>
      <c r="BC682" s="3"/>
      <c r="BD682" s="3"/>
      <c r="BF682" s="312" t="s">
        <v>933</v>
      </c>
      <c r="BG682" s="321">
        <f>SUM(BG657:BG681)</f>
        <v>164</v>
      </c>
      <c r="BH682" s="322">
        <f>SUM(BH657:BH681)</f>
        <v>1</v>
      </c>
      <c r="BI682" s="322">
        <f>SUM(BI657:BI681)</f>
        <v>0.60000000000000009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1"/>
      <c r="H683" s="1361"/>
      <c r="I683" s="1361"/>
      <c r="J683" s="1361"/>
      <c r="K683" s="1361"/>
      <c r="L683" s="1361"/>
      <c r="O683" s="33" t="s">
        <v>208</v>
      </c>
      <c r="P683" s="1362"/>
      <c r="Q683" s="1362"/>
      <c r="R683" s="1362"/>
      <c r="U683" t="s">
        <v>318</v>
      </c>
      <c r="Z683" s="1361"/>
      <c r="AA683" s="1361"/>
      <c r="AB683" s="1361"/>
      <c r="AC683" s="1361"/>
      <c r="AD683" s="1361"/>
      <c r="AE683" s="1361"/>
      <c r="AH683" s="33" t="s">
        <v>208</v>
      </c>
      <c r="AI683" s="1362"/>
      <c r="AJ683" s="1362"/>
      <c r="AK683" s="136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8"/>
      <c r="I684" s="1358"/>
      <c r="J684" s="1358"/>
      <c r="K684" s="1358"/>
      <c r="L684" s="1358"/>
      <c r="M684" s="1358"/>
      <c r="N684" s="1358"/>
      <c r="O684" s="1358"/>
      <c r="P684" s="1358"/>
      <c r="Q684" s="1358"/>
      <c r="R684" s="1358"/>
      <c r="U684" t="s">
        <v>18</v>
      </c>
      <c r="AA684" s="1358"/>
      <c r="AB684" s="1358"/>
      <c r="AC684" s="1358"/>
      <c r="AD684" s="1358"/>
      <c r="AE684" s="1358"/>
      <c r="AF684" s="1358"/>
      <c r="AG684" s="1358"/>
      <c r="AH684" s="1358"/>
      <c r="AI684" s="1358"/>
      <c r="AJ684" s="1358"/>
      <c r="AK684" s="1358"/>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9" t="s">
        <v>679</v>
      </c>
      <c r="O685" s="1359"/>
      <c r="U685" t="s">
        <v>20</v>
      </c>
      <c r="AG685" s="1359" t="s">
        <v>679</v>
      </c>
      <c r="AH685" s="1359"/>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9" t="s">
        <v>555</v>
      </c>
      <c r="AF689" s="1359"/>
      <c r="AZ689" s="34"/>
      <c r="BA689" s="34"/>
      <c r="BB689" s="34"/>
      <c r="BC689" s="34"/>
      <c r="BD689" s="34"/>
      <c r="BE689" s="34"/>
      <c r="BF689" s="34"/>
      <c r="BG689" s="315">
        <f t="shared" ref="BG689:BG713" si="46">G714</f>
        <v>11</v>
      </c>
      <c r="BH689" s="319">
        <f>BG689/$BG$714</f>
        <v>6.7073170731707321E-2</v>
      </c>
      <c r="BI689" s="320">
        <f t="shared" ref="BI689:BI713" si="47">IF(BH689=0," ",BH689*AH714)</f>
        <v>2.0121951219512196E-2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9" t="s">
        <v>555</v>
      </c>
      <c r="AF690" s="1359"/>
      <c r="AZ690" s="34"/>
      <c r="BA690" s="34"/>
      <c r="BB690" s="34"/>
      <c r="BC690" s="34"/>
      <c r="BD690" s="34"/>
      <c r="BE690" s="34"/>
      <c r="BF690" s="34"/>
      <c r="BG690" s="316">
        <f t="shared" si="46"/>
        <v>22</v>
      </c>
      <c r="BH690" s="319">
        <f t="shared" ref="BH690:BH713" si="48">BG690/$BG$714</f>
        <v>0.13414634146341464</v>
      </c>
      <c r="BI690" s="320">
        <f t="shared" si="47"/>
        <v>6.7073170731707321E-2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43">
        <v>45069</v>
      </c>
      <c r="AF691" s="1643"/>
      <c r="AG691" s="1643"/>
      <c r="AH691" s="1643"/>
      <c r="AI691" s="1643"/>
      <c r="AZ691" s="34"/>
      <c r="BA691" s="34"/>
      <c r="BB691" s="34"/>
      <c r="BC691" s="34"/>
      <c r="BD691" s="34"/>
      <c r="BE691" s="3"/>
      <c r="BF691" s="3"/>
      <c r="BG691" s="316">
        <f t="shared" si="46"/>
        <v>22</v>
      </c>
      <c r="BH691" s="319">
        <f t="shared" si="48"/>
        <v>0.13414634146341464</v>
      </c>
      <c r="BI691" s="320">
        <f t="shared" si="47"/>
        <v>8.0487804878048783E-2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45">
        <v>45161</v>
      </c>
      <c r="AF692" s="1645"/>
      <c r="AG692" s="1645"/>
      <c r="AH692" s="1645"/>
      <c r="AI692" s="1645"/>
      <c r="AZ692" s="34"/>
      <c r="BA692" s="34"/>
      <c r="BB692" s="34"/>
      <c r="BC692" s="34"/>
      <c r="BD692" s="34"/>
      <c r="BE692" s="3"/>
      <c r="BF692" s="2"/>
      <c r="BG692" s="316">
        <f t="shared" si="46"/>
        <v>56</v>
      </c>
      <c r="BH692" s="319">
        <f t="shared" si="48"/>
        <v>0.34146341463414637</v>
      </c>
      <c r="BI692" s="320">
        <f t="shared" si="47"/>
        <v>0.23902439024390243</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6</v>
      </c>
      <c r="BH693" s="319">
        <f t="shared" si="48"/>
        <v>3.6585365853658534E-2</v>
      </c>
      <c r="BI693" s="320">
        <f t="shared" si="47"/>
        <v>1.097560975609756E-2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43">
        <v>45306</v>
      </c>
      <c r="AF694" s="1643"/>
      <c r="AG694" s="1643"/>
      <c r="AH694" s="1643"/>
      <c r="AI694" s="1643"/>
      <c r="AZ694" s="3"/>
      <c r="BA694" s="3"/>
      <c r="BB694" s="3"/>
      <c r="BC694" s="3"/>
      <c r="BD694" s="3"/>
      <c r="BE694" s="3"/>
      <c r="BF694" s="3"/>
      <c r="BG694" s="316">
        <f t="shared" si="46"/>
        <v>10</v>
      </c>
      <c r="BH694" s="319">
        <f t="shared" si="48"/>
        <v>6.097560975609756E-2</v>
      </c>
      <c r="BI694" s="320">
        <f t="shared" si="47"/>
        <v>3.048780487804878E-2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9">
        <v>0.5454</v>
      </c>
      <c r="AF695" s="1679"/>
      <c r="AG695" s="1679"/>
      <c r="AH695" s="1679"/>
      <c r="AI695" s="1679"/>
      <c r="AZ695" s="3"/>
      <c r="BA695" s="3"/>
      <c r="BB695" s="3"/>
      <c r="BC695" s="3"/>
      <c r="BD695" s="3"/>
      <c r="BE695" s="3"/>
      <c r="BF695" s="3"/>
      <c r="BG695" s="316">
        <f t="shared" si="46"/>
        <v>10</v>
      </c>
      <c r="BH695" s="319">
        <f t="shared" si="48"/>
        <v>6.097560975609756E-2</v>
      </c>
      <c r="BI695" s="320">
        <f t="shared" si="47"/>
        <v>3.6585365853658534E-2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63" t="str">
        <f>H334</f>
        <v>California Municipal Finance Authority</v>
      </c>
      <c r="X696" s="1363"/>
      <c r="Y696" s="1363"/>
      <c r="Z696" s="1363"/>
      <c r="AA696" s="1363"/>
      <c r="AB696" s="1363"/>
      <c r="AC696" s="1363"/>
      <c r="AD696" s="1363"/>
      <c r="AE696" s="1363"/>
      <c r="AF696" s="1363"/>
      <c r="AG696" s="1363"/>
      <c r="AH696" s="1363"/>
      <c r="AI696" s="1363"/>
      <c r="AJ696" s="1363"/>
      <c r="AK696" s="1363"/>
      <c r="AZ696" s="3"/>
      <c r="BA696" s="3"/>
      <c r="BB696" s="3"/>
      <c r="BC696" s="3"/>
      <c r="BD696" s="3"/>
      <c r="BE696" s="3"/>
      <c r="BF696" s="3"/>
      <c r="BG696" s="316">
        <f t="shared" si="46"/>
        <v>27</v>
      </c>
      <c r="BH696" s="319">
        <f t="shared" si="48"/>
        <v>0.16463414634146342</v>
      </c>
      <c r="BI696" s="320">
        <f t="shared" si="47"/>
        <v>0.11524390243902438</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9" t="s">
        <v>679</v>
      </c>
      <c r="AF698" s="1359"/>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8"/>
      <c r="X699" s="1358"/>
      <c r="Y699" s="1358"/>
      <c r="Z699" s="1358"/>
      <c r="AA699" s="1358"/>
      <c r="AB699" s="1358"/>
      <c r="AC699" s="1358"/>
      <c r="AD699" s="1358"/>
      <c r="AE699" s="1358"/>
      <c r="AF699" s="1358"/>
      <c r="AG699" s="1358"/>
      <c r="AH699" s="1358"/>
      <c r="AI699" s="1358"/>
      <c r="AJ699" s="1358"/>
      <c r="AK699" s="1358"/>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8"/>
      <c r="K700" s="1358"/>
      <c r="L700" s="1358"/>
      <c r="M700" s="1358"/>
      <c r="N700" s="1358"/>
      <c r="O700" s="1358"/>
      <c r="P700" s="1358"/>
      <c r="Q700" s="1358"/>
      <c r="R700" s="1358"/>
      <c r="S700" s="1358"/>
      <c r="T700" s="1358"/>
      <c r="U700" s="1358"/>
      <c r="V700" s="1358"/>
      <c r="W700" s="1358"/>
      <c r="X700" s="1358"/>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1"/>
      <c r="K701" s="1361"/>
      <c r="L701" s="1361"/>
      <c r="M701" s="1361"/>
      <c r="N701" s="1361"/>
      <c r="O701" s="1361"/>
      <c r="P701" s="4" t="s">
        <v>208</v>
      </c>
      <c r="Q701" s="4"/>
      <c r="R701" s="1362"/>
      <c r="S701" s="1362"/>
      <c r="T701" s="136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8" t="s">
        <v>309</v>
      </c>
      <c r="X702" s="1358"/>
      <c r="Y702" s="1358"/>
      <c r="Z702" s="1358"/>
      <c r="AA702" s="1358"/>
      <c r="AB702" s="1358"/>
      <c r="AC702" s="1358"/>
      <c r="AD702" s="1358"/>
      <c r="AE702" s="1358"/>
      <c r="AF702" s="1358"/>
      <c r="AG702" s="1358"/>
      <c r="AH702" s="1358"/>
      <c r="AI702" s="1358"/>
      <c r="AJ702" s="1358"/>
      <c r="AK702" s="1358"/>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8" t="s">
        <v>336</v>
      </c>
      <c r="F703" s="1358"/>
      <c r="G703" s="1358"/>
      <c r="H703" s="1358"/>
      <c r="I703" s="1358"/>
      <c r="J703" s="1358"/>
      <c r="K703" s="1358"/>
      <c r="L703" s="1358"/>
      <c r="M703" s="1358"/>
      <c r="N703" s="1358"/>
      <c r="O703" s="1358"/>
      <c r="P703" s="1358"/>
      <c r="Q703" s="1358"/>
      <c r="R703" s="1358"/>
      <c r="S703" s="1358"/>
      <c r="T703" s="1358"/>
      <c r="U703" s="1358"/>
      <c r="V703" s="1358"/>
      <c r="W703" s="1358"/>
      <c r="X703" s="1358"/>
      <c r="Y703" s="1358"/>
      <c r="Z703" s="1358"/>
      <c r="AA703" s="1358"/>
      <c r="AB703" s="1358"/>
      <c r="AC703" s="1358"/>
      <c r="AD703" s="1358"/>
      <c r="AE703" s="1358"/>
      <c r="AF703" s="1358"/>
      <c r="AG703" s="1358"/>
      <c r="AH703" s="1358"/>
      <c r="AI703" s="1358"/>
      <c r="AJ703" s="1358"/>
      <c r="AK703" s="1358"/>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5" t="s">
        <v>391</v>
      </c>
      <c r="C710" s="1390"/>
      <c r="D710" s="1390"/>
      <c r="E710" s="1390"/>
      <c r="F710" s="1391"/>
      <c r="G710" s="1405" t="s">
        <v>287</v>
      </c>
      <c r="H710" s="1390"/>
      <c r="I710" s="1390"/>
      <c r="J710" s="1391"/>
      <c r="K710" s="1637" t="s">
        <v>1939</v>
      </c>
      <c r="L710" s="1638"/>
      <c r="M710" s="1638"/>
      <c r="N710" s="1639"/>
      <c r="O710" s="1405" t="s">
        <v>457</v>
      </c>
      <c r="P710" s="1390"/>
      <c r="Q710" s="1390"/>
      <c r="R710" s="1390"/>
      <c r="S710" s="1391"/>
      <c r="T710" s="1389" t="s">
        <v>2336</v>
      </c>
      <c r="U710" s="1390"/>
      <c r="V710" s="1390"/>
      <c r="W710" s="1391"/>
      <c r="X710" s="1389" t="s">
        <v>2338</v>
      </c>
      <c r="Y710" s="1390"/>
      <c r="Z710" s="1390"/>
      <c r="AA710" s="1390"/>
      <c r="AB710" s="1391"/>
      <c r="AC710" s="1389" t="s">
        <v>2337</v>
      </c>
      <c r="AD710" s="1390"/>
      <c r="AE710" s="1390"/>
      <c r="AF710" s="1390"/>
      <c r="AG710" s="1391"/>
      <c r="AH710" s="1389" t="s">
        <v>2339</v>
      </c>
      <c r="AI710" s="1390"/>
      <c r="AJ710" s="1391"/>
      <c r="AK710" s="1389" t="s">
        <v>2373</v>
      </c>
      <c r="AL710" s="1390"/>
      <c r="AM710" s="1390"/>
      <c r="AN710" s="1390"/>
      <c r="AO710" s="13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2"/>
      <c r="C711" s="1393"/>
      <c r="D711" s="1393"/>
      <c r="E711" s="1393"/>
      <c r="F711" s="1394"/>
      <c r="G711" s="1392"/>
      <c r="H711" s="1393"/>
      <c r="I711" s="1393"/>
      <c r="J711" s="1394"/>
      <c r="K711" s="1640"/>
      <c r="L711" s="1641"/>
      <c r="M711" s="1641"/>
      <c r="N711" s="1642"/>
      <c r="O711" s="1392"/>
      <c r="P711" s="1393"/>
      <c r="Q711" s="1393"/>
      <c r="R711" s="1393"/>
      <c r="S711" s="1394"/>
      <c r="T711" s="1392"/>
      <c r="U711" s="1393"/>
      <c r="V711" s="1393"/>
      <c r="W711" s="1394"/>
      <c r="X711" s="1392"/>
      <c r="Y711" s="1393"/>
      <c r="Z711" s="1393"/>
      <c r="AA711" s="1393"/>
      <c r="AB711" s="1394"/>
      <c r="AC711" s="1392"/>
      <c r="AD711" s="1393"/>
      <c r="AE711" s="1393"/>
      <c r="AF711" s="1393"/>
      <c r="AG711" s="1394"/>
      <c r="AH711" s="1392"/>
      <c r="AI711" s="1393"/>
      <c r="AJ711" s="1394"/>
      <c r="AK711" s="1392"/>
      <c r="AL711" s="1393"/>
      <c r="AM711" s="1393"/>
      <c r="AN711" s="1393"/>
      <c r="AO711" s="13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2"/>
      <c r="C712" s="1393"/>
      <c r="D712" s="1393"/>
      <c r="E712" s="1393"/>
      <c r="F712" s="1394"/>
      <c r="G712" s="1392"/>
      <c r="H712" s="1393"/>
      <c r="I712" s="1393"/>
      <c r="J712" s="1394"/>
      <c r="K712" s="1640"/>
      <c r="L712" s="1641"/>
      <c r="M712" s="1641"/>
      <c r="N712" s="1642"/>
      <c r="O712" s="1392"/>
      <c r="P712" s="1393"/>
      <c r="Q712" s="1393"/>
      <c r="R712" s="1393"/>
      <c r="S712" s="1394"/>
      <c r="T712" s="1392"/>
      <c r="U712" s="1393"/>
      <c r="V712" s="1393"/>
      <c r="W712" s="1394"/>
      <c r="X712" s="1392"/>
      <c r="Y712" s="1393"/>
      <c r="Z712" s="1393"/>
      <c r="AA712" s="1393"/>
      <c r="AB712" s="1394"/>
      <c r="AC712" s="1392"/>
      <c r="AD712" s="1393"/>
      <c r="AE712" s="1393"/>
      <c r="AF712" s="1393"/>
      <c r="AG712" s="1394"/>
      <c r="AH712" s="1392"/>
      <c r="AI712" s="1393"/>
      <c r="AJ712" s="1394"/>
      <c r="AK712" s="1392"/>
      <c r="AL712" s="1393"/>
      <c r="AM712" s="1393"/>
      <c r="AN712" s="1393"/>
      <c r="AO712" s="13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95"/>
      <c r="C713" s="1396"/>
      <c r="D713" s="1396"/>
      <c r="E713" s="1396"/>
      <c r="F713" s="1397"/>
      <c r="G713" s="1395"/>
      <c r="H713" s="1396"/>
      <c r="I713" s="1396"/>
      <c r="J713" s="1397"/>
      <c r="K713" s="1640"/>
      <c r="L713" s="1641"/>
      <c r="M713" s="1641"/>
      <c r="N713" s="1642"/>
      <c r="O713" s="1395"/>
      <c r="P713" s="1396"/>
      <c r="Q713" s="1396"/>
      <c r="R713" s="1396"/>
      <c r="S713" s="1397"/>
      <c r="T713" s="1395"/>
      <c r="U713" s="1396"/>
      <c r="V713" s="1396"/>
      <c r="W713" s="1397"/>
      <c r="X713" s="1395"/>
      <c r="Y713" s="1396"/>
      <c r="Z713" s="1396"/>
      <c r="AA713" s="1396"/>
      <c r="AB713" s="1397"/>
      <c r="AC713" s="1395"/>
      <c r="AD713" s="1396"/>
      <c r="AE713" s="1396"/>
      <c r="AF713" s="1396"/>
      <c r="AG713" s="1397"/>
      <c r="AH713" s="1395"/>
      <c r="AI713" s="1396"/>
      <c r="AJ713" s="1397"/>
      <c r="AK713" s="1395"/>
      <c r="AL713" s="1396"/>
      <c r="AM713" s="1396"/>
      <c r="AN713" s="1396"/>
      <c r="AO713" s="13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02" t="s">
        <v>327</v>
      </c>
      <c r="C714" s="1403"/>
      <c r="D714" s="1403"/>
      <c r="E714" s="1403"/>
      <c r="F714" s="1404"/>
      <c r="G714" s="1634">
        <v>11</v>
      </c>
      <c r="H714" s="1635"/>
      <c r="I714" s="1635"/>
      <c r="J714" s="1636"/>
      <c r="K714" s="1567">
        <v>538</v>
      </c>
      <c r="L714" s="1568"/>
      <c r="M714" s="1568"/>
      <c r="N714" s="1569"/>
      <c r="O714" s="1625">
        <v>681</v>
      </c>
      <c r="P714" s="1626"/>
      <c r="Q714" s="1626"/>
      <c r="R714" s="1626"/>
      <c r="S714" s="1627"/>
      <c r="T714" s="1625">
        <v>81</v>
      </c>
      <c r="U714" s="1626"/>
      <c r="V714" s="1626"/>
      <c r="W714" s="1627"/>
      <c r="X714" s="1385">
        <f t="shared" ref="X714:X738" si="49">O714+T714</f>
        <v>762</v>
      </c>
      <c r="Y714" s="1386"/>
      <c r="Z714" s="1386"/>
      <c r="AA714" s="1386"/>
      <c r="AB714" s="1387"/>
      <c r="AC714" s="1399">
        <v>0.3</v>
      </c>
      <c r="AD714" s="1400"/>
      <c r="AE714" s="1400"/>
      <c r="AF714" s="1400"/>
      <c r="AG714" s="1401"/>
      <c r="AH714" s="1379">
        <f t="shared" ref="AH714:AH738" si="50">IF($AC714&gt;0,($X714/$BA656), " ")</f>
        <v>0.3</v>
      </c>
      <c r="AI714" s="1380"/>
      <c r="AJ714" s="1381"/>
      <c r="AK714" s="1376" t="s">
        <v>601</v>
      </c>
      <c r="AL714" s="1377"/>
      <c r="AM714" s="1377"/>
      <c r="AN714" s="1377"/>
      <c r="AO714" s="1378"/>
      <c r="AP714" s="3"/>
      <c r="AQ714" s="3"/>
      <c r="AR714" s="3"/>
      <c r="AS714" s="3"/>
      <c r="AY714" s="1134"/>
      <c r="AZ714" s="1134"/>
      <c r="BA714" s="1134"/>
      <c r="BB714" s="1134"/>
      <c r="BC714" s="1134"/>
      <c r="BD714" s="3"/>
      <c r="BE714" s="3"/>
      <c r="BF714" s="3"/>
      <c r="BG714" s="895">
        <f>SUM(BG689:BG713)</f>
        <v>164</v>
      </c>
      <c r="BH714" s="322">
        <f>SUM(BH689:BH713)</f>
        <v>1</v>
      </c>
      <c r="BI714" s="322">
        <f>SUM(BI689:BI713)</f>
        <v>0.60000000000000009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02" t="s">
        <v>327</v>
      </c>
      <c r="C715" s="1403"/>
      <c r="D715" s="1403"/>
      <c r="E715" s="1403"/>
      <c r="F715" s="1404"/>
      <c r="G715" s="1634">
        <v>22</v>
      </c>
      <c r="H715" s="1635"/>
      <c r="I715" s="1635"/>
      <c r="J715" s="1636"/>
      <c r="K715" s="1567">
        <v>538</v>
      </c>
      <c r="L715" s="1568"/>
      <c r="M715" s="1568"/>
      <c r="N715" s="1569"/>
      <c r="O715" s="1625">
        <v>1189</v>
      </c>
      <c r="P715" s="1626"/>
      <c r="Q715" s="1626"/>
      <c r="R715" s="1626"/>
      <c r="S715" s="1627"/>
      <c r="T715" s="1625">
        <v>81</v>
      </c>
      <c r="U715" s="1626"/>
      <c r="V715" s="1626"/>
      <c r="W715" s="1627"/>
      <c r="X715" s="1385">
        <f t="shared" si="49"/>
        <v>1270</v>
      </c>
      <c r="Y715" s="1386"/>
      <c r="Z715" s="1386"/>
      <c r="AA715" s="1386"/>
      <c r="AB715" s="1387"/>
      <c r="AC715" s="1399">
        <v>0.5</v>
      </c>
      <c r="AD715" s="1400"/>
      <c r="AE715" s="1400"/>
      <c r="AF715" s="1400"/>
      <c r="AG715" s="1401"/>
      <c r="AH715" s="1379">
        <f t="shared" si="50"/>
        <v>0.5</v>
      </c>
      <c r="AI715" s="1380"/>
      <c r="AJ715" s="1381"/>
      <c r="AK715" s="1376" t="s">
        <v>601</v>
      </c>
      <c r="AL715" s="1377"/>
      <c r="AM715" s="1377"/>
      <c r="AN715" s="1377"/>
      <c r="AO715" s="137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2" t="s">
        <v>327</v>
      </c>
      <c r="C716" s="1403"/>
      <c r="D716" s="1403"/>
      <c r="E716" s="1403"/>
      <c r="F716" s="1404"/>
      <c r="G716" s="1634">
        <v>22</v>
      </c>
      <c r="H716" s="1635"/>
      <c r="I716" s="1635"/>
      <c r="J716" s="1636"/>
      <c r="K716" s="1567">
        <v>538</v>
      </c>
      <c r="L716" s="1568"/>
      <c r="M716" s="1568"/>
      <c r="N716" s="1569"/>
      <c r="O716" s="1625">
        <v>1443</v>
      </c>
      <c r="P716" s="1626"/>
      <c r="Q716" s="1626"/>
      <c r="R716" s="1626"/>
      <c r="S716" s="1627"/>
      <c r="T716" s="1625">
        <v>81</v>
      </c>
      <c r="U716" s="1626"/>
      <c r="V716" s="1626"/>
      <c r="W716" s="1627"/>
      <c r="X716" s="1385">
        <f t="shared" si="49"/>
        <v>1524</v>
      </c>
      <c r="Y716" s="1386"/>
      <c r="Z716" s="1386"/>
      <c r="AA716" s="1386"/>
      <c r="AB716" s="1387"/>
      <c r="AC716" s="1399">
        <v>0.6</v>
      </c>
      <c r="AD716" s="1400"/>
      <c r="AE716" s="1400"/>
      <c r="AF716" s="1400"/>
      <c r="AG716" s="1401"/>
      <c r="AH716" s="1379">
        <f t="shared" si="50"/>
        <v>0.6</v>
      </c>
      <c r="AI716" s="1380"/>
      <c r="AJ716" s="1381"/>
      <c r="AK716" s="1376" t="s">
        <v>601</v>
      </c>
      <c r="AL716" s="1377"/>
      <c r="AM716" s="1377"/>
      <c r="AN716" s="1377"/>
      <c r="AO716" s="137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02" t="s">
        <v>327</v>
      </c>
      <c r="C717" s="1403"/>
      <c r="D717" s="1403"/>
      <c r="E717" s="1403"/>
      <c r="F717" s="1404"/>
      <c r="G717" s="1634">
        <v>56</v>
      </c>
      <c r="H717" s="1635"/>
      <c r="I717" s="1635"/>
      <c r="J717" s="1636"/>
      <c r="K717" s="1567">
        <v>538</v>
      </c>
      <c r="L717" s="1568"/>
      <c r="M717" s="1568"/>
      <c r="N717" s="1569"/>
      <c r="O717" s="1625">
        <v>1697</v>
      </c>
      <c r="P717" s="1626"/>
      <c r="Q717" s="1626"/>
      <c r="R717" s="1626"/>
      <c r="S717" s="1627"/>
      <c r="T717" s="1625">
        <v>81</v>
      </c>
      <c r="U717" s="1626"/>
      <c r="V717" s="1626"/>
      <c r="W717" s="1627"/>
      <c r="X717" s="1385">
        <f t="shared" si="49"/>
        <v>1778</v>
      </c>
      <c r="Y717" s="1386"/>
      <c r="Z717" s="1386"/>
      <c r="AA717" s="1386"/>
      <c r="AB717" s="1387"/>
      <c r="AC717" s="1399">
        <v>0.7</v>
      </c>
      <c r="AD717" s="1400"/>
      <c r="AE717" s="1400"/>
      <c r="AF717" s="1400"/>
      <c r="AG717" s="1401"/>
      <c r="AH717" s="1379">
        <f t="shared" si="50"/>
        <v>0.7</v>
      </c>
      <c r="AI717" s="1380"/>
      <c r="AJ717" s="1381"/>
      <c r="AK717" s="1376" t="s">
        <v>601</v>
      </c>
      <c r="AL717" s="1377"/>
      <c r="AM717" s="1377"/>
      <c r="AN717" s="1377"/>
      <c r="AO717" s="137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02" t="s">
        <v>164</v>
      </c>
      <c r="C718" s="1403"/>
      <c r="D718" s="1403"/>
      <c r="E718" s="1403"/>
      <c r="F718" s="1404"/>
      <c r="G718" s="1634">
        <v>6</v>
      </c>
      <c r="H718" s="1635"/>
      <c r="I718" s="1635"/>
      <c r="J718" s="1636"/>
      <c r="K718" s="1567">
        <v>700</v>
      </c>
      <c r="L718" s="1568"/>
      <c r="M718" s="1568"/>
      <c r="N718" s="1569"/>
      <c r="O718" s="1625">
        <v>805</v>
      </c>
      <c r="P718" s="1626"/>
      <c r="Q718" s="1626"/>
      <c r="R718" s="1626"/>
      <c r="S718" s="1627"/>
      <c r="T718" s="1625">
        <v>110</v>
      </c>
      <c r="U718" s="1626"/>
      <c r="V718" s="1626"/>
      <c r="W718" s="1627"/>
      <c r="X718" s="1385">
        <f t="shared" si="49"/>
        <v>915</v>
      </c>
      <c r="Y718" s="1386"/>
      <c r="Z718" s="1386"/>
      <c r="AA718" s="1386"/>
      <c r="AB718" s="1387"/>
      <c r="AC718" s="1399">
        <v>0.3</v>
      </c>
      <c r="AD718" s="1400"/>
      <c r="AE718" s="1400"/>
      <c r="AF718" s="1400"/>
      <c r="AG718" s="1401"/>
      <c r="AH718" s="1379">
        <f t="shared" si="50"/>
        <v>0.3</v>
      </c>
      <c r="AI718" s="1380"/>
      <c r="AJ718" s="1381"/>
      <c r="AK718" s="1376" t="s">
        <v>601</v>
      </c>
      <c r="AL718" s="1377"/>
      <c r="AM718" s="1377"/>
      <c r="AN718" s="1377"/>
      <c r="AO718" s="137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02" t="s">
        <v>164</v>
      </c>
      <c r="C719" s="1403"/>
      <c r="D719" s="1403"/>
      <c r="E719" s="1403"/>
      <c r="F719" s="1404"/>
      <c r="G719" s="1634">
        <v>10</v>
      </c>
      <c r="H719" s="1635"/>
      <c r="I719" s="1635"/>
      <c r="J719" s="1636"/>
      <c r="K719" s="1567">
        <v>700</v>
      </c>
      <c r="L719" s="1568"/>
      <c r="M719" s="1568"/>
      <c r="N719" s="1569"/>
      <c r="O719" s="1625">
        <v>1415</v>
      </c>
      <c r="P719" s="1626"/>
      <c r="Q719" s="1626"/>
      <c r="R719" s="1626"/>
      <c r="S719" s="1627"/>
      <c r="T719" s="1625">
        <v>110</v>
      </c>
      <c r="U719" s="1626"/>
      <c r="V719" s="1626"/>
      <c r="W719" s="1627"/>
      <c r="X719" s="1385">
        <f t="shared" si="49"/>
        <v>1525</v>
      </c>
      <c r="Y719" s="1386"/>
      <c r="Z719" s="1386"/>
      <c r="AA719" s="1386"/>
      <c r="AB719" s="1387"/>
      <c r="AC719" s="1399">
        <v>0.5</v>
      </c>
      <c r="AD719" s="1400"/>
      <c r="AE719" s="1400"/>
      <c r="AF719" s="1400"/>
      <c r="AG719" s="1401"/>
      <c r="AH719" s="1379">
        <f t="shared" si="50"/>
        <v>0.5</v>
      </c>
      <c r="AI719" s="1380"/>
      <c r="AJ719" s="1381"/>
      <c r="AK719" s="1376" t="s">
        <v>601</v>
      </c>
      <c r="AL719" s="1377"/>
      <c r="AM719" s="1377"/>
      <c r="AN719" s="1377"/>
      <c r="AO719" s="137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02" t="s">
        <v>164</v>
      </c>
      <c r="C720" s="1403"/>
      <c r="D720" s="1403"/>
      <c r="E720" s="1403"/>
      <c r="F720" s="1404"/>
      <c r="G720" s="1634">
        <v>10</v>
      </c>
      <c r="H720" s="1635"/>
      <c r="I720" s="1635"/>
      <c r="J720" s="1636"/>
      <c r="K720" s="1567">
        <v>700</v>
      </c>
      <c r="L720" s="1568"/>
      <c r="M720" s="1568"/>
      <c r="N720" s="1569"/>
      <c r="O720" s="1625">
        <v>1720</v>
      </c>
      <c r="P720" s="1626"/>
      <c r="Q720" s="1626"/>
      <c r="R720" s="1626"/>
      <c r="S720" s="1627"/>
      <c r="T720" s="1625">
        <v>110</v>
      </c>
      <c r="U720" s="1626"/>
      <c r="V720" s="1626"/>
      <c r="W720" s="1627"/>
      <c r="X720" s="1385">
        <f t="shared" si="49"/>
        <v>1830</v>
      </c>
      <c r="Y720" s="1386"/>
      <c r="Z720" s="1386"/>
      <c r="AA720" s="1386"/>
      <c r="AB720" s="1387"/>
      <c r="AC720" s="1399">
        <v>0.6</v>
      </c>
      <c r="AD720" s="1400"/>
      <c r="AE720" s="1400"/>
      <c r="AF720" s="1400"/>
      <c r="AG720" s="1401"/>
      <c r="AH720" s="1379">
        <f t="shared" si="50"/>
        <v>0.6</v>
      </c>
      <c r="AI720" s="1380"/>
      <c r="AJ720" s="1381"/>
      <c r="AK720" s="1376" t="s">
        <v>601</v>
      </c>
      <c r="AL720" s="1377"/>
      <c r="AM720" s="1377"/>
      <c r="AN720" s="1377"/>
      <c r="AO720" s="137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02" t="s">
        <v>164</v>
      </c>
      <c r="C721" s="1403"/>
      <c r="D721" s="1403"/>
      <c r="E721" s="1403"/>
      <c r="F721" s="1404"/>
      <c r="G721" s="1634">
        <v>27</v>
      </c>
      <c r="H721" s="1635"/>
      <c r="I721" s="1635"/>
      <c r="J721" s="1636"/>
      <c r="K721" s="1567">
        <v>700</v>
      </c>
      <c r="L721" s="1568"/>
      <c r="M721" s="1568"/>
      <c r="N721" s="1569"/>
      <c r="O721" s="1625">
        <v>2025</v>
      </c>
      <c r="P721" s="1626"/>
      <c r="Q721" s="1626"/>
      <c r="R721" s="1626"/>
      <c r="S721" s="1627"/>
      <c r="T721" s="1625">
        <v>110</v>
      </c>
      <c r="U721" s="1626"/>
      <c r="V721" s="1626"/>
      <c r="W721" s="1627"/>
      <c r="X721" s="1385">
        <f t="shared" si="49"/>
        <v>2135</v>
      </c>
      <c r="Y721" s="1386"/>
      <c r="Z721" s="1386"/>
      <c r="AA721" s="1386"/>
      <c r="AB721" s="1387"/>
      <c r="AC721" s="1399">
        <v>0.7</v>
      </c>
      <c r="AD721" s="1400"/>
      <c r="AE721" s="1400"/>
      <c r="AF721" s="1400"/>
      <c r="AG721" s="1401"/>
      <c r="AH721" s="1379">
        <f t="shared" si="50"/>
        <v>0.7</v>
      </c>
      <c r="AI721" s="1380"/>
      <c r="AJ721" s="1381"/>
      <c r="AK721" s="1376" t="s">
        <v>601</v>
      </c>
      <c r="AL721" s="1377"/>
      <c r="AM721" s="1377"/>
      <c r="AN721" s="1377"/>
      <c r="AO721" s="137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6"/>
      <c r="C722" s="1377"/>
      <c r="D722" s="1377"/>
      <c r="E722" s="1377"/>
      <c r="F722" s="1378"/>
      <c r="G722" s="1573"/>
      <c r="H722" s="1574"/>
      <c r="I722" s="1574"/>
      <c r="J722" s="1575"/>
      <c r="K722" s="1567"/>
      <c r="L722" s="1568"/>
      <c r="M722" s="1568"/>
      <c r="N722" s="1569"/>
      <c r="O722" s="1564"/>
      <c r="P722" s="1565"/>
      <c r="Q722" s="1565"/>
      <c r="R722" s="1565"/>
      <c r="S722" s="1566"/>
      <c r="T722" s="1564"/>
      <c r="U722" s="1565"/>
      <c r="V722" s="1565"/>
      <c r="W722" s="1566"/>
      <c r="X722" s="1385">
        <f t="shared" si="49"/>
        <v>0</v>
      </c>
      <c r="Y722" s="1386"/>
      <c r="Z722" s="1386"/>
      <c r="AA722" s="1386"/>
      <c r="AB722" s="1387"/>
      <c r="AC722" s="1570"/>
      <c r="AD722" s="1571"/>
      <c r="AE722" s="1571"/>
      <c r="AF722" s="1571"/>
      <c r="AG722" s="1572"/>
      <c r="AH722" s="1379" t="str">
        <f t="shared" si="50"/>
        <v xml:space="preserve"> </v>
      </c>
      <c r="AI722" s="1380"/>
      <c r="AJ722" s="1381"/>
      <c r="AK722" s="1376" t="s">
        <v>601</v>
      </c>
      <c r="AL722" s="1377"/>
      <c r="AM722" s="1377"/>
      <c r="AN722" s="1377"/>
      <c r="AO722" s="137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6"/>
      <c r="C723" s="1377"/>
      <c r="D723" s="1377"/>
      <c r="E723" s="1377"/>
      <c r="F723" s="1378"/>
      <c r="G723" s="1573"/>
      <c r="H723" s="1574"/>
      <c r="I723" s="1574"/>
      <c r="J723" s="1575"/>
      <c r="K723" s="1567"/>
      <c r="L723" s="1568"/>
      <c r="M723" s="1568"/>
      <c r="N723" s="1569"/>
      <c r="O723" s="1564"/>
      <c r="P723" s="1565"/>
      <c r="Q723" s="1565"/>
      <c r="R723" s="1565"/>
      <c r="S723" s="1566"/>
      <c r="T723" s="1564"/>
      <c r="U723" s="1565"/>
      <c r="V723" s="1565"/>
      <c r="W723" s="1566"/>
      <c r="X723" s="1385">
        <f t="shared" si="49"/>
        <v>0</v>
      </c>
      <c r="Y723" s="1386"/>
      <c r="Z723" s="1386"/>
      <c r="AA723" s="1386"/>
      <c r="AB723" s="1387"/>
      <c r="AC723" s="1570"/>
      <c r="AD723" s="1571"/>
      <c r="AE723" s="1571"/>
      <c r="AF723" s="1571"/>
      <c r="AG723" s="1572"/>
      <c r="AH723" s="1379" t="str">
        <f t="shared" si="50"/>
        <v xml:space="preserve"> </v>
      </c>
      <c r="AI723" s="1380"/>
      <c r="AJ723" s="1381"/>
      <c r="AK723" s="1376" t="s">
        <v>601</v>
      </c>
      <c r="AL723" s="1377"/>
      <c r="AM723" s="1377"/>
      <c r="AN723" s="1377"/>
      <c r="AO723" s="137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6"/>
      <c r="C724" s="1377"/>
      <c r="D724" s="1377"/>
      <c r="E724" s="1377"/>
      <c r="F724" s="1378"/>
      <c r="G724" s="1573"/>
      <c r="H724" s="1574"/>
      <c r="I724" s="1574"/>
      <c r="J724" s="1575"/>
      <c r="K724" s="1567"/>
      <c r="L724" s="1568"/>
      <c r="M724" s="1568"/>
      <c r="N724" s="1569"/>
      <c r="O724" s="1564"/>
      <c r="P724" s="1565"/>
      <c r="Q724" s="1565"/>
      <c r="R724" s="1565"/>
      <c r="S724" s="1566"/>
      <c r="T724" s="1564"/>
      <c r="U724" s="1565"/>
      <c r="V724" s="1565"/>
      <c r="W724" s="1566"/>
      <c r="X724" s="1385">
        <f t="shared" si="49"/>
        <v>0</v>
      </c>
      <c r="Y724" s="1386"/>
      <c r="Z724" s="1386"/>
      <c r="AA724" s="1386"/>
      <c r="AB724" s="1387"/>
      <c r="AC724" s="1570"/>
      <c r="AD724" s="1571"/>
      <c r="AE724" s="1571"/>
      <c r="AF724" s="1571"/>
      <c r="AG724" s="1572"/>
      <c r="AH724" s="1379" t="str">
        <f t="shared" si="50"/>
        <v xml:space="preserve"> </v>
      </c>
      <c r="AI724" s="1380"/>
      <c r="AJ724" s="1381"/>
      <c r="AK724" s="1376" t="s">
        <v>601</v>
      </c>
      <c r="AL724" s="1377"/>
      <c r="AM724" s="1377"/>
      <c r="AN724" s="1377"/>
      <c r="AO724" s="137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6"/>
      <c r="C725" s="1377"/>
      <c r="D725" s="1377"/>
      <c r="E725" s="1377"/>
      <c r="F725" s="1378"/>
      <c r="G725" s="1573"/>
      <c r="H725" s="1574"/>
      <c r="I725" s="1574"/>
      <c r="J725" s="1575"/>
      <c r="K725" s="1567"/>
      <c r="L725" s="1568"/>
      <c r="M725" s="1568"/>
      <c r="N725" s="1569"/>
      <c r="O725" s="1564"/>
      <c r="P725" s="1565"/>
      <c r="Q725" s="1565"/>
      <c r="R725" s="1565"/>
      <c r="S725" s="1566"/>
      <c r="T725" s="1564"/>
      <c r="U725" s="1565"/>
      <c r="V725" s="1565"/>
      <c r="W725" s="1566"/>
      <c r="X725" s="1385">
        <f t="shared" si="49"/>
        <v>0</v>
      </c>
      <c r="Y725" s="1386"/>
      <c r="Z725" s="1386"/>
      <c r="AA725" s="1386"/>
      <c r="AB725" s="1387"/>
      <c r="AC725" s="1570"/>
      <c r="AD725" s="1571"/>
      <c r="AE725" s="1571"/>
      <c r="AF725" s="1571"/>
      <c r="AG725" s="1572"/>
      <c r="AH725" s="1379" t="str">
        <f t="shared" si="50"/>
        <v xml:space="preserve"> </v>
      </c>
      <c r="AI725" s="1380"/>
      <c r="AJ725" s="1381"/>
      <c r="AK725" s="1376" t="s">
        <v>601</v>
      </c>
      <c r="AL725" s="1377"/>
      <c r="AM725" s="1377"/>
      <c r="AN725" s="1377"/>
      <c r="AO725" s="137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6"/>
      <c r="C726" s="1377"/>
      <c r="D726" s="1377"/>
      <c r="E726" s="1377"/>
      <c r="F726" s="1378"/>
      <c r="G726" s="1573"/>
      <c r="H726" s="1574"/>
      <c r="I726" s="1574"/>
      <c r="J726" s="1575"/>
      <c r="K726" s="1567"/>
      <c r="L726" s="1568"/>
      <c r="M726" s="1568"/>
      <c r="N726" s="1569"/>
      <c r="O726" s="1564"/>
      <c r="P726" s="1565"/>
      <c r="Q726" s="1565"/>
      <c r="R726" s="1565"/>
      <c r="S726" s="1566"/>
      <c r="T726" s="1564"/>
      <c r="U726" s="1565"/>
      <c r="V726" s="1565"/>
      <c r="W726" s="1566"/>
      <c r="X726" s="1385">
        <f t="shared" si="49"/>
        <v>0</v>
      </c>
      <c r="Y726" s="1386"/>
      <c r="Z726" s="1386"/>
      <c r="AA726" s="1386"/>
      <c r="AB726" s="1387"/>
      <c r="AC726" s="1570"/>
      <c r="AD726" s="1571"/>
      <c r="AE726" s="1571"/>
      <c r="AF726" s="1571"/>
      <c r="AG726" s="1572"/>
      <c r="AH726" s="1379" t="str">
        <f t="shared" si="50"/>
        <v xml:space="preserve"> </v>
      </c>
      <c r="AI726" s="1380"/>
      <c r="AJ726" s="1381"/>
      <c r="AK726" s="1376" t="s">
        <v>601</v>
      </c>
      <c r="AL726" s="1377"/>
      <c r="AM726" s="1377"/>
      <c r="AN726" s="1377"/>
      <c r="AO726" s="137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6"/>
      <c r="C727" s="1377"/>
      <c r="D727" s="1377"/>
      <c r="E727" s="1377"/>
      <c r="F727" s="1378"/>
      <c r="G727" s="1573"/>
      <c r="H727" s="1574"/>
      <c r="I727" s="1574"/>
      <c r="J727" s="1575"/>
      <c r="K727" s="1567"/>
      <c r="L727" s="1568"/>
      <c r="M727" s="1568"/>
      <c r="N727" s="1569"/>
      <c r="O727" s="1564"/>
      <c r="P727" s="1565"/>
      <c r="Q727" s="1565"/>
      <c r="R727" s="1565"/>
      <c r="S727" s="1566"/>
      <c r="T727" s="1564"/>
      <c r="U727" s="1565"/>
      <c r="V727" s="1565"/>
      <c r="W727" s="1566"/>
      <c r="X727" s="1385">
        <f t="shared" si="49"/>
        <v>0</v>
      </c>
      <c r="Y727" s="1386"/>
      <c r="Z727" s="1386"/>
      <c r="AA727" s="1386"/>
      <c r="AB727" s="1387"/>
      <c r="AC727" s="1570">
        <v>0</v>
      </c>
      <c r="AD727" s="1571"/>
      <c r="AE727" s="1571"/>
      <c r="AF727" s="1571"/>
      <c r="AG727" s="1572"/>
      <c r="AH727" s="1379" t="str">
        <f t="shared" si="50"/>
        <v xml:space="preserve"> </v>
      </c>
      <c r="AI727" s="1380"/>
      <c r="AJ727" s="1381"/>
      <c r="AK727" s="1376" t="s">
        <v>601</v>
      </c>
      <c r="AL727" s="1377"/>
      <c r="AM727" s="1377"/>
      <c r="AN727" s="1377"/>
      <c r="AO727" s="137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6"/>
      <c r="C728" s="1377"/>
      <c r="D728" s="1377"/>
      <c r="E728" s="1377"/>
      <c r="F728" s="1378"/>
      <c r="G728" s="1573"/>
      <c r="H728" s="1574"/>
      <c r="I728" s="1574"/>
      <c r="J728" s="1575"/>
      <c r="K728" s="1567"/>
      <c r="L728" s="1568"/>
      <c r="M728" s="1568"/>
      <c r="N728" s="1569"/>
      <c r="O728" s="1564"/>
      <c r="P728" s="1565"/>
      <c r="Q728" s="1565"/>
      <c r="R728" s="1565"/>
      <c r="S728" s="1566"/>
      <c r="T728" s="1564"/>
      <c r="U728" s="1565"/>
      <c r="V728" s="1565"/>
      <c r="W728" s="1566"/>
      <c r="X728" s="1385">
        <f t="shared" si="49"/>
        <v>0</v>
      </c>
      <c r="Y728" s="1386"/>
      <c r="Z728" s="1386"/>
      <c r="AA728" s="1386"/>
      <c r="AB728" s="1387"/>
      <c r="AC728" s="1570">
        <v>0</v>
      </c>
      <c r="AD728" s="1571"/>
      <c r="AE728" s="1571"/>
      <c r="AF728" s="1571"/>
      <c r="AG728" s="1572"/>
      <c r="AH728" s="1379" t="str">
        <f t="shared" si="50"/>
        <v xml:space="preserve"> </v>
      </c>
      <c r="AI728" s="1380"/>
      <c r="AJ728" s="1381"/>
      <c r="AK728" s="1376" t="s">
        <v>601</v>
      </c>
      <c r="AL728" s="1377"/>
      <c r="AM728" s="1377"/>
      <c r="AN728" s="1377"/>
      <c r="AO728" s="137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6"/>
      <c r="C729" s="1377"/>
      <c r="D729" s="1377"/>
      <c r="E729" s="1377"/>
      <c r="F729" s="1378"/>
      <c r="G729" s="1573"/>
      <c r="H729" s="1574"/>
      <c r="I729" s="1574"/>
      <c r="J729" s="1575"/>
      <c r="K729" s="1567"/>
      <c r="L729" s="1568"/>
      <c r="M729" s="1568"/>
      <c r="N729" s="1569"/>
      <c r="O729" s="1564"/>
      <c r="P729" s="1565"/>
      <c r="Q729" s="1565"/>
      <c r="R729" s="1565"/>
      <c r="S729" s="1566"/>
      <c r="T729" s="1564"/>
      <c r="U729" s="1565"/>
      <c r="V729" s="1565"/>
      <c r="W729" s="1566"/>
      <c r="X729" s="1385">
        <f t="shared" si="49"/>
        <v>0</v>
      </c>
      <c r="Y729" s="1386"/>
      <c r="Z729" s="1386"/>
      <c r="AA729" s="1386"/>
      <c r="AB729" s="1387"/>
      <c r="AC729" s="1570">
        <v>0</v>
      </c>
      <c r="AD729" s="1571"/>
      <c r="AE729" s="1571"/>
      <c r="AF729" s="1571"/>
      <c r="AG729" s="1572"/>
      <c r="AH729" s="1379" t="str">
        <f t="shared" si="50"/>
        <v xml:space="preserve"> </v>
      </c>
      <c r="AI729" s="1380"/>
      <c r="AJ729" s="1381"/>
      <c r="AK729" s="1376" t="s">
        <v>601</v>
      </c>
      <c r="AL729" s="1377"/>
      <c r="AM729" s="1377"/>
      <c r="AN729" s="1377"/>
      <c r="AO729" s="137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6"/>
      <c r="C730" s="1377"/>
      <c r="D730" s="1377"/>
      <c r="E730" s="1377"/>
      <c r="F730" s="1378"/>
      <c r="G730" s="1573"/>
      <c r="H730" s="1574"/>
      <c r="I730" s="1574"/>
      <c r="J730" s="1575"/>
      <c r="K730" s="1567"/>
      <c r="L730" s="1568"/>
      <c r="M730" s="1568"/>
      <c r="N730" s="1569"/>
      <c r="O730" s="1564"/>
      <c r="P730" s="1565"/>
      <c r="Q730" s="1565"/>
      <c r="R730" s="1565"/>
      <c r="S730" s="1566"/>
      <c r="T730" s="1564"/>
      <c r="U730" s="1565"/>
      <c r="V730" s="1565"/>
      <c r="W730" s="1566"/>
      <c r="X730" s="1385">
        <f t="shared" si="49"/>
        <v>0</v>
      </c>
      <c r="Y730" s="1386"/>
      <c r="Z730" s="1386"/>
      <c r="AA730" s="1386"/>
      <c r="AB730" s="1387"/>
      <c r="AC730" s="1570">
        <v>0</v>
      </c>
      <c r="AD730" s="1571"/>
      <c r="AE730" s="1571"/>
      <c r="AF730" s="1571"/>
      <c r="AG730" s="1572"/>
      <c r="AH730" s="1379" t="str">
        <f t="shared" si="50"/>
        <v xml:space="preserve"> </v>
      </c>
      <c r="AI730" s="1380"/>
      <c r="AJ730" s="1381"/>
      <c r="AK730" s="1376" t="s">
        <v>601</v>
      </c>
      <c r="AL730" s="1377"/>
      <c r="AM730" s="1377"/>
      <c r="AN730" s="1377"/>
      <c r="AO730" s="137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6"/>
      <c r="C731" s="1377"/>
      <c r="D731" s="1377"/>
      <c r="E731" s="1377"/>
      <c r="F731" s="1378"/>
      <c r="G731" s="1573"/>
      <c r="H731" s="1574"/>
      <c r="I731" s="1574"/>
      <c r="J731" s="1575"/>
      <c r="K731" s="1567"/>
      <c r="L731" s="1568"/>
      <c r="M731" s="1568"/>
      <c r="N731" s="1569"/>
      <c r="O731" s="1564"/>
      <c r="P731" s="1565"/>
      <c r="Q731" s="1565"/>
      <c r="R731" s="1565"/>
      <c r="S731" s="1566"/>
      <c r="T731" s="1564"/>
      <c r="U731" s="1565"/>
      <c r="V731" s="1565"/>
      <c r="W731" s="1566"/>
      <c r="X731" s="1385">
        <f t="shared" si="49"/>
        <v>0</v>
      </c>
      <c r="Y731" s="1386"/>
      <c r="Z731" s="1386"/>
      <c r="AA731" s="1386"/>
      <c r="AB731" s="1387"/>
      <c r="AC731" s="1570">
        <v>0</v>
      </c>
      <c r="AD731" s="1571"/>
      <c r="AE731" s="1571"/>
      <c r="AF731" s="1571"/>
      <c r="AG731" s="1572"/>
      <c r="AH731" s="1379" t="str">
        <f t="shared" si="50"/>
        <v xml:space="preserve"> </v>
      </c>
      <c r="AI731" s="1380"/>
      <c r="AJ731" s="1381"/>
      <c r="AK731" s="1376" t="s">
        <v>601</v>
      </c>
      <c r="AL731" s="1377"/>
      <c r="AM731" s="1377"/>
      <c r="AN731" s="1377"/>
      <c r="AO731" s="137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6"/>
      <c r="C732" s="1377"/>
      <c r="D732" s="1377"/>
      <c r="E732" s="1377"/>
      <c r="F732" s="1378"/>
      <c r="G732" s="1573"/>
      <c r="H732" s="1574"/>
      <c r="I732" s="1574"/>
      <c r="J732" s="1575"/>
      <c r="K732" s="1567"/>
      <c r="L732" s="1568"/>
      <c r="M732" s="1568"/>
      <c r="N732" s="1569"/>
      <c r="O732" s="1564"/>
      <c r="P732" s="1565"/>
      <c r="Q732" s="1565"/>
      <c r="R732" s="1565"/>
      <c r="S732" s="1566"/>
      <c r="T732" s="1564"/>
      <c r="U732" s="1565"/>
      <c r="V732" s="1565"/>
      <c r="W732" s="1566"/>
      <c r="X732" s="1385">
        <f t="shared" si="49"/>
        <v>0</v>
      </c>
      <c r="Y732" s="1386"/>
      <c r="Z732" s="1386"/>
      <c r="AA732" s="1386"/>
      <c r="AB732" s="1387"/>
      <c r="AC732" s="1570">
        <v>0</v>
      </c>
      <c r="AD732" s="1571"/>
      <c r="AE732" s="1571"/>
      <c r="AF732" s="1571"/>
      <c r="AG732" s="1572"/>
      <c r="AH732" s="1379" t="str">
        <f t="shared" si="50"/>
        <v xml:space="preserve"> </v>
      </c>
      <c r="AI732" s="1380"/>
      <c r="AJ732" s="1381"/>
      <c r="AK732" s="1376" t="s">
        <v>601</v>
      </c>
      <c r="AL732" s="1377"/>
      <c r="AM732" s="1377"/>
      <c r="AN732" s="1377"/>
      <c r="AO732" s="137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6"/>
      <c r="C733" s="1377"/>
      <c r="D733" s="1377"/>
      <c r="E733" s="1377"/>
      <c r="F733" s="1378"/>
      <c r="G733" s="1573"/>
      <c r="H733" s="1574"/>
      <c r="I733" s="1574"/>
      <c r="J733" s="1575"/>
      <c r="K733" s="1567"/>
      <c r="L733" s="1568"/>
      <c r="M733" s="1568"/>
      <c r="N733" s="1569"/>
      <c r="O733" s="1564"/>
      <c r="P733" s="1565"/>
      <c r="Q733" s="1565"/>
      <c r="R733" s="1565"/>
      <c r="S733" s="1566"/>
      <c r="T733" s="1564"/>
      <c r="U733" s="1565"/>
      <c r="V733" s="1565"/>
      <c r="W733" s="1566"/>
      <c r="X733" s="1385">
        <f t="shared" si="49"/>
        <v>0</v>
      </c>
      <c r="Y733" s="1386"/>
      <c r="Z733" s="1386"/>
      <c r="AA733" s="1386"/>
      <c r="AB733" s="1387"/>
      <c r="AC733" s="1570">
        <v>0</v>
      </c>
      <c r="AD733" s="1571"/>
      <c r="AE733" s="1571"/>
      <c r="AF733" s="1571"/>
      <c r="AG733" s="1572"/>
      <c r="AH733" s="1379" t="str">
        <f t="shared" si="50"/>
        <v xml:space="preserve"> </v>
      </c>
      <c r="AI733" s="1380"/>
      <c r="AJ733" s="1381"/>
      <c r="AK733" s="1376" t="s">
        <v>601</v>
      </c>
      <c r="AL733" s="1377"/>
      <c r="AM733" s="1377"/>
      <c r="AN733" s="1377"/>
      <c r="AO733" s="137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6"/>
      <c r="C734" s="1377"/>
      <c r="D734" s="1377"/>
      <c r="E734" s="1377"/>
      <c r="F734" s="1378"/>
      <c r="G734" s="1573"/>
      <c r="H734" s="1574"/>
      <c r="I734" s="1574"/>
      <c r="J734" s="1575"/>
      <c r="K734" s="1567"/>
      <c r="L734" s="1568"/>
      <c r="M734" s="1568"/>
      <c r="N734" s="1569"/>
      <c r="O734" s="1564"/>
      <c r="P734" s="1565"/>
      <c r="Q734" s="1565"/>
      <c r="R734" s="1565"/>
      <c r="S734" s="1566"/>
      <c r="T734" s="1564"/>
      <c r="U734" s="1565"/>
      <c r="V734" s="1565"/>
      <c r="W734" s="1566"/>
      <c r="X734" s="1385">
        <f t="shared" si="49"/>
        <v>0</v>
      </c>
      <c r="Y734" s="1386"/>
      <c r="Z734" s="1386"/>
      <c r="AA734" s="1386"/>
      <c r="AB734" s="1387"/>
      <c r="AC734" s="1570">
        <v>0</v>
      </c>
      <c r="AD734" s="1571"/>
      <c r="AE734" s="1571"/>
      <c r="AF734" s="1571"/>
      <c r="AG734" s="1572"/>
      <c r="AH734" s="1379" t="str">
        <f t="shared" si="50"/>
        <v xml:space="preserve"> </v>
      </c>
      <c r="AI734" s="1380"/>
      <c r="AJ734" s="1381"/>
      <c r="AK734" s="1376" t="s">
        <v>601</v>
      </c>
      <c r="AL734" s="1377"/>
      <c r="AM734" s="1377"/>
      <c r="AN734" s="1377"/>
      <c r="AO734" s="137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6"/>
      <c r="C735" s="1377"/>
      <c r="D735" s="1377"/>
      <c r="E735" s="1377"/>
      <c r="F735" s="1378"/>
      <c r="G735" s="1573"/>
      <c r="H735" s="1574"/>
      <c r="I735" s="1574"/>
      <c r="J735" s="1575"/>
      <c r="K735" s="1567"/>
      <c r="L735" s="1568"/>
      <c r="M735" s="1568"/>
      <c r="N735" s="1569"/>
      <c r="O735" s="1564"/>
      <c r="P735" s="1565"/>
      <c r="Q735" s="1565"/>
      <c r="R735" s="1565"/>
      <c r="S735" s="1566"/>
      <c r="T735" s="1564"/>
      <c r="U735" s="1565"/>
      <c r="V735" s="1565"/>
      <c r="W735" s="1566"/>
      <c r="X735" s="1385">
        <f t="shared" si="49"/>
        <v>0</v>
      </c>
      <c r="Y735" s="1386"/>
      <c r="Z735" s="1386"/>
      <c r="AA735" s="1386"/>
      <c r="AB735" s="1387"/>
      <c r="AC735" s="1570">
        <v>0</v>
      </c>
      <c r="AD735" s="1571"/>
      <c r="AE735" s="1571"/>
      <c r="AF735" s="1571"/>
      <c r="AG735" s="1572"/>
      <c r="AH735" s="1379" t="str">
        <f t="shared" si="50"/>
        <v xml:space="preserve"> </v>
      </c>
      <c r="AI735" s="1380"/>
      <c r="AJ735" s="1381"/>
      <c r="AK735" s="1376" t="s">
        <v>601</v>
      </c>
      <c r="AL735" s="1377"/>
      <c r="AM735" s="1377"/>
      <c r="AN735" s="1377"/>
      <c r="AO735" s="137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6"/>
      <c r="C736" s="1377"/>
      <c r="D736" s="1377"/>
      <c r="E736" s="1377"/>
      <c r="F736" s="1378"/>
      <c r="G736" s="1573"/>
      <c r="H736" s="1574"/>
      <c r="I736" s="1574"/>
      <c r="J736" s="1575"/>
      <c r="K736" s="1567"/>
      <c r="L736" s="1568"/>
      <c r="M736" s="1568"/>
      <c r="N736" s="1569"/>
      <c r="O736" s="1564"/>
      <c r="P736" s="1565"/>
      <c r="Q736" s="1565"/>
      <c r="R736" s="1565"/>
      <c r="S736" s="1566"/>
      <c r="T736" s="1564"/>
      <c r="U736" s="1565"/>
      <c r="V736" s="1565"/>
      <c r="W736" s="1566"/>
      <c r="X736" s="1385">
        <f t="shared" si="49"/>
        <v>0</v>
      </c>
      <c r="Y736" s="1386"/>
      <c r="Z736" s="1386"/>
      <c r="AA736" s="1386"/>
      <c r="AB736" s="1387"/>
      <c r="AC736" s="1570">
        <v>0</v>
      </c>
      <c r="AD736" s="1571"/>
      <c r="AE736" s="1571"/>
      <c r="AF736" s="1571"/>
      <c r="AG736" s="1572"/>
      <c r="AH736" s="1379" t="str">
        <f t="shared" si="50"/>
        <v xml:space="preserve"> </v>
      </c>
      <c r="AI736" s="1380"/>
      <c r="AJ736" s="1381"/>
      <c r="AK736" s="1376" t="s">
        <v>601</v>
      </c>
      <c r="AL736" s="1377"/>
      <c r="AM736" s="1377"/>
      <c r="AN736" s="1377"/>
      <c r="AO736" s="137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6"/>
      <c r="C737" s="1377"/>
      <c r="D737" s="1377"/>
      <c r="E737" s="1377"/>
      <c r="F737" s="1378"/>
      <c r="G737" s="1573"/>
      <c r="H737" s="1574"/>
      <c r="I737" s="1574"/>
      <c r="J737" s="1575"/>
      <c r="K737" s="1567"/>
      <c r="L737" s="1568"/>
      <c r="M737" s="1568"/>
      <c r="N737" s="1569"/>
      <c r="O737" s="1564"/>
      <c r="P737" s="1565"/>
      <c r="Q737" s="1565"/>
      <c r="R737" s="1565"/>
      <c r="S737" s="1566"/>
      <c r="T737" s="1564"/>
      <c r="U737" s="1565"/>
      <c r="V737" s="1565"/>
      <c r="W737" s="1566"/>
      <c r="X737" s="1385">
        <f t="shared" si="49"/>
        <v>0</v>
      </c>
      <c r="Y737" s="1386"/>
      <c r="Z737" s="1386"/>
      <c r="AA737" s="1386"/>
      <c r="AB737" s="1387"/>
      <c r="AC737" s="1570">
        <v>0</v>
      </c>
      <c r="AD737" s="1571"/>
      <c r="AE737" s="1571"/>
      <c r="AF737" s="1571"/>
      <c r="AG737" s="1572"/>
      <c r="AH737" s="1379" t="str">
        <f t="shared" si="50"/>
        <v xml:space="preserve"> </v>
      </c>
      <c r="AI737" s="1380"/>
      <c r="AJ737" s="1381"/>
      <c r="AK737" s="1376" t="s">
        <v>601</v>
      </c>
      <c r="AL737" s="1377"/>
      <c r="AM737" s="1377"/>
      <c r="AN737" s="1377"/>
      <c r="AO737" s="137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6"/>
      <c r="C738" s="1377"/>
      <c r="D738" s="1377"/>
      <c r="E738" s="1377"/>
      <c r="F738" s="1378"/>
      <c r="G738" s="1573"/>
      <c r="H738" s="1574"/>
      <c r="I738" s="1574"/>
      <c r="J738" s="1575"/>
      <c r="K738" s="1567"/>
      <c r="L738" s="1568"/>
      <c r="M738" s="1568"/>
      <c r="N738" s="1569"/>
      <c r="O738" s="1564"/>
      <c r="P738" s="1565"/>
      <c r="Q738" s="1565"/>
      <c r="R738" s="1565"/>
      <c r="S738" s="1566"/>
      <c r="T738" s="1564"/>
      <c r="U738" s="1565"/>
      <c r="V738" s="1565"/>
      <c r="W738" s="1566"/>
      <c r="X738" s="1385">
        <f t="shared" si="49"/>
        <v>0</v>
      </c>
      <c r="Y738" s="1386"/>
      <c r="Z738" s="1386"/>
      <c r="AA738" s="1386"/>
      <c r="AB738" s="1387"/>
      <c r="AC738" s="1570">
        <v>0</v>
      </c>
      <c r="AD738" s="1571"/>
      <c r="AE738" s="1571"/>
      <c r="AF738" s="1571"/>
      <c r="AG738" s="1572"/>
      <c r="AH738" s="1379" t="str">
        <f t="shared" si="50"/>
        <v xml:space="preserve"> </v>
      </c>
      <c r="AI738" s="1380"/>
      <c r="AJ738" s="1381"/>
      <c r="AK738" s="1376" t="s">
        <v>601</v>
      </c>
      <c r="AL738" s="1377"/>
      <c r="AM738" s="1377"/>
      <c r="AN738" s="1377"/>
      <c r="AO738" s="137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9" t="s">
        <v>126</v>
      </c>
      <c r="C739" s="1580"/>
      <c r="D739" s="1580"/>
      <c r="E739" s="1580"/>
      <c r="F739" s="1581"/>
      <c r="G739" s="1576">
        <f>SUM(G714:J738)</f>
        <v>164</v>
      </c>
      <c r="H739" s="1577"/>
      <c r="I739" s="1577"/>
      <c r="J739" s="1578"/>
      <c r="K739" s="939" t="s">
        <v>125</v>
      </c>
      <c r="L739" s="5"/>
      <c r="M739" s="5"/>
      <c r="N739" s="46"/>
      <c r="O739" s="1385">
        <f>SUMPRODUCT(G714:G738,O714:O738)</f>
        <v>251282</v>
      </c>
      <c r="P739" s="1386"/>
      <c r="Q739" s="1386"/>
      <c r="R739" s="1386"/>
      <c r="S739" s="1387"/>
      <c r="X739" s="941" t="s">
        <v>934</v>
      </c>
      <c r="Y739" s="940"/>
      <c r="Z739" s="940"/>
      <c r="AA739" s="940"/>
      <c r="AB739" s="942"/>
      <c r="AC739" s="1582">
        <f>BI682</f>
        <v>0.60000000000000009</v>
      </c>
      <c r="AD739" s="1583"/>
      <c r="AE739" s="1583"/>
      <c r="AF739" s="1583"/>
      <c r="AG739" s="1584"/>
      <c r="AH739" s="1582">
        <f>BI714</f>
        <v>0.60000000000000009</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1" t="s">
        <v>2258</v>
      </c>
      <c r="C740" s="1821"/>
      <c r="D740" s="1821"/>
      <c r="E740" s="1821"/>
      <c r="F740" s="1821"/>
      <c r="G740" s="1821"/>
      <c r="H740" s="1821"/>
      <c r="I740" s="1821"/>
      <c r="J740" s="1821"/>
      <c r="K740" s="1821"/>
      <c r="L740" s="1821"/>
      <c r="M740" s="1821"/>
      <c r="N740" s="1821"/>
      <c r="O740" s="1821"/>
      <c r="P740" s="1821"/>
      <c r="Q740" s="1821"/>
      <c r="R740" s="1821"/>
      <c r="S740" s="1821"/>
      <c r="T740" s="1821"/>
      <c r="U740" s="1821"/>
      <c r="V740" s="1821"/>
      <c r="W740" s="1821"/>
      <c r="X740" s="1821"/>
      <c r="Y740" s="1821"/>
      <c r="Z740" s="1821"/>
      <c r="AA740" s="1821"/>
      <c r="AB740" s="1821"/>
      <c r="AC740" s="1821"/>
      <c r="AD740" s="1821"/>
      <c r="AE740" s="1821"/>
      <c r="AF740" s="1821"/>
      <c r="AG740" s="1821"/>
      <c r="AH740" s="182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1"/>
      <c r="C741" s="1821"/>
      <c r="D741" s="1821"/>
      <c r="E741" s="1821"/>
      <c r="F741" s="1821"/>
      <c r="G741" s="1821"/>
      <c r="H741" s="1821"/>
      <c r="I741" s="1821"/>
      <c r="J741" s="1821"/>
      <c r="K741" s="1821"/>
      <c r="L741" s="1821"/>
      <c r="M741" s="1821"/>
      <c r="N741" s="1821"/>
      <c r="O741" s="1821"/>
      <c r="P741" s="1821"/>
      <c r="Q741" s="1821"/>
      <c r="R741" s="1821"/>
      <c r="S741" s="1821"/>
      <c r="T741" s="1821"/>
      <c r="U741" s="1821"/>
      <c r="V741" s="1821"/>
      <c r="W741" s="1821"/>
      <c r="X741" s="1821"/>
      <c r="Y741" s="1821"/>
      <c r="Z741" s="1821"/>
      <c r="AA741" s="1821"/>
      <c r="AB741" s="1821"/>
      <c r="AC741" s="1821"/>
      <c r="AD741" s="1821"/>
      <c r="AE741" s="1821"/>
      <c r="AF741" s="1821"/>
      <c r="AG741" s="1821"/>
      <c r="AH741" s="182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419">
        <f>CS623</f>
        <v>217</v>
      </c>
      <c r="P742" s="1419"/>
      <c r="Q742" s="1419"/>
      <c r="R742" s="1419"/>
      <c r="S742" s="1006"/>
      <c r="T742" s="1006"/>
      <c r="U742" s="118" t="s">
        <v>2257</v>
      </c>
      <c r="V742" s="1076"/>
      <c r="W742" s="1076"/>
      <c r="X742" s="1076"/>
      <c r="Y742" s="1077"/>
      <c r="Z742" s="1077"/>
      <c r="AA742" s="1077"/>
      <c r="AB742" s="1077"/>
      <c r="AC742" s="1076"/>
      <c r="AD742" s="1076"/>
      <c r="AE742" s="1076"/>
      <c r="AF742" s="1076"/>
      <c r="AG742" s="1697"/>
      <c r="AH742" s="1697"/>
      <c r="AI742" s="1697"/>
      <c r="AJ742" s="169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601</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2509</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2510</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2511</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05" t="s">
        <v>391</v>
      </c>
      <c r="K754" s="1390"/>
      <c r="L754" s="1390"/>
      <c r="M754" s="1390"/>
      <c r="N754" s="1391"/>
      <c r="O754" s="1685" t="s">
        <v>287</v>
      </c>
      <c r="P754" s="1685"/>
      <c r="Q754" s="1685"/>
      <c r="R754" s="1685"/>
      <c r="S754" s="1685"/>
      <c r="T754" s="1637" t="s">
        <v>1939</v>
      </c>
      <c r="U754" s="1638"/>
      <c r="V754" s="1638"/>
      <c r="W754" s="1639"/>
      <c r="X754" s="1405" t="s">
        <v>457</v>
      </c>
      <c r="Y754" s="1390"/>
      <c r="Z754" s="1390"/>
      <c r="AA754" s="1390"/>
      <c r="AB754" s="1391"/>
      <c r="AC754" s="1405" t="s">
        <v>288</v>
      </c>
      <c r="AD754" s="1390"/>
      <c r="AE754" s="1390"/>
      <c r="AF754" s="1390"/>
      <c r="AG754" s="13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2"/>
      <c r="K755" s="1393"/>
      <c r="L755" s="1393"/>
      <c r="M755" s="1393"/>
      <c r="N755" s="1394"/>
      <c r="O755" s="1685"/>
      <c r="P755" s="1685"/>
      <c r="Q755" s="1685"/>
      <c r="R755" s="1685"/>
      <c r="S755" s="1685"/>
      <c r="T755" s="1640"/>
      <c r="U755" s="1641"/>
      <c r="V755" s="1641"/>
      <c r="W755" s="1642"/>
      <c r="X755" s="1392"/>
      <c r="Y755" s="1393"/>
      <c r="Z755" s="1393"/>
      <c r="AA755" s="1393"/>
      <c r="AB755" s="1394"/>
      <c r="AC755" s="1392"/>
      <c r="AD755" s="1393"/>
      <c r="AE755" s="1393"/>
      <c r="AF755" s="1393"/>
      <c r="AG755" s="13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2"/>
      <c r="K756" s="1393"/>
      <c r="L756" s="1393"/>
      <c r="M756" s="1393"/>
      <c r="N756" s="1394"/>
      <c r="O756" s="1685"/>
      <c r="P756" s="1685"/>
      <c r="Q756" s="1685"/>
      <c r="R756" s="1685"/>
      <c r="S756" s="1685"/>
      <c r="T756" s="1640"/>
      <c r="U756" s="1641"/>
      <c r="V756" s="1641"/>
      <c r="W756" s="1642"/>
      <c r="X756" s="1392"/>
      <c r="Y756" s="1393"/>
      <c r="Z756" s="1393"/>
      <c r="AA756" s="1393"/>
      <c r="AB756" s="1394"/>
      <c r="AC756" s="1392"/>
      <c r="AD756" s="1393"/>
      <c r="AE756" s="1393"/>
      <c r="AF756" s="1393"/>
      <c r="AG756" s="13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95"/>
      <c r="K757" s="1396"/>
      <c r="L757" s="1396"/>
      <c r="M757" s="1396"/>
      <c r="N757" s="1397"/>
      <c r="O757" s="1685"/>
      <c r="P757" s="1685"/>
      <c r="Q757" s="1685"/>
      <c r="R757" s="1685"/>
      <c r="S757" s="1685"/>
      <c r="T757" s="1737"/>
      <c r="U757" s="1738"/>
      <c r="V757" s="1738"/>
      <c r="W757" s="1739"/>
      <c r="X757" s="1395"/>
      <c r="Y757" s="1396"/>
      <c r="Z757" s="1396"/>
      <c r="AA757" s="1396"/>
      <c r="AB757" s="1397"/>
      <c r="AC757" s="1395"/>
      <c r="AD757" s="1396"/>
      <c r="AE757" s="1396"/>
      <c r="AF757" s="1396"/>
      <c r="AG757" s="13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6" t="s">
        <v>164</v>
      </c>
      <c r="K758" s="1377"/>
      <c r="L758" s="1377"/>
      <c r="M758" s="1377"/>
      <c r="N758" s="1378"/>
      <c r="O758" s="1628">
        <v>2</v>
      </c>
      <c r="P758" s="1628"/>
      <c r="Q758" s="1628"/>
      <c r="R758" s="1628"/>
      <c r="S758" s="1628"/>
      <c r="T758" s="1567">
        <v>761</v>
      </c>
      <c r="U758" s="1568"/>
      <c r="V758" s="1568"/>
      <c r="W758" s="1569"/>
      <c r="X758" s="1564">
        <v>2222</v>
      </c>
      <c r="Y758" s="1565"/>
      <c r="Z758" s="1565"/>
      <c r="AA758" s="1565"/>
      <c r="AB758" s="1566"/>
      <c r="AC758" s="1385">
        <f>X758*O758</f>
        <v>4444</v>
      </c>
      <c r="AD758" s="1386"/>
      <c r="AE758" s="1386"/>
      <c r="AF758" s="1386"/>
      <c r="AG758" s="138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6"/>
      <c r="K759" s="1377"/>
      <c r="L759" s="1377"/>
      <c r="M759" s="1377"/>
      <c r="N759" s="1378"/>
      <c r="O759" s="1628"/>
      <c r="P759" s="1628"/>
      <c r="Q759" s="1628"/>
      <c r="R759" s="1628"/>
      <c r="S759" s="1628"/>
      <c r="T759" s="1567"/>
      <c r="U759" s="1568"/>
      <c r="V759" s="1568"/>
      <c r="W759" s="1569"/>
      <c r="X759" s="1564"/>
      <c r="Y759" s="1565"/>
      <c r="Z759" s="1565"/>
      <c r="AA759" s="1565"/>
      <c r="AB759" s="1566"/>
      <c r="AC759" s="1385">
        <f>X759*O759</f>
        <v>0</v>
      </c>
      <c r="AD759" s="1386"/>
      <c r="AE759" s="1386"/>
      <c r="AF759" s="1386"/>
      <c r="AG759" s="138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6"/>
      <c r="K760" s="1377"/>
      <c r="L760" s="1377"/>
      <c r="M760" s="1377"/>
      <c r="N760" s="1378"/>
      <c r="O760" s="1628"/>
      <c r="P760" s="1628"/>
      <c r="Q760" s="1628"/>
      <c r="R760" s="1628"/>
      <c r="S760" s="1628"/>
      <c r="T760" s="1567"/>
      <c r="U760" s="1568"/>
      <c r="V760" s="1568"/>
      <c r="W760" s="1569"/>
      <c r="X760" s="1564"/>
      <c r="Y760" s="1565"/>
      <c r="Z760" s="1565"/>
      <c r="AA760" s="1565"/>
      <c r="AB760" s="1566"/>
      <c r="AC760" s="1385">
        <f>X760*O760</f>
        <v>0</v>
      </c>
      <c r="AD760" s="1386"/>
      <c r="AE760" s="1386"/>
      <c r="AF760" s="1386"/>
      <c r="AG760" s="138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6"/>
      <c r="K761" s="1377"/>
      <c r="L761" s="1377"/>
      <c r="M761" s="1377"/>
      <c r="N761" s="1378"/>
      <c r="O761" s="1628"/>
      <c r="P761" s="1628"/>
      <c r="Q761" s="1628"/>
      <c r="R761" s="1628"/>
      <c r="S761" s="1628"/>
      <c r="T761" s="1567"/>
      <c r="U761" s="1568"/>
      <c r="V761" s="1568"/>
      <c r="W761" s="1569"/>
      <c r="X761" s="1564"/>
      <c r="Y761" s="1565"/>
      <c r="Z761" s="1565"/>
      <c r="AA761" s="1565"/>
      <c r="AB761" s="1566"/>
      <c r="AC761" s="1385">
        <f>X761*O761</f>
        <v>0</v>
      </c>
      <c r="AD761" s="1386"/>
      <c r="AE761" s="1386"/>
      <c r="AF761" s="1386"/>
      <c r="AG761" s="138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9" t="s">
        <v>126</v>
      </c>
      <c r="K762" s="1580"/>
      <c r="L762" s="1580"/>
      <c r="M762" s="1580"/>
      <c r="N762" s="1581"/>
      <c r="O762" s="1427">
        <f>SUM(O758:S761)</f>
        <v>2</v>
      </c>
      <c r="P762" s="1595"/>
      <c r="Q762" s="1595"/>
      <c r="R762" s="1595"/>
      <c r="S762" s="1428"/>
      <c r="X762" s="1579" t="s">
        <v>125</v>
      </c>
      <c r="Y762" s="1580"/>
      <c r="Z762" s="1580"/>
      <c r="AA762" s="1580"/>
      <c r="AB762" s="1581"/>
      <c r="AC762" s="1385">
        <f>SUM(AC758:AG761)</f>
        <v>4444</v>
      </c>
      <c r="AD762" s="1386"/>
      <c r="AE762" s="1386"/>
      <c r="AF762" s="1386"/>
      <c r="AG762" s="138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40" t="s">
        <v>679</v>
      </c>
      <c r="K764" s="174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5" t="s">
        <v>391</v>
      </c>
      <c r="K768" s="1390"/>
      <c r="L768" s="1390"/>
      <c r="M768" s="1390"/>
      <c r="N768" s="1391"/>
      <c r="O768" s="1685" t="s">
        <v>287</v>
      </c>
      <c r="P768" s="1685"/>
      <c r="Q768" s="1685"/>
      <c r="R768" s="1685"/>
      <c r="S768" s="1685"/>
      <c r="T768" s="1637" t="s">
        <v>1939</v>
      </c>
      <c r="U768" s="1638"/>
      <c r="V768" s="1638"/>
      <c r="W768" s="1639"/>
      <c r="X768" s="1405" t="s">
        <v>457</v>
      </c>
      <c r="Y768" s="1390"/>
      <c r="Z768" s="1390"/>
      <c r="AA768" s="1390"/>
      <c r="AB768" s="1391"/>
      <c r="AC768" s="1405" t="s">
        <v>288</v>
      </c>
      <c r="AD768" s="1390"/>
      <c r="AE768" s="1390"/>
      <c r="AF768" s="1390"/>
      <c r="AG768" s="1391"/>
      <c r="AH768" s="1735" t="s">
        <v>2132</v>
      </c>
      <c r="AI768" s="1736"/>
      <c r="AJ768" s="1736"/>
      <c r="AK768" s="1736"/>
      <c r="AL768" s="173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2"/>
      <c r="K769" s="1393"/>
      <c r="L769" s="1393"/>
      <c r="M769" s="1393"/>
      <c r="N769" s="1394"/>
      <c r="O769" s="1685"/>
      <c r="P769" s="1685"/>
      <c r="Q769" s="1685"/>
      <c r="R769" s="1685"/>
      <c r="S769" s="1685"/>
      <c r="T769" s="1640"/>
      <c r="U769" s="1641"/>
      <c r="V769" s="1641"/>
      <c r="W769" s="1642"/>
      <c r="X769" s="1392"/>
      <c r="Y769" s="1393"/>
      <c r="Z769" s="1393"/>
      <c r="AA769" s="1393"/>
      <c r="AB769" s="1394"/>
      <c r="AC769" s="1392"/>
      <c r="AD769" s="1393"/>
      <c r="AE769" s="1393"/>
      <c r="AF769" s="1393"/>
      <c r="AG769" s="1394"/>
      <c r="AH769" s="1735"/>
      <c r="AI769" s="1736"/>
      <c r="AJ769" s="1736"/>
      <c r="AK769" s="1736"/>
      <c r="AL769" s="173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2"/>
      <c r="K770" s="1393"/>
      <c r="L770" s="1393"/>
      <c r="M770" s="1393"/>
      <c r="N770" s="1394"/>
      <c r="O770" s="1685"/>
      <c r="P770" s="1685"/>
      <c r="Q770" s="1685"/>
      <c r="R770" s="1685"/>
      <c r="S770" s="1685"/>
      <c r="T770" s="1640"/>
      <c r="U770" s="1641"/>
      <c r="V770" s="1641"/>
      <c r="W770" s="1642"/>
      <c r="X770" s="1392"/>
      <c r="Y770" s="1393"/>
      <c r="Z770" s="1393"/>
      <c r="AA770" s="1393"/>
      <c r="AB770" s="1394"/>
      <c r="AC770" s="1392"/>
      <c r="AD770" s="1393"/>
      <c r="AE770" s="1393"/>
      <c r="AF770" s="1393"/>
      <c r="AG770" s="1394"/>
      <c r="AH770" s="1735"/>
      <c r="AI770" s="1736"/>
      <c r="AJ770" s="1736"/>
      <c r="AK770" s="1736"/>
      <c r="AL770" s="173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95"/>
      <c r="K771" s="1396"/>
      <c r="L771" s="1396"/>
      <c r="M771" s="1396"/>
      <c r="N771" s="1397"/>
      <c r="O771" s="1685"/>
      <c r="P771" s="1685"/>
      <c r="Q771" s="1685"/>
      <c r="R771" s="1685"/>
      <c r="S771" s="1685"/>
      <c r="T771" s="1737"/>
      <c r="U771" s="1738"/>
      <c r="V771" s="1738"/>
      <c r="W771" s="1739"/>
      <c r="X771" s="1395"/>
      <c r="Y771" s="1396"/>
      <c r="Z771" s="1396"/>
      <c r="AA771" s="1396"/>
      <c r="AB771" s="1397"/>
      <c r="AC771" s="1395"/>
      <c r="AD771" s="1396"/>
      <c r="AE771" s="1396"/>
      <c r="AF771" s="1396"/>
      <c r="AG771" s="1397"/>
      <c r="AH771" s="1735"/>
      <c r="AI771" s="1736"/>
      <c r="AJ771" s="1736"/>
      <c r="AK771" s="1736"/>
      <c r="AL771" s="173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6"/>
      <c r="K772" s="1377"/>
      <c r="L772" s="1377"/>
      <c r="M772" s="1377"/>
      <c r="N772" s="1378"/>
      <c r="O772" s="1628"/>
      <c r="P772" s="1628"/>
      <c r="Q772" s="1628"/>
      <c r="R772" s="1628"/>
      <c r="S772" s="1628"/>
      <c r="T772" s="1567"/>
      <c r="U772" s="1568"/>
      <c r="V772" s="1568"/>
      <c r="W772" s="1569"/>
      <c r="X772" s="1564"/>
      <c r="Y772" s="1565"/>
      <c r="Z772" s="1565"/>
      <c r="AA772" s="1565"/>
      <c r="AB772" s="1566"/>
      <c r="AC772" s="1385">
        <f t="shared" ref="AC772:AC781" si="51">X772*O772</f>
        <v>0</v>
      </c>
      <c r="AD772" s="1386"/>
      <c r="AE772" s="1386"/>
      <c r="AF772" s="1386"/>
      <c r="AG772" s="1387"/>
      <c r="AH772" s="1629"/>
      <c r="AI772" s="1630"/>
      <c r="AJ772" s="1630"/>
      <c r="AK772" s="1630"/>
      <c r="AL772" s="163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6"/>
      <c r="K773" s="1377"/>
      <c r="L773" s="1377"/>
      <c r="M773" s="1377"/>
      <c r="N773" s="1378"/>
      <c r="O773" s="1628"/>
      <c r="P773" s="1628"/>
      <c r="Q773" s="1628"/>
      <c r="R773" s="1628"/>
      <c r="S773" s="1628"/>
      <c r="T773" s="1567"/>
      <c r="U773" s="1568"/>
      <c r="V773" s="1568"/>
      <c r="W773" s="1569"/>
      <c r="X773" s="1564"/>
      <c r="Y773" s="1565"/>
      <c r="Z773" s="1565"/>
      <c r="AA773" s="1565"/>
      <c r="AB773" s="1566"/>
      <c r="AC773" s="1385">
        <f t="shared" si="51"/>
        <v>0</v>
      </c>
      <c r="AD773" s="1386"/>
      <c r="AE773" s="1386"/>
      <c r="AF773" s="1386"/>
      <c r="AG773" s="1387"/>
      <c r="AH773" s="1629"/>
      <c r="AI773" s="1630"/>
      <c r="AJ773" s="1630"/>
      <c r="AK773" s="1630"/>
      <c r="AL773" s="163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6"/>
      <c r="K774" s="1377"/>
      <c r="L774" s="1377"/>
      <c r="M774" s="1377"/>
      <c r="N774" s="1378"/>
      <c r="O774" s="1628"/>
      <c r="P774" s="1628"/>
      <c r="Q774" s="1628"/>
      <c r="R774" s="1628"/>
      <c r="S774" s="1628"/>
      <c r="T774" s="1567"/>
      <c r="U774" s="1568"/>
      <c r="V774" s="1568"/>
      <c r="W774" s="1569"/>
      <c r="X774" s="1564"/>
      <c r="Y774" s="1565"/>
      <c r="Z774" s="1565"/>
      <c r="AA774" s="1565"/>
      <c r="AB774" s="1566"/>
      <c r="AC774" s="1385">
        <f t="shared" si="51"/>
        <v>0</v>
      </c>
      <c r="AD774" s="1386"/>
      <c r="AE774" s="1386"/>
      <c r="AF774" s="1386"/>
      <c r="AG774" s="1387"/>
      <c r="AH774" s="1629"/>
      <c r="AI774" s="1630"/>
      <c r="AJ774" s="1630"/>
      <c r="AK774" s="1630"/>
      <c r="AL774" s="163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6"/>
      <c r="K775" s="1377"/>
      <c r="L775" s="1377"/>
      <c r="M775" s="1377"/>
      <c r="N775" s="1378"/>
      <c r="O775" s="1628"/>
      <c r="P775" s="1628"/>
      <c r="Q775" s="1628"/>
      <c r="R775" s="1628"/>
      <c r="S775" s="1628"/>
      <c r="T775" s="1567"/>
      <c r="U775" s="1568"/>
      <c r="V775" s="1568"/>
      <c r="W775" s="1569"/>
      <c r="X775" s="1564"/>
      <c r="Y775" s="1565"/>
      <c r="Z775" s="1565"/>
      <c r="AA775" s="1565"/>
      <c r="AB775" s="1566"/>
      <c r="AC775" s="1385">
        <f t="shared" si="51"/>
        <v>0</v>
      </c>
      <c r="AD775" s="1386"/>
      <c r="AE775" s="1386"/>
      <c r="AF775" s="1386"/>
      <c r="AG775" s="1387"/>
      <c r="AH775" s="1629"/>
      <c r="AI775" s="1630"/>
      <c r="AJ775" s="1630"/>
      <c r="AK775" s="1630"/>
      <c r="AL775" s="163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6"/>
      <c r="K776" s="1377"/>
      <c r="L776" s="1377"/>
      <c r="M776" s="1377"/>
      <c r="N776" s="1378"/>
      <c r="O776" s="1628"/>
      <c r="P776" s="1628"/>
      <c r="Q776" s="1628"/>
      <c r="R776" s="1628"/>
      <c r="S776" s="1628"/>
      <c r="T776" s="1567"/>
      <c r="U776" s="1568"/>
      <c r="V776" s="1568"/>
      <c r="W776" s="1569"/>
      <c r="X776" s="1564"/>
      <c r="Y776" s="1565"/>
      <c r="Z776" s="1565"/>
      <c r="AA776" s="1565"/>
      <c r="AB776" s="1566"/>
      <c r="AC776" s="1385">
        <f t="shared" si="51"/>
        <v>0</v>
      </c>
      <c r="AD776" s="1386"/>
      <c r="AE776" s="1386"/>
      <c r="AF776" s="1386"/>
      <c r="AG776" s="1387"/>
      <c r="AH776" s="1629"/>
      <c r="AI776" s="1630"/>
      <c r="AJ776" s="1630"/>
      <c r="AK776" s="1630"/>
      <c r="AL776" s="163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6"/>
      <c r="K777" s="1377"/>
      <c r="L777" s="1377"/>
      <c r="M777" s="1377"/>
      <c r="N777" s="1378"/>
      <c r="O777" s="1628"/>
      <c r="P777" s="1628"/>
      <c r="Q777" s="1628"/>
      <c r="R777" s="1628"/>
      <c r="S777" s="1628"/>
      <c r="T777" s="1567"/>
      <c r="U777" s="1568"/>
      <c r="V777" s="1568"/>
      <c r="W777" s="1569"/>
      <c r="X777" s="1564"/>
      <c r="Y777" s="1565"/>
      <c r="Z777" s="1565"/>
      <c r="AA777" s="1565"/>
      <c r="AB777" s="1566"/>
      <c r="AC777" s="1385">
        <f t="shared" si="51"/>
        <v>0</v>
      </c>
      <c r="AD777" s="1386"/>
      <c r="AE777" s="1386"/>
      <c r="AF777" s="1386"/>
      <c r="AG777" s="1387"/>
      <c r="AH777" s="1629"/>
      <c r="AI777" s="1630"/>
      <c r="AJ777" s="1630"/>
      <c r="AK777" s="1630"/>
      <c r="AL777" s="163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6"/>
      <c r="K778" s="1377"/>
      <c r="L778" s="1377"/>
      <c r="M778" s="1377"/>
      <c r="N778" s="1378"/>
      <c r="O778" s="1628"/>
      <c r="P778" s="1628"/>
      <c r="Q778" s="1628"/>
      <c r="R778" s="1628"/>
      <c r="S778" s="1628"/>
      <c r="T778" s="1567"/>
      <c r="U778" s="1568"/>
      <c r="V778" s="1568"/>
      <c r="W778" s="1569"/>
      <c r="X778" s="1564"/>
      <c r="Y778" s="1565"/>
      <c r="Z778" s="1565"/>
      <c r="AA778" s="1565"/>
      <c r="AB778" s="1566"/>
      <c r="AC778" s="1385">
        <f t="shared" si="51"/>
        <v>0</v>
      </c>
      <c r="AD778" s="1386"/>
      <c r="AE778" s="1386"/>
      <c r="AF778" s="1386"/>
      <c r="AG778" s="1387"/>
      <c r="AH778" s="1629"/>
      <c r="AI778" s="1630"/>
      <c r="AJ778" s="1630"/>
      <c r="AK778" s="1630"/>
      <c r="AL778" s="163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6"/>
      <c r="K779" s="1377"/>
      <c r="L779" s="1377"/>
      <c r="M779" s="1377"/>
      <c r="N779" s="1378"/>
      <c r="O779" s="1628"/>
      <c r="P779" s="1628"/>
      <c r="Q779" s="1628"/>
      <c r="R779" s="1628"/>
      <c r="S779" s="1628"/>
      <c r="T779" s="1567"/>
      <c r="U779" s="1568"/>
      <c r="V779" s="1568"/>
      <c r="W779" s="1569"/>
      <c r="X779" s="1564"/>
      <c r="Y779" s="1565"/>
      <c r="Z779" s="1565"/>
      <c r="AA779" s="1565"/>
      <c r="AB779" s="1566"/>
      <c r="AC779" s="1385">
        <f t="shared" si="51"/>
        <v>0</v>
      </c>
      <c r="AD779" s="1386"/>
      <c r="AE779" s="1386"/>
      <c r="AF779" s="1386"/>
      <c r="AG779" s="1387"/>
      <c r="AH779" s="1629"/>
      <c r="AI779" s="1630"/>
      <c r="AJ779" s="1630"/>
      <c r="AK779" s="1630"/>
      <c r="AL779" s="163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6"/>
      <c r="K780" s="1377"/>
      <c r="L780" s="1377"/>
      <c r="M780" s="1377"/>
      <c r="N780" s="1378"/>
      <c r="O780" s="1628"/>
      <c r="P780" s="1628"/>
      <c r="Q780" s="1628"/>
      <c r="R780" s="1628"/>
      <c r="S780" s="1628"/>
      <c r="T780" s="1567"/>
      <c r="U780" s="1568"/>
      <c r="V780" s="1568"/>
      <c r="W780" s="1569"/>
      <c r="X780" s="1564"/>
      <c r="Y780" s="1565"/>
      <c r="Z780" s="1565"/>
      <c r="AA780" s="1565"/>
      <c r="AB780" s="1566"/>
      <c r="AC780" s="1385">
        <f t="shared" si="51"/>
        <v>0</v>
      </c>
      <c r="AD780" s="1386"/>
      <c r="AE780" s="1386"/>
      <c r="AF780" s="1386"/>
      <c r="AG780" s="1387"/>
      <c r="AH780" s="1629"/>
      <c r="AI780" s="1630"/>
      <c r="AJ780" s="1630"/>
      <c r="AK780" s="1630"/>
      <c r="AL780" s="163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6"/>
      <c r="K781" s="1377"/>
      <c r="L781" s="1377"/>
      <c r="M781" s="1377"/>
      <c r="N781" s="1378"/>
      <c r="O781" s="1628"/>
      <c r="P781" s="1628"/>
      <c r="Q781" s="1628"/>
      <c r="R781" s="1628"/>
      <c r="S781" s="1628"/>
      <c r="T781" s="1567"/>
      <c r="U781" s="1568"/>
      <c r="V781" s="1568"/>
      <c r="W781" s="1569"/>
      <c r="X781" s="1564"/>
      <c r="Y781" s="1565"/>
      <c r="Z781" s="1565"/>
      <c r="AA781" s="1565"/>
      <c r="AB781" s="1566"/>
      <c r="AC781" s="1385">
        <f t="shared" si="51"/>
        <v>0</v>
      </c>
      <c r="AD781" s="1386"/>
      <c r="AE781" s="1386"/>
      <c r="AF781" s="1386"/>
      <c r="AG781" s="1387"/>
      <c r="AH781" s="1629"/>
      <c r="AI781" s="1630"/>
      <c r="AJ781" s="1630"/>
      <c r="AK781" s="1630"/>
      <c r="AL781" s="163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9" t="s">
        <v>126</v>
      </c>
      <c r="K782" s="1580"/>
      <c r="L782" s="1580"/>
      <c r="M782" s="1580"/>
      <c r="N782" s="1581"/>
      <c r="O782" s="1407">
        <f>SUM(O772:S781)</f>
        <v>0</v>
      </c>
      <c r="P782" s="1407"/>
      <c r="Q782" s="1407"/>
      <c r="R782" s="1407"/>
      <c r="S782" s="1407"/>
      <c r="X782" s="939" t="s">
        <v>125</v>
      </c>
      <c r="Y782" s="11"/>
      <c r="Z782" s="11"/>
      <c r="AA782" s="11"/>
      <c r="AB782" s="946"/>
      <c r="AC782" s="1385">
        <f>SUM(AC772:AG781)</f>
        <v>0</v>
      </c>
      <c r="AD782" s="1386"/>
      <c r="AE782" s="1386"/>
      <c r="AF782" s="1386"/>
      <c r="AG782" s="138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6">
        <f>O739+AC762+AC782</f>
        <v>255726</v>
      </c>
      <c r="Z784" s="1686"/>
      <c r="AA784" s="1686"/>
      <c r="AB784" s="1686"/>
      <c r="AC784" s="16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6">
        <f>(O739+AC762+AC782)*12</f>
        <v>3068712</v>
      </c>
      <c r="Z785" s="1686"/>
      <c r="AA785" s="1686"/>
      <c r="AB785" s="1686"/>
      <c r="AC785" s="1686"/>
      <c r="AZ785" s="3"/>
      <c r="BA785" s="14" t="s">
        <v>642</v>
      </c>
      <c r="BB785" s="14"/>
      <c r="BC785" s="14"/>
      <c r="BD785" s="14"/>
      <c r="BE785" s="14"/>
      <c r="BF785" s="14"/>
      <c r="BG785" s="14"/>
      <c r="BH785" s="14"/>
      <c r="BI785" s="14"/>
      <c r="BJ785" s="14"/>
      <c r="BK785" s="14"/>
      <c r="BL785" s="14"/>
      <c r="BM785" s="14"/>
      <c r="BN785" s="1683" t="s">
        <v>479</v>
      </c>
      <c r="BO785" s="1684"/>
      <c r="BP785" s="3"/>
      <c r="BQ785" s="3"/>
      <c r="BR785" s="3"/>
      <c r="BS785" s="14" t="s">
        <v>644</v>
      </c>
      <c r="BT785" s="14"/>
      <c r="BU785" s="14"/>
      <c r="BV785" s="14"/>
      <c r="BW785" s="14"/>
      <c r="BX785" s="14"/>
      <c r="BY785" s="14"/>
      <c r="BZ785" s="14"/>
      <c r="CA785" s="14"/>
      <c r="CB785" s="1680" t="str">
        <f>T189</f>
        <v>Orange</v>
      </c>
      <c r="CC785" s="1681"/>
      <c r="CD785" s="1681"/>
      <c r="CE785" s="1681"/>
      <c r="CF785" s="1681"/>
      <c r="CG785" s="1681"/>
      <c r="CH785" s="168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c r="AA790" s="1588"/>
      <c r="AB790" s="1588"/>
      <c r="AC790" s="1588"/>
      <c r="AD790" s="1588"/>
      <c r="AE790" s="158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1"/>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43">
        <v>0</v>
      </c>
      <c r="AA792" s="1689"/>
      <c r="AB792" s="1689"/>
      <c r="AC792" s="1689"/>
      <c r="AD792" s="1689"/>
      <c r="AE792" s="169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2">
        <f>'Subsidy Contract Calculation'!J30</f>
        <v>0</v>
      </c>
      <c r="AA793" s="1593"/>
      <c r="AB793" s="1593"/>
      <c r="AC793" s="1593"/>
      <c r="AD793" s="1593"/>
      <c r="AE793" s="159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0">
        <v>49800</v>
      </c>
      <c r="AA797" s="1421"/>
      <c r="AB797" s="1421"/>
      <c r="AC797" s="1421"/>
      <c r="AD797" s="1421"/>
      <c r="AE797" s="142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0"/>
      <c r="AA798" s="1421"/>
      <c r="AB798" s="1421"/>
      <c r="AC798" s="1421"/>
      <c r="AD798" s="1421"/>
      <c r="AE798" s="142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0"/>
      <c r="AA799" s="1421"/>
      <c r="AB799" s="1421"/>
      <c r="AC799" s="1421"/>
      <c r="AD799" s="1421"/>
      <c r="AE799" s="142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4" t="s">
        <v>2723</v>
      </c>
      <c r="Q800" s="1535"/>
      <c r="R800" s="1535"/>
      <c r="S800" s="1535"/>
      <c r="T800" s="1535"/>
      <c r="U800" s="1535"/>
      <c r="V800" s="1535"/>
      <c r="W800" s="1535"/>
      <c r="X800" s="1535"/>
      <c r="Y800" s="1536"/>
      <c r="Z800" s="1420">
        <v>69720</v>
      </c>
      <c r="AA800" s="1421"/>
      <c r="AB800" s="1421"/>
      <c r="AC800" s="1421"/>
      <c r="AD800" s="1421"/>
      <c r="AE800" s="142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2">
        <f>SUM(Z797:AE800)</f>
        <v>119520</v>
      </c>
      <c r="AA801" s="1593"/>
      <c r="AB801" s="1593"/>
      <c r="AC801" s="1593"/>
      <c r="AD801" s="1593"/>
      <c r="AE801" s="159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92">
        <f>Z801+Y785+Z793</f>
        <v>3188232</v>
      </c>
      <c r="AA802" s="1593"/>
      <c r="AB802" s="1593"/>
      <c r="AC802" s="1593"/>
      <c r="AD802" s="1593"/>
      <c r="AE802" s="159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0" t="s">
        <v>127</v>
      </c>
      <c r="N807" s="1520"/>
      <c r="O807" s="1520"/>
      <c r="P807" s="1742"/>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30" t="s">
        <v>337</v>
      </c>
      <c r="AH807" s="1730"/>
      <c r="AI807" s="1730"/>
      <c r="AJ807" s="1730"/>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4"/>
      <c r="N808" s="1524"/>
      <c r="O808" s="1524"/>
      <c r="P808" s="1720"/>
      <c r="Q808" s="1586"/>
      <c r="R808" s="1586"/>
      <c r="S808" s="1586"/>
      <c r="T808" s="1586"/>
      <c r="U808" s="1586"/>
      <c r="V808" s="1586"/>
      <c r="W808" s="1586"/>
      <c r="X808" s="1586"/>
      <c r="Y808" s="1586"/>
      <c r="Z808" s="1586"/>
      <c r="AA808" s="1586"/>
      <c r="AB808" s="1586"/>
      <c r="AC808" s="1586"/>
      <c r="AD808" s="1586"/>
      <c r="AE808" s="1586"/>
      <c r="AF808" s="1586"/>
      <c r="AG808" s="1730"/>
      <c r="AH808" s="1730"/>
      <c r="AI808" s="1730"/>
      <c r="AJ808" s="1730"/>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3" t="s">
        <v>40</v>
      </c>
      <c r="D809" s="1363"/>
      <c r="E809" s="1363"/>
      <c r="F809" s="1363"/>
      <c r="G809" s="1363"/>
      <c r="H809" s="1363"/>
      <c r="I809" s="48"/>
      <c r="J809" s="48"/>
      <c r="K809" s="48"/>
      <c r="L809" s="49"/>
      <c r="M809" s="1585"/>
      <c r="N809" s="1585"/>
      <c r="O809" s="1585"/>
      <c r="P809" s="1585"/>
      <c r="Q809" s="1585">
        <v>22</v>
      </c>
      <c r="R809" s="1585"/>
      <c r="S809" s="1585"/>
      <c r="T809" s="1585"/>
      <c r="U809" s="1585">
        <v>25</v>
      </c>
      <c r="V809" s="1585"/>
      <c r="W809" s="1585"/>
      <c r="X809" s="1585"/>
      <c r="Y809" s="1585"/>
      <c r="Z809" s="1585"/>
      <c r="AA809" s="1585"/>
      <c r="AB809" s="1585"/>
      <c r="AC809" s="1353"/>
      <c r="AD809" s="1354"/>
      <c r="AE809" s="1354"/>
      <c r="AF809" s="1355"/>
      <c r="AG809" s="1353"/>
      <c r="AH809" s="1354"/>
      <c r="AI809" s="1354"/>
      <c r="AJ809" s="135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6" t="s">
        <v>41</v>
      </c>
      <c r="D810" s="1591"/>
      <c r="E810" s="1591"/>
      <c r="F810" s="1591"/>
      <c r="G810" s="1591"/>
      <c r="H810" s="1591"/>
      <c r="I810" s="5"/>
      <c r="J810" s="5"/>
      <c r="K810" s="5"/>
      <c r="L810" s="46"/>
      <c r="M810" s="1585"/>
      <c r="N810" s="1585"/>
      <c r="O810" s="1585"/>
      <c r="P810" s="1585"/>
      <c r="Q810" s="1585"/>
      <c r="R810" s="1585"/>
      <c r="S810" s="1585"/>
      <c r="T810" s="1585"/>
      <c r="U810" s="1585"/>
      <c r="V810" s="1585"/>
      <c r="W810" s="1585"/>
      <c r="X810" s="1585"/>
      <c r="Y810" s="1585"/>
      <c r="Z810" s="1585"/>
      <c r="AA810" s="1585"/>
      <c r="AB810" s="1585"/>
      <c r="AC810" s="1353"/>
      <c r="AD810" s="1354"/>
      <c r="AE810" s="1354"/>
      <c r="AF810" s="1355"/>
      <c r="AG810" s="1353"/>
      <c r="AH810" s="1354"/>
      <c r="AI810" s="1354"/>
      <c r="AJ810" s="135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6" t="s">
        <v>42</v>
      </c>
      <c r="D811" s="1591"/>
      <c r="E811" s="1591"/>
      <c r="F811" s="1591"/>
      <c r="G811" s="1591"/>
      <c r="H811" s="1591"/>
      <c r="I811" s="60"/>
      <c r="J811" s="60"/>
      <c r="K811" s="60"/>
      <c r="L811" s="61"/>
      <c r="M811" s="1585"/>
      <c r="N811" s="1585"/>
      <c r="O811" s="1585"/>
      <c r="P811" s="1585"/>
      <c r="Q811" s="1585">
        <v>11</v>
      </c>
      <c r="R811" s="1585"/>
      <c r="S811" s="1585"/>
      <c r="T811" s="1585"/>
      <c r="U811" s="1585">
        <v>17</v>
      </c>
      <c r="V811" s="1585"/>
      <c r="W811" s="1585"/>
      <c r="X811" s="1585"/>
      <c r="Y811" s="1585"/>
      <c r="Z811" s="1585"/>
      <c r="AA811" s="1585"/>
      <c r="AB811" s="1585"/>
      <c r="AC811" s="1353"/>
      <c r="AD811" s="1354"/>
      <c r="AE811" s="1354"/>
      <c r="AF811" s="1355"/>
      <c r="AG811" s="1353"/>
      <c r="AH811" s="1354"/>
      <c r="AI811" s="1354"/>
      <c r="AJ811" s="135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6" t="s">
        <v>787</v>
      </c>
      <c r="D812" s="1591"/>
      <c r="E812" s="1591"/>
      <c r="F812" s="1591"/>
      <c r="G812" s="1591"/>
      <c r="H812" s="1591"/>
      <c r="I812" s="60"/>
      <c r="J812" s="60"/>
      <c r="K812" s="60"/>
      <c r="L812" s="61"/>
      <c r="M812" s="1585"/>
      <c r="N812" s="1585"/>
      <c r="O812" s="1585"/>
      <c r="P812" s="1585"/>
      <c r="Q812" s="1585"/>
      <c r="R812" s="1585"/>
      <c r="S812" s="1585"/>
      <c r="T812" s="1585"/>
      <c r="U812" s="1585"/>
      <c r="V812" s="1585"/>
      <c r="W812" s="1585"/>
      <c r="X812" s="1585"/>
      <c r="Y812" s="1585"/>
      <c r="Z812" s="1585"/>
      <c r="AA812" s="1585"/>
      <c r="AB812" s="1585"/>
      <c r="AC812" s="1353"/>
      <c r="AD812" s="1354"/>
      <c r="AE812" s="1354"/>
      <c r="AF812" s="1355"/>
      <c r="AG812" s="1353"/>
      <c r="AH812" s="1354"/>
      <c r="AI812" s="1354"/>
      <c r="AJ812" s="135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6" t="s">
        <v>469</v>
      </c>
      <c r="D813" s="1591"/>
      <c r="E813" s="1591"/>
      <c r="F813" s="1591"/>
      <c r="G813" s="1591"/>
      <c r="H813" s="1591"/>
      <c r="I813" s="60"/>
      <c r="J813" s="60"/>
      <c r="K813" s="60"/>
      <c r="L813" s="61"/>
      <c r="M813" s="1585"/>
      <c r="N813" s="1585"/>
      <c r="O813" s="1585"/>
      <c r="P813" s="1585"/>
      <c r="Q813" s="1585">
        <v>35</v>
      </c>
      <c r="R813" s="1585"/>
      <c r="S813" s="1585"/>
      <c r="T813" s="1585"/>
      <c r="U813" s="1585">
        <v>49</v>
      </c>
      <c r="V813" s="1585"/>
      <c r="W813" s="1585"/>
      <c r="X813" s="1585"/>
      <c r="Y813" s="1585"/>
      <c r="Z813" s="1585"/>
      <c r="AA813" s="1585"/>
      <c r="AB813" s="1585"/>
      <c r="AC813" s="1353"/>
      <c r="AD813" s="1354"/>
      <c r="AE813" s="1354"/>
      <c r="AF813" s="1355"/>
      <c r="AG813" s="1353"/>
      <c r="AH813" s="1354"/>
      <c r="AI813" s="1354"/>
      <c r="AJ813" s="135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90" t="s">
        <v>808</v>
      </c>
      <c r="D814" s="1591"/>
      <c r="E814" s="1591"/>
      <c r="F814" s="1591"/>
      <c r="G814" s="1591"/>
      <c r="H814" s="1591"/>
      <c r="I814" s="60"/>
      <c r="J814" s="60"/>
      <c r="K814" s="60"/>
      <c r="L814" s="61"/>
      <c r="M814" s="1585"/>
      <c r="N814" s="1585"/>
      <c r="O814" s="1585"/>
      <c r="P814" s="1585"/>
      <c r="Q814" s="1585"/>
      <c r="R814" s="1585"/>
      <c r="S814" s="1585"/>
      <c r="T814" s="1585"/>
      <c r="U814" s="1585"/>
      <c r="V814" s="1585"/>
      <c r="W814" s="1585"/>
      <c r="X814" s="1585"/>
      <c r="Y814" s="1585"/>
      <c r="Z814" s="1585"/>
      <c r="AA814" s="1585"/>
      <c r="AB814" s="1585"/>
      <c r="AC814" s="1353"/>
      <c r="AD814" s="1354"/>
      <c r="AE814" s="1354"/>
      <c r="AF814" s="1355"/>
      <c r="AG814" s="1353"/>
      <c r="AH814" s="1354"/>
      <c r="AI814" s="1354"/>
      <c r="AJ814" s="135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4" t="s">
        <v>2695</v>
      </c>
      <c r="G815" s="1535"/>
      <c r="H815" s="1535"/>
      <c r="I815" s="1535"/>
      <c r="J815" s="1535"/>
      <c r="K815" s="1535"/>
      <c r="L815" s="1535"/>
      <c r="M815" s="1585"/>
      <c r="N815" s="1585"/>
      <c r="O815" s="1585"/>
      <c r="P815" s="1585"/>
      <c r="Q815" s="1585">
        <v>13</v>
      </c>
      <c r="R815" s="1585"/>
      <c r="S815" s="1585"/>
      <c r="T815" s="1585"/>
      <c r="U815" s="1585">
        <v>19</v>
      </c>
      <c r="V815" s="1585"/>
      <c r="W815" s="1585"/>
      <c r="X815" s="1585"/>
      <c r="Y815" s="1585"/>
      <c r="Z815" s="1585"/>
      <c r="AA815" s="1585"/>
      <c r="AB815" s="1585"/>
      <c r="AC815" s="1353"/>
      <c r="AD815" s="1354"/>
      <c r="AE815" s="1354"/>
      <c r="AF815" s="1355"/>
      <c r="AG815" s="1353"/>
      <c r="AH815" s="1354"/>
      <c r="AI815" s="1354"/>
      <c r="AJ815" s="135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9" t="s">
        <v>125</v>
      </c>
      <c r="D816" s="1580"/>
      <c r="E816" s="1580"/>
      <c r="F816" s="1580"/>
      <c r="G816" s="1580"/>
      <c r="H816" s="1580"/>
      <c r="I816" s="1580"/>
      <c r="J816" s="1580"/>
      <c r="K816" s="1580"/>
      <c r="L816" s="1581"/>
      <c r="M816" s="1721">
        <f>SUM(M809:P815)</f>
        <v>0</v>
      </c>
      <c r="N816" s="1721"/>
      <c r="O816" s="1721"/>
      <c r="P816" s="1721"/>
      <c r="Q816" s="1721">
        <f>SUM(Q809:T815)</f>
        <v>81</v>
      </c>
      <c r="R816" s="1721"/>
      <c r="S816" s="1721"/>
      <c r="T816" s="1721"/>
      <c r="U816" s="1721">
        <f>SUM(U809:X815)</f>
        <v>110</v>
      </c>
      <c r="V816" s="1721"/>
      <c r="W816" s="1721"/>
      <c r="X816" s="1721"/>
      <c r="Y816" s="1721">
        <f>SUM(Y809:AB815)</f>
        <v>0</v>
      </c>
      <c r="Z816" s="1721"/>
      <c r="AA816" s="1721"/>
      <c r="AB816" s="1721"/>
      <c r="AC816" s="1721">
        <f>SUM(AC809:AF815)</f>
        <v>0</v>
      </c>
      <c r="AD816" s="1721"/>
      <c r="AE816" s="1721"/>
      <c r="AF816" s="1721"/>
      <c r="AG816" s="1721">
        <f>SUM(AG809:AJ815)</f>
        <v>0</v>
      </c>
      <c r="AH816" s="1721"/>
      <c r="AI816" s="1721"/>
      <c r="AJ816" s="172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5" t="s">
        <v>2696</v>
      </c>
      <c r="D821" s="1706"/>
      <c r="E821" s="1706"/>
      <c r="F821" s="1706"/>
      <c r="G821" s="1706"/>
      <c r="H821" s="1706"/>
      <c r="I821" s="1706"/>
      <c r="J821" s="1706"/>
      <c r="K821" s="1706"/>
      <c r="L821" s="1706"/>
      <c r="M821" s="1706"/>
      <c r="N821" s="1706"/>
      <c r="O821" s="1706"/>
      <c r="P821" s="1706"/>
      <c r="Q821" s="1706"/>
      <c r="R821" s="1706"/>
      <c r="S821" s="1706"/>
      <c r="T821" s="1706"/>
      <c r="U821" s="1706"/>
      <c r="V821" s="1706"/>
      <c r="W821" s="1706"/>
      <c r="X821" s="1706"/>
      <c r="Y821" s="1706"/>
      <c r="Z821" s="1706"/>
      <c r="AA821" s="1706"/>
      <c r="AB821" s="1706"/>
      <c r="AC821" s="1706"/>
      <c r="AD821" s="1706"/>
      <c r="AE821" s="1706"/>
      <c r="AF821" s="1706"/>
      <c r="AG821" s="1706"/>
      <c r="AH821" s="1706"/>
      <c r="AI821" s="1706"/>
      <c r="AJ821" s="170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3">
        <v>1494</v>
      </c>
      <c r="X826" s="1423"/>
      <c r="Y826" s="1423"/>
      <c r="Z826" s="1423"/>
      <c r="AA826" s="1423"/>
      <c r="AB826" s="1423"/>
      <c r="AC826" s="142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3">
        <v>10000</v>
      </c>
      <c r="X827" s="1423"/>
      <c r="Y827" s="1423"/>
      <c r="Z827" s="1423"/>
      <c r="AA827" s="1423"/>
      <c r="AB827" s="1423"/>
      <c r="AC827" s="142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3">
        <v>14900</v>
      </c>
      <c r="X828" s="1423"/>
      <c r="Y828" s="1423"/>
      <c r="Z828" s="1423"/>
      <c r="AA828" s="1423"/>
      <c r="AB828" s="1423"/>
      <c r="AC828" s="1423"/>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3">
        <v>7470</v>
      </c>
      <c r="X829" s="1423"/>
      <c r="Y829" s="1423"/>
      <c r="Z829" s="1423"/>
      <c r="AA829" s="1423"/>
      <c r="AB829" s="1423"/>
      <c r="AC829" s="1423"/>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4" t="s">
        <v>336</v>
      </c>
      <c r="N830" s="1535"/>
      <c r="O830" s="1535"/>
      <c r="P830" s="1535"/>
      <c r="Q830" s="1535"/>
      <c r="R830" s="1535"/>
      <c r="S830" s="1535"/>
      <c r="T830" s="1535"/>
      <c r="U830" s="1535"/>
      <c r="V830" s="1536"/>
      <c r="W830" s="1423"/>
      <c r="X830" s="1423"/>
      <c r="Y830" s="1423"/>
      <c r="Z830" s="1423"/>
      <c r="AA830" s="1423"/>
      <c r="AB830" s="1423"/>
      <c r="AC830" s="1423"/>
      <c r="AD830"/>
      <c r="AE830"/>
      <c r="AF830"/>
      <c r="AG830"/>
      <c r="AH830"/>
      <c r="AI830"/>
      <c r="AJ830"/>
      <c r="AK830"/>
      <c r="AL830"/>
      <c r="AM830"/>
      <c r="AN830"/>
      <c r="AO830"/>
      <c r="AP830"/>
      <c r="AQ830"/>
      <c r="AR830"/>
      <c r="AS830"/>
      <c r="AT830"/>
      <c r="AU830"/>
      <c r="AV830"/>
      <c r="AW830"/>
      <c r="AX830"/>
      <c r="AY830"/>
      <c r="BI830" s="1644">
        <f>ROUNDDOWN(BC918*2,2)</f>
        <v>0</v>
      </c>
      <c r="BJ830" s="1644"/>
      <c r="BK830" s="1644"/>
      <c r="BL830" s="1644"/>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2">
        <f>SUM(W826:AC830)</f>
        <v>33864</v>
      </c>
      <c r="X831" s="1593"/>
      <c r="Y831" s="1593"/>
      <c r="Z831" s="1593"/>
      <c r="AA831" s="1593"/>
      <c r="AB831" s="1593"/>
      <c r="AC831" s="159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0">
        <v>106009</v>
      </c>
      <c r="X833" s="1421"/>
      <c r="Y833" s="1421"/>
      <c r="Z833" s="1421"/>
      <c r="AA833" s="1421"/>
      <c r="AB833" s="1421"/>
      <c r="AC833" s="1422"/>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14">
        <v>89308</v>
      </c>
      <c r="X835" s="1714"/>
      <c r="Y835" s="1714"/>
      <c r="Z835" s="1714"/>
      <c r="AA835" s="1714"/>
      <c r="AB835" s="1714"/>
      <c r="AC835" s="1714"/>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14"/>
      <c r="X836" s="1714"/>
      <c r="Y836" s="1714"/>
      <c r="Z836" s="1714"/>
      <c r="AA836" s="1714"/>
      <c r="AB836" s="1714"/>
      <c r="AC836" s="1714"/>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14"/>
      <c r="X837" s="1714"/>
      <c r="Y837" s="1714"/>
      <c r="Z837" s="1714"/>
      <c r="AA837" s="1714"/>
      <c r="AB837" s="1714"/>
      <c r="AC837" s="1714"/>
      <c r="AD837"/>
      <c r="AE837"/>
      <c r="AF837"/>
      <c r="AG837"/>
      <c r="AH837"/>
      <c r="AI837"/>
      <c r="AJ837"/>
      <c r="AK837"/>
      <c r="AL837"/>
      <c r="AM837"/>
      <c r="AN837"/>
      <c r="AO837"/>
      <c r="AP837"/>
      <c r="AQ837"/>
      <c r="AR837"/>
      <c r="AS837"/>
      <c r="AT837"/>
      <c r="AU837"/>
      <c r="AV837"/>
      <c r="AW837"/>
      <c r="AX837"/>
      <c r="AY837"/>
      <c r="AZ837" s="30"/>
      <c r="BA837" s="30"/>
      <c r="BG837" s="1653"/>
      <c r="BH837" s="1653"/>
      <c r="BI837" s="1653"/>
      <c r="BJ837" s="1653"/>
      <c r="BK837" s="1653"/>
      <c r="BL837" s="1653"/>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14"/>
      <c r="X838" s="1714"/>
      <c r="Y838" s="1714"/>
      <c r="Z838" s="1714"/>
      <c r="AA838" s="1714"/>
      <c r="AB838" s="1714"/>
      <c r="AC838" s="171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29">
        <f>SUM(W835:AC838)</f>
        <v>89308</v>
      </c>
      <c r="X839" s="1729"/>
      <c r="Y839" s="1729"/>
      <c r="Z839" s="1729"/>
      <c r="AA839" s="1729"/>
      <c r="AB839" s="1729"/>
      <c r="AC839" s="172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5">
        <f>SUM(AZ807:AZ835)</f>
        <v>7.5000000000000011E-2</v>
      </c>
      <c r="BA840" s="172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0">
        <v>178761</v>
      </c>
      <c r="X841" s="1651"/>
      <c r="Y841" s="1651"/>
      <c r="Z841" s="1651"/>
      <c r="AA841" s="1651"/>
      <c r="AB841" s="1651"/>
      <c r="AC841" s="1652"/>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712">
        <v>4</v>
      </c>
      <c r="U842" s="1673"/>
      <c r="V842" s="171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0">
        <v>159292</v>
      </c>
      <c r="X843" s="1651"/>
      <c r="Y843" s="1651"/>
      <c r="Z843" s="1651"/>
      <c r="AA843" s="1651"/>
      <c r="AB843" s="1651"/>
      <c r="AC843" s="165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12">
        <v>2</v>
      </c>
      <c r="U844" s="1673"/>
      <c r="V844" s="171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4" t="s">
        <v>336</v>
      </c>
      <c r="N845" s="1535"/>
      <c r="O845" s="1535"/>
      <c r="P845" s="1535"/>
      <c r="Q845" s="1535"/>
      <c r="R845" s="1535"/>
      <c r="S845" s="1535"/>
      <c r="T845" s="1535"/>
      <c r="U845" s="1535"/>
      <c r="V845" s="1536"/>
      <c r="W845" s="1650"/>
      <c r="X845" s="1651"/>
      <c r="Y845" s="1651"/>
      <c r="Z845" s="1651"/>
      <c r="AA845" s="1651"/>
      <c r="AB845" s="1651"/>
      <c r="AC845" s="165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6">
        <f>SUM(W841:AC845)</f>
        <v>338053</v>
      </c>
      <c r="X846" s="1727"/>
      <c r="Y846" s="1727"/>
      <c r="Z846" s="1727"/>
      <c r="AA846" s="1727"/>
      <c r="AB846" s="1727"/>
      <c r="AC846" s="172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0">
        <v>49800</v>
      </c>
      <c r="X847" s="1651"/>
      <c r="Y847" s="1651"/>
      <c r="Z847" s="1651"/>
      <c r="AA847" s="1651"/>
      <c r="AB847" s="1651"/>
      <c r="AC847" s="165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3">
        <v>7470</v>
      </c>
      <c r="X849" s="1423"/>
      <c r="Y849" s="1423"/>
      <c r="Z849" s="1423"/>
      <c r="AA849" s="1423"/>
      <c r="AB849" s="1423"/>
      <c r="AC849" s="14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3">
        <v>24900</v>
      </c>
      <c r="X850" s="1423"/>
      <c r="Y850" s="1423"/>
      <c r="Z850" s="1423"/>
      <c r="AA850" s="1423"/>
      <c r="AB850" s="1423"/>
      <c r="AC850" s="14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3"/>
      <c r="X851" s="1423"/>
      <c r="Y851" s="1423"/>
      <c r="Z851" s="1423"/>
      <c r="AA851" s="1423"/>
      <c r="AB851" s="1423"/>
      <c r="AC851" s="14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3"/>
      <c r="X852" s="1423"/>
      <c r="Y852" s="1423"/>
      <c r="Z852" s="1423"/>
      <c r="AA852" s="1423"/>
      <c r="AB852" s="1423"/>
      <c r="AC852" s="142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3"/>
      <c r="X853" s="1423"/>
      <c r="Y853" s="1423"/>
      <c r="Z853" s="1423"/>
      <c r="AA853" s="1423"/>
      <c r="AB853" s="1423"/>
      <c r="AC853" s="14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3"/>
      <c r="X854" s="1423"/>
      <c r="Y854" s="1423"/>
      <c r="Z854" s="1423"/>
      <c r="AA854" s="1423"/>
      <c r="AB854" s="1423"/>
      <c r="AC854" s="14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4" t="s">
        <v>336</v>
      </c>
      <c r="N855" s="1535"/>
      <c r="O855" s="1535"/>
      <c r="P855" s="1535"/>
      <c r="Q855" s="1535"/>
      <c r="R855" s="1535"/>
      <c r="S855" s="1535"/>
      <c r="T855" s="1535"/>
      <c r="U855" s="1535"/>
      <c r="V855" s="1536"/>
      <c r="W855" s="1423"/>
      <c r="X855" s="1423"/>
      <c r="Y855" s="1423"/>
      <c r="Z855" s="1423"/>
      <c r="AA855" s="1423"/>
      <c r="AB855" s="1423"/>
      <c r="AC855" s="14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86">
        <f>SUM(W849:AC855)</f>
        <v>32370</v>
      </c>
      <c r="X856" s="1686"/>
      <c r="Y856" s="1686"/>
      <c r="Z856" s="1686"/>
      <c r="AA856" s="1686"/>
      <c r="AB856" s="1686"/>
      <c r="AC856" s="168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4" t="s">
        <v>336</v>
      </c>
      <c r="N858" s="1535"/>
      <c r="O858" s="1535"/>
      <c r="P858" s="1535"/>
      <c r="Q858" s="1535"/>
      <c r="R858" s="1535"/>
      <c r="S858" s="1535"/>
      <c r="T858" s="1535"/>
      <c r="U858" s="1535"/>
      <c r="V858" s="1536"/>
      <c r="W858" s="1420"/>
      <c r="X858" s="1421"/>
      <c r="Y858" s="1421"/>
      <c r="Z858" s="1421"/>
      <c r="AA858" s="1421"/>
      <c r="AB858" s="1421"/>
      <c r="AC858" s="142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4" t="s">
        <v>336</v>
      </c>
      <c r="N859" s="1535"/>
      <c r="O859" s="1535"/>
      <c r="P859" s="1535"/>
      <c r="Q859" s="1535"/>
      <c r="R859" s="1535"/>
      <c r="S859" s="1535"/>
      <c r="T859" s="1535"/>
      <c r="U859" s="1535"/>
      <c r="V859" s="1536"/>
      <c r="W859" s="1420"/>
      <c r="X859" s="1421"/>
      <c r="Y859" s="1421"/>
      <c r="Z859" s="1421"/>
      <c r="AA859" s="1421"/>
      <c r="AB859" s="1421"/>
      <c r="AC859" s="142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4" t="s">
        <v>336</v>
      </c>
      <c r="N860" s="1535"/>
      <c r="O860" s="1535"/>
      <c r="P860" s="1535"/>
      <c r="Q860" s="1535"/>
      <c r="R860" s="1535"/>
      <c r="S860" s="1535"/>
      <c r="T860" s="1535"/>
      <c r="U860" s="1535"/>
      <c r="V860" s="1536"/>
      <c r="W860" s="1420"/>
      <c r="X860" s="1421"/>
      <c r="Y860" s="1421"/>
      <c r="Z860" s="1421"/>
      <c r="AA860" s="1421"/>
      <c r="AB860" s="1421"/>
      <c r="AC860" s="142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4" t="s">
        <v>336</v>
      </c>
      <c r="N861" s="1535"/>
      <c r="O861" s="1535"/>
      <c r="P861" s="1535"/>
      <c r="Q861" s="1535"/>
      <c r="R861" s="1535"/>
      <c r="S861" s="1535"/>
      <c r="T861" s="1535"/>
      <c r="U861" s="1535"/>
      <c r="V861" s="1536"/>
      <c r="W861" s="1420"/>
      <c r="X861" s="1421"/>
      <c r="Y861" s="1421"/>
      <c r="Z861" s="1421"/>
      <c r="AA861" s="1421"/>
      <c r="AB861" s="1421"/>
      <c r="AC861" s="142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4" t="s">
        <v>336</v>
      </c>
      <c r="N862" s="1535"/>
      <c r="O862" s="1535"/>
      <c r="P862" s="1535"/>
      <c r="Q862" s="1535"/>
      <c r="R862" s="1535"/>
      <c r="S862" s="1535"/>
      <c r="T862" s="1535"/>
      <c r="U862" s="1535"/>
      <c r="V862" s="1536"/>
      <c r="W862" s="1420"/>
      <c r="X862" s="1421"/>
      <c r="Y862" s="1421"/>
      <c r="Z862" s="1421"/>
      <c r="AA862" s="1421"/>
      <c r="AB862" s="1421"/>
      <c r="AC862" s="142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2">
        <f>SUM(W858:AC862)</f>
        <v>0</v>
      </c>
      <c r="X863" s="1593"/>
      <c r="Y863" s="1593"/>
      <c r="Z863" s="1593"/>
      <c r="AA863" s="1593"/>
      <c r="AB863" s="1593"/>
      <c r="AC863" s="159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3">
        <f>W831+W839+W846+W847+W856+W863+W833</f>
        <v>649404</v>
      </c>
      <c r="AD867" s="1593"/>
      <c r="AE867" s="1593"/>
      <c r="AF867" s="1593"/>
      <c r="AG867" s="1593"/>
      <c r="AH867" s="159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0">
        <f>O782+O762+G739</f>
        <v>166</v>
      </c>
      <c r="AD868" s="1710"/>
      <c r="AE868" s="1710"/>
      <c r="AF868" s="1710"/>
      <c r="AG868" s="1710"/>
      <c r="AH868" s="171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8" t="s">
        <v>32</v>
      </c>
      <c r="F869" s="1708"/>
      <c r="G869" s="1708"/>
      <c r="H869" s="1708"/>
      <c r="I869" s="1708"/>
      <c r="J869" s="1708"/>
      <c r="K869" s="1708"/>
      <c r="L869" s="1708"/>
      <c r="M869" s="1708"/>
      <c r="N869" s="1708"/>
      <c r="O869" s="1708"/>
      <c r="P869" s="1708"/>
      <c r="Q869" s="1708"/>
      <c r="R869" s="1708"/>
      <c r="S869" s="1708"/>
      <c r="T869" s="1708"/>
      <c r="U869" s="1708"/>
      <c r="V869" s="1708"/>
      <c r="W869" s="1708"/>
      <c r="X869" s="1708"/>
      <c r="Y869" s="1708"/>
      <c r="Z869" s="1708"/>
      <c r="AA869" s="1708"/>
      <c r="AB869" s="1709"/>
      <c r="AC869" s="1686">
        <f>IF(ISERROR((ROUNDDOWN(AC867/AC868,0))),0,(ROUNDDOWN(AC867/AC868,0)))</f>
        <v>3912</v>
      </c>
      <c r="AD869" s="1686"/>
      <c r="AE869" s="1686"/>
      <c r="AF869" s="1686"/>
      <c r="AG869" s="1686"/>
      <c r="AH869" s="168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3">
        <f>'Sources and Uses Budget'!C75</f>
        <v>704241</v>
      </c>
      <c r="AD870" s="1734"/>
      <c r="AE870" s="1734"/>
      <c r="AF870" s="1734"/>
      <c r="AG870" s="1734"/>
      <c r="AH870" s="173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2"/>
      <c r="AD871" s="1423"/>
      <c r="AE871" s="1423"/>
      <c r="AF871" s="1423"/>
      <c r="AG871" s="1423"/>
      <c r="AH871" s="14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1">
        <v>22500</v>
      </c>
      <c r="AD872" s="1421"/>
      <c r="AE872" s="1421"/>
      <c r="AF872" s="1421"/>
      <c r="AG872" s="1421"/>
      <c r="AH872" s="142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1">
        <v>41500</v>
      </c>
      <c r="AD873" s="1421"/>
      <c r="AE873" s="1421"/>
      <c r="AF873" s="1421"/>
      <c r="AG873" s="1421"/>
      <c r="AH873" s="142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53"/>
      <c r="AD874" s="1354"/>
      <c r="AE874" s="1354"/>
      <c r="AF874" s="1354"/>
      <c r="AG874" s="1354"/>
      <c r="AH874" s="135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1"/>
      <c r="AD875" s="1421"/>
      <c r="AE875" s="1421"/>
      <c r="AF875" s="1421"/>
      <c r="AG875" s="1421"/>
      <c r="AH875" s="142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1">
        <v>16766</v>
      </c>
      <c r="AD876" s="1421"/>
      <c r="AE876" s="1421"/>
      <c r="AF876" s="1421"/>
      <c r="AG876" s="1421"/>
      <c r="AH876" s="142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2" t="s">
        <v>997</v>
      </c>
      <c r="D877" s="1723"/>
      <c r="E877" s="1723"/>
      <c r="F877" s="1723"/>
      <c r="G877" s="1723"/>
      <c r="H877" s="1723"/>
      <c r="I877" s="1723"/>
      <c r="J877" s="1723"/>
      <c r="K877" s="1723"/>
      <c r="L877" s="1723"/>
      <c r="M877" s="1723"/>
      <c r="N877" s="1723"/>
      <c r="O877" s="1723"/>
      <c r="P877" s="1723"/>
      <c r="Q877" s="1723"/>
      <c r="R877" s="1723"/>
      <c r="S877" s="1723"/>
      <c r="T877" s="1723"/>
      <c r="U877" s="1723"/>
      <c r="V877" s="1723"/>
      <c r="W877" s="1723"/>
      <c r="X877" s="1723"/>
      <c r="Y877" s="1723"/>
      <c r="Z877" s="1723"/>
      <c r="AA877" s="1723"/>
      <c r="AB877" s="1724"/>
      <c r="AC877" s="1423"/>
      <c r="AD877" s="1423"/>
      <c r="AE877" s="1423"/>
      <c r="AF877" s="1423"/>
      <c r="AG877" s="1423"/>
      <c r="AH877" s="14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2" t="s">
        <v>997</v>
      </c>
      <c r="D878" s="1723"/>
      <c r="E878" s="1723"/>
      <c r="F878" s="1723"/>
      <c r="G878" s="1723"/>
      <c r="H878" s="1723"/>
      <c r="I878" s="1723"/>
      <c r="J878" s="1723"/>
      <c r="K878" s="1723"/>
      <c r="L878" s="1723"/>
      <c r="M878" s="1723"/>
      <c r="N878" s="1723"/>
      <c r="O878" s="1723"/>
      <c r="P878" s="1723"/>
      <c r="Q878" s="1723"/>
      <c r="R878" s="1723"/>
      <c r="S878" s="1723"/>
      <c r="T878" s="1723"/>
      <c r="U878" s="1723"/>
      <c r="V878" s="1723"/>
      <c r="W878" s="1723"/>
      <c r="X878" s="1723"/>
      <c r="Y878" s="1723"/>
      <c r="Z878" s="1723"/>
      <c r="AA878" s="1723"/>
      <c r="AB878" s="1724"/>
      <c r="AC878" s="1423"/>
      <c r="AD878" s="1423"/>
      <c r="AE878" s="1423"/>
      <c r="AF878" s="1423"/>
      <c r="AG878" s="1423"/>
      <c r="AH878" s="14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0"/>
      <c r="AA882" s="1421"/>
      <c r="AB882" s="1421"/>
      <c r="AC882" s="1421"/>
      <c r="AD882" s="1421"/>
      <c r="AE882" s="142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0"/>
      <c r="AA883" s="1421"/>
      <c r="AB883" s="1421"/>
      <c r="AC883" s="1421"/>
      <c r="AD883" s="1421"/>
      <c r="AE883" s="142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0"/>
      <c r="AA884" s="1421"/>
      <c r="AB884" s="1421"/>
      <c r="AC884" s="1421"/>
      <c r="AD884" s="1421"/>
      <c r="AE884" s="142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2">
        <f>Z882-(Z883+Z884)</f>
        <v>0</v>
      </c>
      <c r="AA885" s="1593"/>
      <c r="AB885" s="1593"/>
      <c r="AC885" s="1593"/>
      <c r="AD885" s="1593"/>
      <c r="AE885" s="159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5"/>
      <c r="BE887" s="171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5"/>
      <c r="BE888" s="171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3"/>
      <c r="BE889" s="1653"/>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3"/>
      <c r="BE890" s="1653"/>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3"/>
      <c r="BE891" s="1653"/>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5"/>
      <c r="BE892" s="1653"/>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8" t="s">
        <v>97</v>
      </c>
      <c r="B893" s="1648"/>
      <c r="C893" s="1648"/>
      <c r="D893" s="1648"/>
      <c r="E893" s="1648"/>
      <c r="F893" s="1648"/>
      <c r="G893" s="1648"/>
      <c r="H893" s="1648"/>
      <c r="I893" s="1648"/>
      <c r="J893" s="1648"/>
      <c r="K893" s="1648"/>
      <c r="L893" s="1648"/>
      <c r="M893" s="1648"/>
      <c r="N893" s="1648"/>
      <c r="O893" s="1648"/>
      <c r="P893" s="1648"/>
      <c r="Q893" s="1648"/>
      <c r="R893" s="1648"/>
      <c r="S893" s="1648"/>
      <c r="T893" s="1648"/>
      <c r="U893" s="1648"/>
      <c r="V893" s="1648"/>
      <c r="W893" s="1648"/>
      <c r="X893" s="1648"/>
      <c r="Y893" s="1648"/>
      <c r="Z893" s="1648"/>
      <c r="AA893" s="1648"/>
      <c r="AB893" s="1648"/>
      <c r="AC893" s="1648"/>
      <c r="AD893" s="1648"/>
      <c r="AE893" s="1648"/>
      <c r="AF893" s="1648"/>
      <c r="AG893" s="1648"/>
      <c r="AH893" s="1648"/>
      <c r="AI893" s="1648"/>
      <c r="AJ893" s="1648"/>
      <c r="AK893" s="1648"/>
      <c r="AL893" s="1648"/>
      <c r="AM893" s="95"/>
      <c r="AN893" s="95"/>
      <c r="AO893" s="95"/>
      <c r="AP893" s="95"/>
      <c r="AQ893" s="95"/>
      <c r="AR893" s="95"/>
      <c r="AS893" s="95"/>
      <c r="AT893" s="95"/>
      <c r="AU893" s="95"/>
      <c r="AV893" s="95"/>
      <c r="AW893" s="95"/>
      <c r="AX893" s="95"/>
      <c r="AY893" s="95"/>
      <c r="AZ893" s="34"/>
      <c r="BB893" s="30"/>
      <c r="BC893" s="852"/>
      <c r="BD893" s="1732"/>
      <c r="BE893" s="1732"/>
      <c r="BF893" s="173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9"/>
      <c r="B894" s="1649"/>
      <c r="C894" s="1649"/>
      <c r="D894" s="1649"/>
      <c r="E894" s="1649"/>
      <c r="F894" s="1649"/>
      <c r="G894" s="1649"/>
      <c r="H894" s="1649"/>
      <c r="I894" s="1649"/>
      <c r="J894" s="1649"/>
      <c r="K894" s="1649"/>
      <c r="L894" s="1649"/>
      <c r="M894" s="1649"/>
      <c r="N894" s="1649"/>
      <c r="O894" s="1649"/>
      <c r="P894" s="1649"/>
      <c r="Q894" s="1649"/>
      <c r="R894" s="1649"/>
      <c r="S894" s="1649"/>
      <c r="T894" s="1649"/>
      <c r="U894" s="1649"/>
      <c r="V894" s="1649"/>
      <c r="W894" s="1649"/>
      <c r="X894" s="1649"/>
      <c r="Y894" s="1649"/>
      <c r="Z894" s="1649"/>
      <c r="AA894" s="1649"/>
      <c r="AB894" s="1649"/>
      <c r="AC894" s="1649"/>
      <c r="AD894" s="1649"/>
      <c r="AE894" s="1649"/>
      <c r="AF894" s="1649"/>
      <c r="AG894" s="1649"/>
      <c r="AH894" s="1649"/>
      <c r="AI894" s="1649"/>
      <c r="AJ894" s="1649"/>
      <c r="AK894" s="1649"/>
      <c r="AL894" s="1649"/>
      <c r="AM894" s="95"/>
      <c r="AN894" s="95"/>
      <c r="AO894" s="95"/>
      <c r="AP894" s="95"/>
      <c r="AQ894" s="95"/>
      <c r="AR894" s="95"/>
      <c r="AS894" s="95"/>
      <c r="AT894" s="95"/>
      <c r="AU894" s="95"/>
      <c r="AV894" s="95"/>
      <c r="AW894" s="95"/>
      <c r="AX894" s="95"/>
      <c r="AY894" s="95"/>
      <c r="AZ894" s="34"/>
      <c r="BB894" s="30"/>
      <c r="BC894" s="852"/>
      <c r="BD894" s="1644"/>
      <c r="BE894" s="1644"/>
      <c r="BF894" s="164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3"/>
      <c r="BE895" s="1653"/>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5"/>
      <c r="BE896" s="1653"/>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0" t="s">
        <v>817</v>
      </c>
      <c r="G898" s="1541"/>
      <c r="H898" s="1541"/>
      <c r="I898" s="1541"/>
      <c r="J898" s="1541"/>
      <c r="K898" s="1541"/>
      <c r="L898" s="1541"/>
      <c r="M898" s="1541"/>
      <c r="N898" s="1541"/>
      <c r="O898" s="1541"/>
      <c r="P898" s="1541"/>
      <c r="Q898" s="1541"/>
      <c r="R898" s="1541"/>
      <c r="S898" s="1541"/>
      <c r="T898" s="1542"/>
      <c r="U898" s="1519" t="s">
        <v>31</v>
      </c>
      <c r="V898" s="1520"/>
      <c r="W898" s="1520"/>
      <c r="X898" s="1520"/>
      <c r="Y898" s="1520"/>
      <c r="Z898" s="1520"/>
      <c r="AA898" s="43"/>
      <c r="AB898" s="105"/>
      <c r="AC898" s="105"/>
      <c r="AD898" s="105"/>
      <c r="AE898" s="105"/>
      <c r="AF898" s="106"/>
      <c r="AZ898" s="34"/>
      <c r="BA898" s="34"/>
      <c r="BB898" s="30"/>
      <c r="BC898" s="30"/>
      <c r="BD898" s="1715"/>
      <c r="BE898" s="1653"/>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1" t="s">
        <v>845</v>
      </c>
      <c r="G899" s="1522"/>
      <c r="H899" s="1522"/>
      <c r="I899" s="1522"/>
      <c r="J899" s="1522"/>
      <c r="K899" s="1522"/>
      <c r="L899" s="1522"/>
      <c r="M899" s="1522"/>
      <c r="N899" s="1522"/>
      <c r="O899" s="1522"/>
      <c r="P899" s="1522"/>
      <c r="Q899" s="1522"/>
      <c r="R899" s="1522"/>
      <c r="S899" s="1522"/>
      <c r="T899" s="1719"/>
      <c r="U899" s="1521"/>
      <c r="V899" s="1522"/>
      <c r="W899" s="1522"/>
      <c r="X899" s="1522"/>
      <c r="Y899" s="1522"/>
      <c r="Z899" s="152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3"/>
      <c r="G900" s="1524"/>
      <c r="H900" s="1524"/>
      <c r="I900" s="1524"/>
      <c r="J900" s="1524"/>
      <c r="K900" s="1524"/>
      <c r="L900" s="1524"/>
      <c r="M900" s="1524"/>
      <c r="N900" s="1524"/>
      <c r="O900" s="1524"/>
      <c r="P900" s="1524"/>
      <c r="Q900" s="1524"/>
      <c r="R900" s="1524"/>
      <c r="S900" s="1524"/>
      <c r="T900" s="1720"/>
      <c r="U900" s="1523"/>
      <c r="V900" s="1524"/>
      <c r="W900" s="1524"/>
      <c r="X900" s="1524"/>
      <c r="Y900" s="1524"/>
      <c r="Z900" s="1524"/>
      <c r="AA900" s="108"/>
      <c r="AB900" s="1546" t="s">
        <v>393</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6" t="s">
        <v>555</v>
      </c>
      <c r="V901" s="1517"/>
      <c r="W901" s="1517"/>
      <c r="X901" s="1517"/>
      <c r="Y901" s="1517"/>
      <c r="Z901" s="1518"/>
      <c r="AA901" s="1528">
        <v>30000000</v>
      </c>
      <c r="AB901" s="1529"/>
      <c r="AC901" s="1529"/>
      <c r="AD901" s="1529"/>
      <c r="AE901" s="1529"/>
      <c r="AF901" s="153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6" t="s">
        <v>601</v>
      </c>
      <c r="V902" s="1517"/>
      <c r="W902" s="1517"/>
      <c r="X902" s="1517"/>
      <c r="Y902" s="1517"/>
      <c r="Z902" s="1518"/>
      <c r="AA902" s="1528"/>
      <c r="AB902" s="1529"/>
      <c r="AC902" s="1529"/>
      <c r="AD902" s="1529"/>
      <c r="AE902" s="1529"/>
      <c r="AF902" s="15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6" t="s">
        <v>601</v>
      </c>
      <c r="V903" s="1517"/>
      <c r="W903" s="1517"/>
      <c r="X903" s="1517"/>
      <c r="Y903" s="1517"/>
      <c r="Z903" s="1518"/>
      <c r="AA903" s="1528"/>
      <c r="AB903" s="1529"/>
      <c r="AC903" s="1529"/>
      <c r="AD903" s="1529"/>
      <c r="AE903" s="1529"/>
      <c r="AF903" s="15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6" t="s">
        <v>601</v>
      </c>
      <c r="V904" s="1517"/>
      <c r="W904" s="1517"/>
      <c r="X904" s="1517"/>
      <c r="Y904" s="1517"/>
      <c r="Z904" s="1518"/>
      <c r="AA904" s="1528"/>
      <c r="AB904" s="1529"/>
      <c r="AC904" s="1529"/>
      <c r="AD904" s="1529"/>
      <c r="AE904" s="1529"/>
      <c r="AF904" s="15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6" t="s">
        <v>601</v>
      </c>
      <c r="V905" s="1517"/>
      <c r="W905" s="1517"/>
      <c r="X905" s="1517"/>
      <c r="Y905" s="1517"/>
      <c r="Z905" s="1518"/>
      <c r="AA905" s="1528"/>
      <c r="AB905" s="1529"/>
      <c r="AC905" s="1529"/>
      <c r="AD905" s="1529"/>
      <c r="AE905" s="1529"/>
      <c r="AF905" s="15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6" t="s">
        <v>601</v>
      </c>
      <c r="V906" s="1517"/>
      <c r="W906" s="1517"/>
      <c r="X906" s="1517"/>
      <c r="Y906" s="1517"/>
      <c r="Z906" s="1518"/>
      <c r="AA906" s="1528"/>
      <c r="AB906" s="1529"/>
      <c r="AC906" s="1529"/>
      <c r="AD906" s="1529"/>
      <c r="AE906" s="1529"/>
      <c r="AF906" s="15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6" t="s">
        <v>601</v>
      </c>
      <c r="V907" s="1517"/>
      <c r="W907" s="1517"/>
      <c r="X907" s="1517"/>
      <c r="Y907" s="1517"/>
      <c r="Z907" s="1518"/>
      <c r="AA907" s="1528"/>
      <c r="AB907" s="1529"/>
      <c r="AC907" s="1529"/>
      <c r="AD907" s="1529"/>
      <c r="AE907" s="1529"/>
      <c r="AF907" s="15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6" t="s">
        <v>601</v>
      </c>
      <c r="V908" s="1517"/>
      <c r="W908" s="1517"/>
      <c r="X908" s="1517"/>
      <c r="Y908" s="1517"/>
      <c r="Z908" s="1518"/>
      <c r="AA908" s="1528"/>
      <c r="AB908" s="1529"/>
      <c r="AC908" s="1529"/>
      <c r="AD908" s="1529"/>
      <c r="AE908" s="1529"/>
      <c r="AF908" s="15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6" t="s">
        <v>601</v>
      </c>
      <c r="V909" s="1517"/>
      <c r="W909" s="1517"/>
      <c r="X909" s="1517"/>
      <c r="Y909" s="1517"/>
      <c r="Z909" s="1518"/>
      <c r="AA909" s="1528"/>
      <c r="AB909" s="1529"/>
      <c r="AC909" s="1529"/>
      <c r="AD909" s="1529"/>
      <c r="AE909" s="1529"/>
      <c r="AF909" s="15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6" t="s">
        <v>601</v>
      </c>
      <c r="V910" s="1517"/>
      <c r="W910" s="1517"/>
      <c r="X910" s="1517"/>
      <c r="Y910" s="1517"/>
      <c r="Z910" s="1518"/>
      <c r="AA910" s="1528"/>
      <c r="AB910" s="1529"/>
      <c r="AC910" s="1529"/>
      <c r="AD910" s="1529"/>
      <c r="AE910" s="1529"/>
      <c r="AF910" s="15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16" t="s">
        <v>601</v>
      </c>
      <c r="V911" s="1517"/>
      <c r="W911" s="1517"/>
      <c r="X911" s="1517"/>
      <c r="Y911" s="1517"/>
      <c r="Z911" s="1518"/>
      <c r="AA911" s="1528"/>
      <c r="AB911" s="1529"/>
      <c r="AC911" s="1529"/>
      <c r="AD911" s="1529"/>
      <c r="AE911" s="1529"/>
      <c r="AF911" s="15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6" t="s">
        <v>601</v>
      </c>
      <c r="V912" s="1517"/>
      <c r="W912" s="1517"/>
      <c r="X912" s="1517"/>
      <c r="Y912" s="1517"/>
      <c r="Z912" s="1518"/>
      <c r="AA912" s="1528"/>
      <c r="AB912" s="1529"/>
      <c r="AC912" s="1529"/>
      <c r="AD912" s="1529"/>
      <c r="AE912" s="1529"/>
      <c r="AF912" s="15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6" t="s">
        <v>601</v>
      </c>
      <c r="V913" s="1517"/>
      <c r="W913" s="1517"/>
      <c r="X913" s="1517"/>
      <c r="Y913" s="1517"/>
      <c r="Z913" s="1518"/>
      <c r="AA913" s="1528"/>
      <c r="AB913" s="1529"/>
      <c r="AC913" s="1529"/>
      <c r="AD913" s="1529"/>
      <c r="AE913" s="1529"/>
      <c r="AF913" s="15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6" t="s">
        <v>601</v>
      </c>
      <c r="V914" s="1517"/>
      <c r="W914" s="1517"/>
      <c r="X914" s="1517"/>
      <c r="Y914" s="1517"/>
      <c r="Z914" s="1518"/>
      <c r="AA914" s="1528"/>
      <c r="AB914" s="1529"/>
      <c r="AC914" s="1529"/>
      <c r="AD914" s="1529"/>
      <c r="AE914" s="1529"/>
      <c r="AF914" s="15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6" t="s">
        <v>601</v>
      </c>
      <c r="V915" s="1517"/>
      <c r="W915" s="1517"/>
      <c r="X915" s="1517"/>
      <c r="Y915" s="1517"/>
      <c r="Z915" s="1518"/>
      <c r="AA915" s="1528"/>
      <c r="AB915" s="1529"/>
      <c r="AC915" s="1529"/>
      <c r="AD915" s="1529"/>
      <c r="AE915" s="1529"/>
      <c r="AF915" s="15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6" t="s">
        <v>679</v>
      </c>
      <c r="Q916" s="1517"/>
      <c r="R916" s="1517"/>
      <c r="S916" s="1517"/>
      <c r="T916" s="1518"/>
      <c r="U916" s="1516" t="s">
        <v>601</v>
      </c>
      <c r="V916" s="1517"/>
      <c r="W916" s="1517"/>
      <c r="X916" s="1517"/>
      <c r="Y916" s="1517"/>
      <c r="Z916" s="1518"/>
      <c r="AA916" s="1528"/>
      <c r="AB916" s="1529"/>
      <c r="AC916" s="1529"/>
      <c r="AD916" s="1529"/>
      <c r="AE916" s="1529"/>
      <c r="AF916" s="15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4" t="s">
        <v>336</v>
      </c>
      <c r="J917" s="1535"/>
      <c r="K917" s="1535"/>
      <c r="L917" s="1535"/>
      <c r="M917" s="1535"/>
      <c r="N917" s="1535"/>
      <c r="O917" s="1535"/>
      <c r="P917" s="1535"/>
      <c r="Q917" s="1535"/>
      <c r="R917" s="1535"/>
      <c r="S917" s="1535"/>
      <c r="T917" s="1536"/>
      <c r="U917" s="1516" t="s">
        <v>601</v>
      </c>
      <c r="V917" s="1517"/>
      <c r="W917" s="1517"/>
      <c r="X917" s="1517"/>
      <c r="Y917" s="1517"/>
      <c r="Z917" s="1518"/>
      <c r="AA917" s="1528"/>
      <c r="AB917" s="1529"/>
      <c r="AC917" s="1529"/>
      <c r="AD917" s="1529"/>
      <c r="AE917" s="1529"/>
      <c r="AF917" s="15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3" t="s">
        <v>336</v>
      </c>
      <c r="J918" s="1544"/>
      <c r="K918" s="1544"/>
      <c r="L918" s="1544"/>
      <c r="M918" s="1544"/>
      <c r="N918" s="1544"/>
      <c r="O918" s="1544"/>
      <c r="P918" s="1544"/>
      <c r="Q918" s="1544"/>
      <c r="R918" s="1544"/>
      <c r="S918" s="1544"/>
      <c r="T918" s="1545"/>
      <c r="U918" s="1516" t="s">
        <v>601</v>
      </c>
      <c r="V918" s="1517"/>
      <c r="W918" s="1517"/>
      <c r="X918" s="1517"/>
      <c r="Y918" s="1517"/>
      <c r="Z918" s="1518"/>
      <c r="AA918" s="1528"/>
      <c r="AB918" s="1529"/>
      <c r="AC918" s="1529"/>
      <c r="AD918" s="1529"/>
      <c r="AE918" s="1529"/>
      <c r="AF918" s="15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4" t="s">
        <v>2734</v>
      </c>
      <c r="J919" s="1544"/>
      <c r="K919" s="1544"/>
      <c r="L919" s="1544"/>
      <c r="M919" s="1544"/>
      <c r="N919" s="1544"/>
      <c r="O919" s="1544"/>
      <c r="P919" s="1544"/>
      <c r="Q919" s="1544"/>
      <c r="R919" s="1544"/>
      <c r="S919" s="1544"/>
      <c r="T919" s="1545"/>
      <c r="U919" s="1516" t="s">
        <v>555</v>
      </c>
      <c r="V919" s="1517"/>
      <c r="W919" s="1517"/>
      <c r="X919" s="1517"/>
      <c r="Y919" s="1517"/>
      <c r="Z919" s="1518"/>
      <c r="AA919" s="1528">
        <v>5070331</v>
      </c>
      <c r="AB919" s="1529"/>
      <c r="AC919" s="1529"/>
      <c r="AD919" s="1529"/>
      <c r="AE919" s="1529"/>
      <c r="AF919" s="15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3" t="s">
        <v>336</v>
      </c>
      <c r="J920" s="1544"/>
      <c r="K920" s="1544"/>
      <c r="L920" s="1544"/>
      <c r="M920" s="1544"/>
      <c r="N920" s="1544"/>
      <c r="O920" s="1544"/>
      <c r="P920" s="1544"/>
      <c r="Q920" s="1544"/>
      <c r="R920" s="1544"/>
      <c r="S920" s="1544"/>
      <c r="T920" s="1545"/>
      <c r="U920" s="1516" t="s">
        <v>601</v>
      </c>
      <c r="V920" s="1517"/>
      <c r="W920" s="1517"/>
      <c r="X920" s="1517"/>
      <c r="Y920" s="1517"/>
      <c r="Z920" s="1518"/>
      <c r="AA920" s="1528"/>
      <c r="AB920" s="1529"/>
      <c r="AC920" s="1529"/>
      <c r="AD920" s="1529"/>
      <c r="AE920" s="1529"/>
      <c r="AF920" s="15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8"/>
      <c r="N925" s="1689"/>
      <c r="O925" s="1689"/>
      <c r="P925" s="1689"/>
      <c r="Q925" s="1689"/>
      <c r="R925" s="1689"/>
      <c r="S925" s="1690"/>
      <c r="U925" s="66" t="s">
        <v>11</v>
      </c>
      <c r="V925" s="5"/>
      <c r="W925" s="5"/>
      <c r="X925" s="5"/>
      <c r="Y925" s="5"/>
      <c r="Z925" s="5"/>
      <c r="AA925" s="5"/>
      <c r="AB925" s="5"/>
      <c r="AC925" s="5"/>
      <c r="AD925" s="46"/>
      <c r="AE925" s="1688"/>
      <c r="AF925" s="1689"/>
      <c r="AG925" s="1689"/>
      <c r="AH925" s="1689"/>
      <c r="AI925" s="1689"/>
      <c r="AJ925" s="1689"/>
      <c r="AK925" s="169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1"/>
      <c r="N926" s="1632"/>
      <c r="O926" s="1632"/>
      <c r="P926" s="1632"/>
      <c r="Q926" s="1632"/>
      <c r="R926" s="1632"/>
      <c r="S926" s="1633"/>
      <c r="U926" s="66" t="s">
        <v>12</v>
      </c>
      <c r="V926" s="5"/>
      <c r="W926" s="5"/>
      <c r="X926" s="5"/>
      <c r="Y926" s="5"/>
      <c r="Z926" s="5"/>
      <c r="AA926" s="5"/>
      <c r="AB926" s="5"/>
      <c r="AC926" s="5"/>
      <c r="AD926" s="46"/>
      <c r="AE926" s="1631"/>
      <c r="AF926" s="1632"/>
      <c r="AG926" s="1632"/>
      <c r="AH926" s="1632"/>
      <c r="AI926" s="1632"/>
      <c r="AJ926" s="1632"/>
      <c r="AK926" s="163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16" t="s">
        <v>309</v>
      </c>
      <c r="K927" s="1717"/>
      <c r="L927" s="1717"/>
      <c r="M927" s="1717"/>
      <c r="N927" s="1717"/>
      <c r="O927" s="1717"/>
      <c r="P927" s="1717"/>
      <c r="Q927" s="1717"/>
      <c r="R927" s="1717"/>
      <c r="S927" s="1718"/>
      <c r="U927" s="66" t="s">
        <v>910</v>
      </c>
      <c r="V927" s="5"/>
      <c r="W927" s="5"/>
      <c r="AB927" s="1716" t="s">
        <v>309</v>
      </c>
      <c r="AC927" s="1717"/>
      <c r="AD927" s="1717"/>
      <c r="AE927" s="1717"/>
      <c r="AF927" s="1717"/>
      <c r="AG927" s="1717"/>
      <c r="AH927" s="1717"/>
      <c r="AI927" s="1717"/>
      <c r="AJ927" s="1717"/>
      <c r="AK927" s="171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8"/>
      <c r="N928" s="1549"/>
      <c r="O928" s="1549"/>
      <c r="P928" s="1549"/>
      <c r="Q928" s="1549"/>
      <c r="R928" s="1549"/>
      <c r="S928" s="1550"/>
      <c r="U928" s="66" t="s">
        <v>13</v>
      </c>
      <c r="V928" s="5"/>
      <c r="W928" s="5"/>
      <c r="X928" s="5"/>
      <c r="Y928" s="5"/>
      <c r="Z928" s="5"/>
      <c r="AA928" s="5"/>
      <c r="AB928" s="5"/>
      <c r="AC928" s="5"/>
      <c r="AD928" s="46"/>
      <c r="AE928" s="1698"/>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7"/>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8"/>
      <c r="N930" s="1529"/>
      <c r="O930" s="1529"/>
      <c r="P930" s="1529"/>
      <c r="Q930" s="1529"/>
      <c r="R930" s="1529"/>
      <c r="S930" s="1530"/>
      <c r="U930" s="66" t="s">
        <v>15</v>
      </c>
      <c r="V930" s="5"/>
      <c r="W930" s="5"/>
      <c r="X930" s="5"/>
      <c r="Y930" s="5"/>
      <c r="Z930" s="5"/>
      <c r="AA930" s="5"/>
      <c r="AB930" s="5"/>
      <c r="AC930" s="5"/>
      <c r="AD930" s="46"/>
      <c r="AE930" s="1528"/>
      <c r="AF930" s="1529"/>
      <c r="AG930" s="1529"/>
      <c r="AH930" s="1529"/>
      <c r="AI930" s="1529"/>
      <c r="AJ930" s="1529"/>
      <c r="AK930" s="15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8"/>
      <c r="N931" s="1529"/>
      <c r="O931" s="1529"/>
      <c r="P931" s="1529"/>
      <c r="Q931" s="1529"/>
      <c r="R931" s="1529"/>
      <c r="S931" s="1530"/>
      <c r="U931" s="66" t="s">
        <v>16</v>
      </c>
      <c r="V931" s="5"/>
      <c r="W931" s="5"/>
      <c r="X931" s="5"/>
      <c r="Y931" s="5"/>
      <c r="Z931" s="5"/>
      <c r="AA931" s="5"/>
      <c r="AB931" s="5"/>
      <c r="AC931" s="5"/>
      <c r="AD931" s="46"/>
      <c r="AE931" s="1528"/>
      <c r="AF931" s="1529"/>
      <c r="AG931" s="1529"/>
      <c r="AH931" s="1529"/>
      <c r="AI931" s="1529"/>
      <c r="AJ931" s="1529"/>
      <c r="AK931" s="15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36"/>
      <c r="N932" s="1437"/>
      <c r="O932" s="1437"/>
      <c r="P932" s="1437"/>
      <c r="Q932" s="1437"/>
      <c r="R932" s="1437"/>
      <c r="S932" s="1438"/>
      <c r="U932" s="121" t="s">
        <v>1843</v>
      </c>
      <c r="V932" s="5"/>
      <c r="W932" s="5"/>
      <c r="X932" s="5"/>
      <c r="Y932" s="5"/>
      <c r="Z932" s="5"/>
      <c r="AA932" s="5"/>
      <c r="AB932" s="5"/>
      <c r="AC932" s="5"/>
      <c r="AD932" s="46"/>
      <c r="AE932" s="1436"/>
      <c r="AF932" s="1437"/>
      <c r="AG932" s="1437"/>
      <c r="AH932" s="1437"/>
      <c r="AI932" s="1437"/>
      <c r="AJ932" s="1437"/>
      <c r="AK932" s="143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37"/>
      <c r="N937" s="1538"/>
      <c r="O937" s="1538"/>
      <c r="P937" s="1538"/>
      <c r="Q937" s="1538"/>
      <c r="R937" s="1538"/>
      <c r="S937" s="1539"/>
      <c r="T937" s="66" t="s">
        <v>815</v>
      </c>
      <c r="U937" s="5"/>
      <c r="V937" s="5"/>
      <c r="W937" s="5"/>
      <c r="X937" s="5"/>
      <c r="Y937" s="5"/>
      <c r="Z937" s="46"/>
      <c r="AA937" s="1537"/>
      <c r="AB937" s="1538"/>
      <c r="AC937" s="1538"/>
      <c r="AD937" s="1538"/>
      <c r="AE937" s="1538"/>
      <c r="AF937" s="1538"/>
      <c r="AG937" s="15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37"/>
      <c r="N938" s="1538"/>
      <c r="O938" s="1538"/>
      <c r="P938" s="1538"/>
      <c r="Q938" s="1538"/>
      <c r="R938" s="1538"/>
      <c r="S938" s="1539"/>
      <c r="T938" s="66" t="s">
        <v>814</v>
      </c>
      <c r="U938" s="5"/>
      <c r="V938" s="5"/>
      <c r="W938" s="5"/>
      <c r="X938" s="5"/>
      <c r="Y938" s="5"/>
      <c r="Z938" s="46"/>
      <c r="AA938" s="1537"/>
      <c r="AB938" s="1538"/>
      <c r="AC938" s="1538"/>
      <c r="AD938" s="1538"/>
      <c r="AE938" s="1538"/>
      <c r="AF938" s="1538"/>
      <c r="AG938" s="15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4" t="s">
        <v>601</v>
      </c>
      <c r="N939" s="1695"/>
      <c r="O939" s="1695"/>
      <c r="P939" s="1695"/>
      <c r="Q939" s="1695"/>
      <c r="R939" s="1695"/>
      <c r="S939" s="1696"/>
      <c r="T939" s="45" t="s">
        <v>339</v>
      </c>
      <c r="U939" s="5"/>
      <c r="V939" s="5"/>
      <c r="W939" s="5"/>
      <c r="X939" s="5"/>
      <c r="Y939" s="5"/>
      <c r="Z939" s="46"/>
      <c r="AA939" s="1537"/>
      <c r="AB939" s="1538"/>
      <c r="AC939" s="1538"/>
      <c r="AD939" s="1538"/>
      <c r="AE939" s="1538"/>
      <c r="AF939" s="1538"/>
      <c r="AG939" s="15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37"/>
      <c r="N940" s="1538"/>
      <c r="O940" s="1538"/>
      <c r="P940" s="1538"/>
      <c r="Q940" s="1538"/>
      <c r="R940" s="1538"/>
      <c r="S940" s="1539"/>
      <c r="T940" s="45" t="s">
        <v>340</v>
      </c>
      <c r="U940" s="5"/>
      <c r="V940" s="5"/>
      <c r="W940" s="5"/>
      <c r="X940" s="5"/>
      <c r="Y940" s="5"/>
      <c r="Z940" s="46"/>
      <c r="AA940" s="1537"/>
      <c r="AB940" s="1538"/>
      <c r="AC940" s="1538"/>
      <c r="AD940" s="1538"/>
      <c r="AE940" s="1538"/>
      <c r="AF940" s="1538"/>
      <c r="AG940" s="15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37"/>
      <c r="N941" s="1538"/>
      <c r="O941" s="1538"/>
      <c r="P941" s="1538"/>
      <c r="Q941" s="1538"/>
      <c r="R941" s="1538"/>
      <c r="S941" s="1539"/>
      <c r="T941" s="45" t="s">
        <v>378</v>
      </c>
      <c r="U941" s="5"/>
      <c r="V941" s="5"/>
      <c r="W941" s="5"/>
      <c r="X941" s="5"/>
      <c r="Y941" s="5"/>
      <c r="Z941" s="46"/>
      <c r="AA941" s="1537"/>
      <c r="AB941" s="1538"/>
      <c r="AC941" s="1538"/>
      <c r="AD941" s="1538"/>
      <c r="AE941" s="1538"/>
      <c r="AF941" s="1538"/>
      <c r="AG941" s="15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02" t="s">
        <v>309</v>
      </c>
      <c r="N942" s="1703"/>
      <c r="O942" s="1703"/>
      <c r="P942" s="1703"/>
      <c r="Q942" s="1703"/>
      <c r="R942" s="1703"/>
      <c r="S942" s="1704"/>
      <c r="T942" s="1531"/>
      <c r="U942" s="1532"/>
      <c r="V942" s="1532"/>
      <c r="W942" s="1532"/>
      <c r="X942" s="1532"/>
      <c r="Y942" s="1532"/>
      <c r="Z942" s="1533"/>
      <c r="AA942" s="1537"/>
      <c r="AB942" s="1538"/>
      <c r="AC942" s="1538"/>
      <c r="AD942" s="1538"/>
      <c r="AE942" s="1538"/>
      <c r="AF942" s="1538"/>
      <c r="AG942" s="15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37"/>
      <c r="N943" s="1538"/>
      <c r="O943" s="1538"/>
      <c r="P943" s="1538"/>
      <c r="Q943" s="1538"/>
      <c r="R943" s="1538"/>
      <c r="S943" s="1539"/>
      <c r="T943" s="1531"/>
      <c r="U943" s="1532"/>
      <c r="V943" s="1532"/>
      <c r="W943" s="1532"/>
      <c r="X943" s="1532"/>
      <c r="Y943" s="1532"/>
      <c r="Z943" s="1533"/>
      <c r="AA943" s="1537"/>
      <c r="AB943" s="1538"/>
      <c r="AC943" s="1538"/>
      <c r="AD943" s="1538"/>
      <c r="AE943" s="1538"/>
      <c r="AF943" s="1538"/>
      <c r="AG943" s="15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91" t="s">
        <v>679</v>
      </c>
      <c r="P944" s="1692"/>
      <c r="Q944" s="92"/>
      <c r="R944" s="92"/>
      <c r="S944" s="93"/>
      <c r="T944" s="41" t="s">
        <v>171</v>
      </c>
      <c r="U944" s="42"/>
      <c r="V944" s="42"/>
      <c r="W944" s="1699" t="s">
        <v>336</v>
      </c>
      <c r="X944" s="1700"/>
      <c r="Y944" s="1700"/>
      <c r="Z944" s="1700"/>
      <c r="AA944" s="1700"/>
      <c r="AB944" s="1700"/>
      <c r="AC944" s="1700"/>
      <c r="AD944" s="1700"/>
      <c r="AE944" s="1700"/>
      <c r="AF944" s="1700"/>
      <c r="AG944" s="170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3" t="s">
        <v>33</v>
      </c>
      <c r="G945" s="1363"/>
      <c r="H945" s="1363"/>
      <c r="I945" s="1363"/>
      <c r="J945" s="1363"/>
      <c r="K945" s="1363"/>
      <c r="L945" s="1363"/>
      <c r="M945" s="1537"/>
      <c r="N945" s="1538"/>
      <c r="O945" s="1538"/>
      <c r="P945" s="1538"/>
      <c r="Q945" s="1538"/>
      <c r="R945" s="1538"/>
      <c r="S945" s="1539"/>
      <c r="T945" s="47"/>
      <c r="U945" s="48"/>
      <c r="V945" s="48"/>
      <c r="W945" s="48"/>
      <c r="X945" s="48"/>
      <c r="Y945" s="48"/>
      <c r="Z945" s="124" t="s">
        <v>135</v>
      </c>
      <c r="AA945" s="1525"/>
      <c r="AB945" s="1526"/>
      <c r="AC945" s="1526"/>
      <c r="AD945" s="1526"/>
      <c r="AE945" s="1526"/>
      <c r="AF945" s="1526"/>
      <c r="AG945" s="152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7" t="s">
        <v>558</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3"/>
      <c r="BH951" s="1653"/>
      <c r="BI951" s="1653"/>
      <c r="BJ951" s="1653"/>
      <c r="BK951" s="1653"/>
      <c r="BL951" s="1653"/>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7" t="s">
        <v>648</v>
      </c>
      <c r="E954" s="1478"/>
      <c r="F954" s="1478"/>
      <c r="G954" s="1478"/>
      <c r="H954" s="1478"/>
      <c r="I954" s="1478"/>
      <c r="J954" s="1478"/>
      <c r="K954" s="1478"/>
      <c r="L954" s="1478"/>
      <c r="M954" s="1478"/>
      <c r="N954" s="1478"/>
      <c r="O954" s="1478"/>
      <c r="P954" s="1478"/>
      <c r="Q954" s="1479"/>
      <c r="R954" s="1477" t="s">
        <v>649</v>
      </c>
      <c r="S954" s="1478"/>
      <c r="T954" s="1478"/>
      <c r="U954" s="1478"/>
      <c r="V954" s="1478"/>
      <c r="W954" s="1478"/>
      <c r="X954" s="1478"/>
      <c r="Y954" s="1478"/>
      <c r="Z954" s="1478"/>
      <c r="AA954" s="1479"/>
      <c r="AB954" s="1477" t="s">
        <v>650</v>
      </c>
      <c r="AC954" s="1478"/>
      <c r="AD954" s="1478"/>
      <c r="AE954" s="1478"/>
      <c r="AF954" s="1478"/>
      <c r="AG954" s="1478"/>
      <c r="AH954" s="1478"/>
      <c r="AI954" s="1479"/>
      <c r="AJ954" s="1477" t="s">
        <v>651</v>
      </c>
      <c r="AK954" s="1478"/>
      <c r="AL954" s="1478"/>
      <c r="AM954" s="1478"/>
      <c r="AN954" s="1478"/>
      <c r="AO954" s="1478"/>
      <c r="AP954" s="1478"/>
      <c r="AQ954" s="147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4" t="s">
        <v>643</v>
      </c>
      <c r="E955" s="1475"/>
      <c r="F955" s="1475"/>
      <c r="G955" s="1475"/>
      <c r="H955" s="1475"/>
      <c r="I955" s="1475"/>
      <c r="J955" s="1475"/>
      <c r="K955" s="1475"/>
      <c r="L955" s="1475"/>
      <c r="M955" s="1475"/>
      <c r="N955" s="1475"/>
      <c r="O955" s="1475"/>
      <c r="P955" s="1475"/>
      <c r="Q955" s="1476"/>
      <c r="R955" s="1515">
        <f>IF(ISNA(IF($BN$785="4%",(INDEX($BP$795:$BT$852,MATCH($CB$785,$BO$795:$BO$852,0),MATCH(D955,$BP$794:$BT$794,0))),(INDEX($BW$795:$CA$852,MATCH($CB$785,$BV$795:$BV$852,0),MATCH(D955,$BW$794:$CA$794,0))))),0,IF($BN$785="4%",(INDEX($BP$795:$BT$852,MATCH($CB$785,$BO$795:$BO$852,0),MATCH(D955,$BP$794:$BT$794,0))),(INDEX($BW$795:$CA$852,MATCH($CB$785,$BV$795:$BV$852,0),MATCH(D955,$BW$794:$CA$794,0)))))</f>
        <v>396888</v>
      </c>
      <c r="S955" s="1515"/>
      <c r="T955" s="1515"/>
      <c r="U955" s="1515"/>
      <c r="V955" s="1515"/>
      <c r="W955" s="1515"/>
      <c r="X955" s="1515"/>
      <c r="Y955" s="1515"/>
      <c r="Z955" s="1515"/>
      <c r="AA955" s="1515"/>
      <c r="AB955" s="1433">
        <f>BN649</f>
        <v>0</v>
      </c>
      <c r="AC955" s="1434"/>
      <c r="AD955" s="1434"/>
      <c r="AE955" s="1434"/>
      <c r="AF955" s="1434"/>
      <c r="AG955" s="1434"/>
      <c r="AH955" s="1434"/>
      <c r="AI955" s="1435"/>
      <c r="AJ955" s="1446">
        <f>IF(ISERROR((R955*AB955)),0,(R955*AB955))</f>
        <v>0</v>
      </c>
      <c r="AK955" s="1447"/>
      <c r="AL955" s="1447"/>
      <c r="AM955" s="1447"/>
      <c r="AN955" s="1447"/>
      <c r="AO955" s="1447"/>
      <c r="AP955" s="1447"/>
      <c r="AQ955" s="144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4" t="s">
        <v>327</v>
      </c>
      <c r="E956" s="1475"/>
      <c r="F956" s="1475"/>
      <c r="G956" s="1475"/>
      <c r="H956" s="1475"/>
      <c r="I956" s="1475"/>
      <c r="J956" s="1475"/>
      <c r="K956" s="1475"/>
      <c r="L956" s="1475"/>
      <c r="M956" s="1475"/>
      <c r="N956" s="1475"/>
      <c r="O956" s="1475"/>
      <c r="P956" s="1475"/>
      <c r="Q956" s="1476"/>
      <c r="R956" s="1515">
        <f>IF(ISNA(IF($BN$785="4%",(INDEX($BP$795:$BT$852,MATCH($CB$785,$BO$795:$BO$852,0),MATCH(D956,$BP$794:$BT$794,0))),(INDEX($BW$795:$CA$852,MATCH($CB$785,$BV$795:$BV$852,0),MATCH(D956,$BW$794:$CA$794,0))))),0,IF($BN$785="4%",(INDEX($BP$795:$BT$852,MATCH($CB$785,$BO$795:$BO$852,0),MATCH(D956,$BP$794:$BT$794,0))),(INDEX($BW$795:$CA$852,MATCH($CB$785,$BV$795:$BV$852,0),MATCH(D956,$BW$794:$CA$794,0)))))</f>
        <v>457608</v>
      </c>
      <c r="S956" s="1515"/>
      <c r="T956" s="1515"/>
      <c r="U956" s="1515"/>
      <c r="V956" s="1515"/>
      <c r="W956" s="1515"/>
      <c r="X956" s="1515"/>
      <c r="Y956" s="1515"/>
      <c r="Z956" s="1515"/>
      <c r="AA956" s="1515"/>
      <c r="AB956" s="1433">
        <f>BS649</f>
        <v>111</v>
      </c>
      <c r="AC956" s="1434"/>
      <c r="AD956" s="1434"/>
      <c r="AE956" s="1434"/>
      <c r="AF956" s="1434"/>
      <c r="AG956" s="1434"/>
      <c r="AH956" s="1434"/>
      <c r="AI956" s="1435"/>
      <c r="AJ956" s="1446">
        <f>IF(ISERROR((R956*AB956)),0,(R956*AB956))</f>
        <v>50794488</v>
      </c>
      <c r="AK956" s="1447"/>
      <c r="AL956" s="1447"/>
      <c r="AM956" s="1447"/>
      <c r="AN956" s="1447"/>
      <c r="AO956" s="1447"/>
      <c r="AP956" s="1447"/>
      <c r="AQ956" s="144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4" t="s">
        <v>164</v>
      </c>
      <c r="E957" s="1475"/>
      <c r="F957" s="1475"/>
      <c r="G957" s="1475"/>
      <c r="H957" s="1475"/>
      <c r="I957" s="1475"/>
      <c r="J957" s="1475"/>
      <c r="K957" s="1475"/>
      <c r="L957" s="1475"/>
      <c r="M957" s="1475"/>
      <c r="N957" s="1475"/>
      <c r="O957" s="1475"/>
      <c r="P957" s="1475"/>
      <c r="Q957" s="1476"/>
      <c r="R957" s="1515">
        <f>IF(ISNA(IF($BN$785="4%",(INDEX($BP$795:$BT$852,MATCH($CB$785,$BO$795:$BO$852,0),MATCH(D957,$BP$794:$BT$794,0))),(INDEX($BW$795:$CA$852,MATCH($CB$785,$BV$795:$BV$852,0),MATCH(D957,$BW$794:$CA$794,0))))),0,IF($BN$785="4%",(INDEX($BP$795:$BT$852,MATCH($CB$785,$BO$795:$BO$852,0),MATCH(D957,$BP$794:$BT$794,0))),(INDEX($BW$795:$CA$852,MATCH($CB$785,$BV$795:$BV$852,0),MATCH(D957,$BW$794:$CA$794,0)))))</f>
        <v>552000</v>
      </c>
      <c r="S957" s="1515"/>
      <c r="T957" s="1515"/>
      <c r="U957" s="1515"/>
      <c r="V957" s="1515"/>
      <c r="W957" s="1515"/>
      <c r="X957" s="1515"/>
      <c r="Y957" s="1515"/>
      <c r="Z957" s="1515"/>
      <c r="AA957" s="1515"/>
      <c r="AB957" s="1433">
        <f>BX649</f>
        <v>55</v>
      </c>
      <c r="AC957" s="1434"/>
      <c r="AD957" s="1434"/>
      <c r="AE957" s="1434"/>
      <c r="AF957" s="1434"/>
      <c r="AG957" s="1434"/>
      <c r="AH957" s="1434"/>
      <c r="AI957" s="1435"/>
      <c r="AJ957" s="1446">
        <f>IF(ISERROR((R957*AB957)),0,(R957*AB957))</f>
        <v>30360000</v>
      </c>
      <c r="AK957" s="1447"/>
      <c r="AL957" s="1447"/>
      <c r="AM957" s="1447"/>
      <c r="AN957" s="1447"/>
      <c r="AO957" s="1447"/>
      <c r="AP957" s="1447"/>
      <c r="AQ957" s="144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4" t="s">
        <v>165</v>
      </c>
      <c r="E958" s="1475"/>
      <c r="F958" s="1475"/>
      <c r="G958" s="1475"/>
      <c r="H958" s="1475"/>
      <c r="I958" s="1475"/>
      <c r="J958" s="1475"/>
      <c r="K958" s="1475"/>
      <c r="L958" s="1475"/>
      <c r="M958" s="1475"/>
      <c r="N958" s="1475"/>
      <c r="O958" s="1475"/>
      <c r="P958" s="1475"/>
      <c r="Q958" s="1476"/>
      <c r="R958" s="1515">
        <f>IF(ISNA(IF($BN$785="4%",(INDEX($BP$795:$BT$852,MATCH($CB$785,$BO$795:$BO$852,0),MATCH(D958,$BP$794:$BT$794,0))),(INDEX($BW$795:$CA$852,MATCH($CB$785,$BV$795:$BV$852,0),MATCH(D958,$BW$794:$CA$794,0))))),0,IF($BN$785="4%",(INDEX($BP$795:$BT$852,MATCH($CB$785,$BO$795:$BO$852,0),MATCH(D958,$BP$794:$BT$794,0))),(INDEX($BW$795:$CA$852,MATCH($CB$785,$BV$795:$BV$852,0),MATCH(D958,$BW$794:$CA$794,0)))))</f>
        <v>706560</v>
      </c>
      <c r="S958" s="1515"/>
      <c r="T958" s="1515"/>
      <c r="U958" s="1515"/>
      <c r="V958" s="1515"/>
      <c r="W958" s="1515"/>
      <c r="X958" s="1515"/>
      <c r="Y958" s="1515"/>
      <c r="Z958" s="1515"/>
      <c r="AA958" s="1515"/>
      <c r="AB958" s="1433">
        <f>CC649</f>
        <v>0</v>
      </c>
      <c r="AC958" s="1434"/>
      <c r="AD958" s="1434"/>
      <c r="AE958" s="1434"/>
      <c r="AF958" s="1434"/>
      <c r="AG958" s="1434"/>
      <c r="AH958" s="1434"/>
      <c r="AI958" s="1435"/>
      <c r="AJ958" s="1446">
        <f>IF(ISERROR((R958*AB958)),0,(R958*AB958))</f>
        <v>0</v>
      </c>
      <c r="AK958" s="1447"/>
      <c r="AL958" s="1447"/>
      <c r="AM958" s="1447"/>
      <c r="AN958" s="1447"/>
      <c r="AO958" s="1447"/>
      <c r="AP958" s="1447"/>
      <c r="AQ958" s="144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4" t="s">
        <v>470</v>
      </c>
      <c r="E959" s="1475"/>
      <c r="F959" s="1475"/>
      <c r="G959" s="1475"/>
      <c r="H959" s="1475"/>
      <c r="I959" s="1475"/>
      <c r="J959" s="1475"/>
      <c r="K959" s="1475"/>
      <c r="L959" s="1475"/>
      <c r="M959" s="1475"/>
      <c r="N959" s="1475"/>
      <c r="O959" s="1475"/>
      <c r="P959" s="1475"/>
      <c r="Q959" s="1476"/>
      <c r="R959" s="1515">
        <f>IF(ISNA(IF($BN$785="4%",(INDEX($BP$795:$BT$852,MATCH($CB$785,$BO$795:$BO$852,0),MATCH(D959,$BP$794:$BT$794,0))),(INDEX($BW$795:$CA$852,MATCH($CB$785,$BV$795:$BV$852,0),MATCH(D959,$BW$794:$CA$794,0))))),0,IF($BN$785="4%",(INDEX($BP$795:$BT$852,MATCH($CB$785,$BO$795:$BO$852,0),MATCH(D959,$BP$794:$BT$794,0))),(INDEX($BW$795:$CA$852,MATCH($CB$785,$BV$795:$BV$852,0),MATCH(D959,$BW$794:$CA$794,0)))))</f>
        <v>787152</v>
      </c>
      <c r="S959" s="1515"/>
      <c r="T959" s="1515"/>
      <c r="U959" s="1515"/>
      <c r="V959" s="1515"/>
      <c r="W959" s="1515"/>
      <c r="X959" s="1515"/>
      <c r="Y959" s="1515"/>
      <c r="Z959" s="1515"/>
      <c r="AA959" s="1515"/>
      <c r="AB959" s="1433">
        <f>CM649+CH649</f>
        <v>0</v>
      </c>
      <c r="AC959" s="1434"/>
      <c r="AD959" s="1434"/>
      <c r="AE959" s="1434"/>
      <c r="AF959" s="1434"/>
      <c r="AG959" s="1434"/>
      <c r="AH959" s="1434"/>
      <c r="AI959" s="1435"/>
      <c r="AJ959" s="1446">
        <f>IF(ISERROR((R959*AB959)),0,(R959*AB959))</f>
        <v>0</v>
      </c>
      <c r="AK959" s="1447"/>
      <c r="AL959" s="1447"/>
      <c r="AM959" s="1447"/>
      <c r="AN959" s="1447"/>
      <c r="AO959" s="1447"/>
      <c r="AP959" s="1447"/>
      <c r="AQ959" s="144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4" t="s">
        <v>816</v>
      </c>
      <c r="C960" s="1495"/>
      <c r="D960" s="1495"/>
      <c r="E960" s="1495"/>
      <c r="F960" s="1495"/>
      <c r="G960" s="1495"/>
      <c r="H960" s="1495"/>
      <c r="I960" s="1495"/>
      <c r="J960" s="1495"/>
      <c r="K960" s="1495"/>
      <c r="L960" s="1495"/>
      <c r="M960" s="1495"/>
      <c r="N960" s="1495"/>
      <c r="O960" s="1495"/>
      <c r="P960" s="1495"/>
      <c r="Q960" s="1495"/>
      <c r="R960" s="1495"/>
      <c r="S960" s="1495"/>
      <c r="T960" s="1495"/>
      <c r="U960" s="1495"/>
      <c r="V960" s="1495"/>
      <c r="W960" s="1495"/>
      <c r="X960" s="1495"/>
      <c r="Y960" s="1495"/>
      <c r="Z960" s="1495"/>
      <c r="AA960" s="1496"/>
      <c r="AB960" s="1433">
        <f>SUM(AB955:AI959)</f>
        <v>166</v>
      </c>
      <c r="AC960" s="1434"/>
      <c r="AD960" s="1434"/>
      <c r="AE960" s="1434"/>
      <c r="AF960" s="1434"/>
      <c r="AG960" s="1434"/>
      <c r="AH960" s="1434"/>
      <c r="AI960" s="1435"/>
      <c r="AJ960" s="1446"/>
      <c r="AK960" s="1447"/>
      <c r="AL960" s="1447"/>
      <c r="AM960" s="1447"/>
      <c r="AN960" s="1447"/>
      <c r="AO960" s="1447"/>
      <c r="AP960" s="1447"/>
      <c r="AQ960" s="144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2" t="s">
        <v>522</v>
      </c>
      <c r="C961" s="1513"/>
      <c r="D961" s="1513"/>
      <c r="E961" s="1513"/>
      <c r="F961" s="1513"/>
      <c r="G961" s="1513"/>
      <c r="H961" s="1513"/>
      <c r="I961" s="1513"/>
      <c r="J961" s="1513"/>
      <c r="K961" s="1513"/>
      <c r="L961" s="1513"/>
      <c r="M961" s="1513"/>
      <c r="N961" s="1513"/>
      <c r="O961" s="1513"/>
      <c r="P961" s="1513"/>
      <c r="Q961" s="1513"/>
      <c r="R961" s="1513"/>
      <c r="S961" s="1513"/>
      <c r="T961" s="1513"/>
      <c r="U961" s="1513"/>
      <c r="V961" s="1513"/>
      <c r="W961" s="1513"/>
      <c r="X961" s="1513"/>
      <c r="Y961" s="1513"/>
      <c r="Z961" s="1513"/>
      <c r="AA961" s="1513"/>
      <c r="AB961" s="1513"/>
      <c r="AC961" s="1513"/>
      <c r="AD961" s="1513"/>
      <c r="AE961" s="1513"/>
      <c r="AF961" s="1513"/>
      <c r="AG961" s="1513"/>
      <c r="AH961" s="1513"/>
      <c r="AI961" s="1514"/>
      <c r="AJ961" s="1446">
        <f>SUM(AJ955:AQ959)</f>
        <v>81154488</v>
      </c>
      <c r="AK961" s="1447"/>
      <c r="AL961" s="1447"/>
      <c r="AM961" s="1447"/>
      <c r="AN961" s="1447"/>
      <c r="AO961" s="1447"/>
      <c r="AP961" s="1447"/>
      <c r="AQ961" s="144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49"/>
      <c r="C962" s="1450"/>
      <c r="D962" s="1450"/>
      <c r="E962" s="1450"/>
      <c r="F962" s="1450"/>
      <c r="G962" s="1450"/>
      <c r="H962" s="1450"/>
      <c r="I962" s="1450"/>
      <c r="J962" s="1450"/>
      <c r="K962" s="1450"/>
      <c r="L962" s="1450"/>
      <c r="M962" s="1450"/>
      <c r="N962" s="1450"/>
      <c r="O962" s="1450"/>
      <c r="P962" s="1450"/>
      <c r="Q962" s="1450"/>
      <c r="R962" s="1450"/>
      <c r="S962" s="1450"/>
      <c r="T962" s="1450"/>
      <c r="U962" s="1450"/>
      <c r="V962" s="1450"/>
      <c r="W962" s="1450"/>
      <c r="X962" s="1450"/>
      <c r="Y962" s="1450"/>
      <c r="Z962" s="1450"/>
      <c r="AA962" s="1450"/>
      <c r="AB962" s="1450"/>
      <c r="AC962" s="1450"/>
      <c r="AD962" s="1450"/>
      <c r="AE962" s="1451"/>
      <c r="AF962" s="1455" t="s">
        <v>676</v>
      </c>
      <c r="AG962" s="1456"/>
      <c r="AH962" s="1456"/>
      <c r="AI962" s="1457"/>
      <c r="AJ962" s="1449"/>
      <c r="AK962" s="1450"/>
      <c r="AL962" s="1450"/>
      <c r="AM962" s="1450"/>
      <c r="AN962" s="1450"/>
      <c r="AO962" s="1450"/>
      <c r="AP962" s="1450"/>
      <c r="AQ962" s="145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2" t="s">
        <v>1365</v>
      </c>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79"/>
      <c r="AG963" s="1458" t="s">
        <v>679</v>
      </c>
      <c r="AH963" s="1459"/>
      <c r="AI963" s="87"/>
      <c r="AJ963" s="1485">
        <f>ROUND(IF(AND(AG963="yes",D965&gt;0),AJ961*0.2,0),0)</f>
        <v>0</v>
      </c>
      <c r="AK963" s="1486"/>
      <c r="AL963" s="1486"/>
      <c r="AM963" s="1486"/>
      <c r="AN963" s="1486"/>
      <c r="AO963" s="1486"/>
      <c r="AP963" s="1486"/>
      <c r="AQ963" s="148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7" t="s">
        <v>1366</v>
      </c>
      <c r="E964" s="1498"/>
      <c r="F964" s="1498"/>
      <c r="G964" s="1498"/>
      <c r="H964" s="1498"/>
      <c r="I964" s="1498"/>
      <c r="J964" s="1498"/>
      <c r="K964" s="1498"/>
      <c r="L964" s="1498"/>
      <c r="M964" s="1498"/>
      <c r="N964" s="1498"/>
      <c r="O964" s="1498"/>
      <c r="P964" s="1498"/>
      <c r="Q964" s="1498"/>
      <c r="R964" s="1498"/>
      <c r="S964" s="1498"/>
      <c r="T964" s="1498"/>
      <c r="U964" s="1498"/>
      <c r="V964" s="1498"/>
      <c r="W964" s="1498"/>
      <c r="X964" s="1498"/>
      <c r="Y964" s="1498"/>
      <c r="Z964" s="1498"/>
      <c r="AA964" s="1498"/>
      <c r="AB964" s="1498"/>
      <c r="AC964" s="1498"/>
      <c r="AD964" s="1498"/>
      <c r="AE964" s="1499"/>
      <c r="AF964" s="73"/>
      <c r="AG964" s="14"/>
      <c r="AH964" s="14"/>
      <c r="AI964" s="83"/>
      <c r="AJ964" s="1488"/>
      <c r="AK964" s="1489"/>
      <c r="AL964" s="1489"/>
      <c r="AM964" s="1489"/>
      <c r="AN964" s="1489"/>
      <c r="AO964" s="1489"/>
      <c r="AP964" s="1489"/>
      <c r="AQ964" s="149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0"/>
      <c r="E965" s="1501"/>
      <c r="F965" s="1501"/>
      <c r="G965" s="1501"/>
      <c r="H965" s="1501"/>
      <c r="I965" s="1501"/>
      <c r="J965" s="1501"/>
      <c r="K965" s="1501"/>
      <c r="L965" s="1501"/>
      <c r="M965" s="1501"/>
      <c r="N965" s="1501"/>
      <c r="O965" s="1501"/>
      <c r="P965" s="1501"/>
      <c r="Q965" s="1501"/>
      <c r="R965" s="1501"/>
      <c r="S965" s="1501"/>
      <c r="T965" s="1501"/>
      <c r="U965" s="1501"/>
      <c r="V965" s="1501"/>
      <c r="W965" s="1501"/>
      <c r="X965" s="1501"/>
      <c r="Y965" s="1501"/>
      <c r="Z965" s="1501"/>
      <c r="AA965" s="1501"/>
      <c r="AB965" s="1501"/>
      <c r="AC965" s="1501"/>
      <c r="AD965" s="1501"/>
      <c r="AE965" s="1502"/>
      <c r="AF965" s="77"/>
      <c r="AG965" s="7"/>
      <c r="AH965" s="7"/>
      <c r="AI965" s="78"/>
      <c r="AJ965" s="1491"/>
      <c r="AK965" s="1492"/>
      <c r="AL965" s="1492"/>
      <c r="AM965" s="1492"/>
      <c r="AN965" s="1492"/>
      <c r="AO965" s="1492"/>
      <c r="AP965" s="1492"/>
      <c r="AQ965" s="149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2" t="s">
        <v>1451</v>
      </c>
      <c r="E966" s="1453"/>
      <c r="F966" s="1453"/>
      <c r="G966" s="1453"/>
      <c r="H966" s="1453"/>
      <c r="I966" s="1453"/>
      <c r="J966" s="1453"/>
      <c r="K966" s="1453"/>
      <c r="L966" s="1453"/>
      <c r="M966" s="1453"/>
      <c r="N966" s="1453"/>
      <c r="O966" s="1453"/>
      <c r="P966" s="1453"/>
      <c r="Q966" s="1453"/>
      <c r="R966" s="1453"/>
      <c r="S966" s="1453"/>
      <c r="T966" s="1453"/>
      <c r="U966" s="1453"/>
      <c r="V966" s="1453"/>
      <c r="W966" s="1453"/>
      <c r="X966" s="1453"/>
      <c r="Y966" s="1453"/>
      <c r="Z966" s="1453"/>
      <c r="AA966" s="1453"/>
      <c r="AB966" s="1453"/>
      <c r="AC966" s="1453"/>
      <c r="AD966" s="1453"/>
      <c r="AE966" s="1454"/>
      <c r="AF966" s="79"/>
      <c r="AG966" s="1460" t="s">
        <v>679</v>
      </c>
      <c r="AH966" s="1461"/>
      <c r="AI966" s="87"/>
      <c r="AJ966" s="1485">
        <f>ROUND(IF(AG966="yes",AJ961*0.05,0),0)</f>
        <v>0</v>
      </c>
      <c r="AK966" s="1486"/>
      <c r="AL966" s="1486"/>
      <c r="AM966" s="1486"/>
      <c r="AN966" s="1486"/>
      <c r="AO966" s="1486"/>
      <c r="AP966" s="1486"/>
      <c r="AQ966" s="148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7" t="s">
        <v>1449</v>
      </c>
      <c r="E967" s="1498"/>
      <c r="F967" s="1498"/>
      <c r="G967" s="1498"/>
      <c r="H967" s="1498"/>
      <c r="I967" s="1498"/>
      <c r="J967" s="1498"/>
      <c r="K967" s="1498"/>
      <c r="L967" s="1498"/>
      <c r="M967" s="1498"/>
      <c r="N967" s="1498"/>
      <c r="O967" s="1498"/>
      <c r="P967" s="1498"/>
      <c r="Q967" s="1498"/>
      <c r="R967" s="1498"/>
      <c r="S967" s="1498"/>
      <c r="T967" s="1498"/>
      <c r="U967" s="1498"/>
      <c r="V967" s="1498"/>
      <c r="W967" s="1498"/>
      <c r="X967" s="1498"/>
      <c r="Y967" s="1498"/>
      <c r="Z967" s="1498"/>
      <c r="AA967" s="1498"/>
      <c r="AB967" s="1498"/>
      <c r="AC967" s="1498"/>
      <c r="AD967" s="1498"/>
      <c r="AE967" s="1499"/>
      <c r="AF967" s="73"/>
      <c r="AG967" s="14"/>
      <c r="AH967" s="14"/>
      <c r="AI967" s="83"/>
      <c r="AJ967" s="1488"/>
      <c r="AK967" s="1489"/>
      <c r="AL967" s="1489"/>
      <c r="AM967" s="1489"/>
      <c r="AN967" s="1489"/>
      <c r="AO967" s="1489"/>
      <c r="AP967" s="1489"/>
      <c r="AQ967" s="149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7"/>
      <c r="E968" s="1498"/>
      <c r="F968" s="1498"/>
      <c r="G968" s="1498"/>
      <c r="H968" s="1498"/>
      <c r="I968" s="1498"/>
      <c r="J968" s="1498"/>
      <c r="K968" s="1498"/>
      <c r="L968" s="1498"/>
      <c r="M968" s="1498"/>
      <c r="N968" s="1498"/>
      <c r="O968" s="1498"/>
      <c r="P968" s="1498"/>
      <c r="Q968" s="1498"/>
      <c r="R968" s="1498"/>
      <c r="S968" s="1498"/>
      <c r="T968" s="1498"/>
      <c r="U968" s="1498"/>
      <c r="V968" s="1498"/>
      <c r="W968" s="1498"/>
      <c r="X968" s="1498"/>
      <c r="Y968" s="1498"/>
      <c r="Z968" s="1498"/>
      <c r="AA968" s="1498"/>
      <c r="AB968" s="1498"/>
      <c r="AC968" s="1498"/>
      <c r="AD968" s="1498"/>
      <c r="AE968" s="1499"/>
      <c r="AF968" s="73"/>
      <c r="AG968" s="14"/>
      <c r="AH968" s="14"/>
      <c r="AI968" s="83"/>
      <c r="AJ968" s="1488"/>
      <c r="AK968" s="1489"/>
      <c r="AL968" s="1489"/>
      <c r="AM968" s="1489"/>
      <c r="AN968" s="1489"/>
      <c r="AO968" s="1489"/>
      <c r="AP968" s="1489"/>
      <c r="AQ968" s="149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7"/>
      <c r="E969" s="1498"/>
      <c r="F969" s="1498"/>
      <c r="G969" s="1498"/>
      <c r="H969" s="1498"/>
      <c r="I969" s="1498"/>
      <c r="J969" s="1498"/>
      <c r="K969" s="1498"/>
      <c r="L969" s="1498"/>
      <c r="M969" s="1498"/>
      <c r="N969" s="1498"/>
      <c r="O969" s="1498"/>
      <c r="P969" s="1498"/>
      <c r="Q969" s="1498"/>
      <c r="R969" s="1498"/>
      <c r="S969" s="1498"/>
      <c r="T969" s="1498"/>
      <c r="U969" s="1498"/>
      <c r="V969" s="1498"/>
      <c r="W969" s="1498"/>
      <c r="X969" s="1498"/>
      <c r="Y969" s="1498"/>
      <c r="Z969" s="1498"/>
      <c r="AA969" s="1498"/>
      <c r="AB969" s="1498"/>
      <c r="AC969" s="1498"/>
      <c r="AD969" s="1498"/>
      <c r="AE969" s="1499"/>
      <c r="AF969" s="73"/>
      <c r="AG969" s="14"/>
      <c r="AH969" s="14"/>
      <c r="AI969" s="83"/>
      <c r="AJ969" s="1488"/>
      <c r="AK969" s="1489"/>
      <c r="AL969" s="1489"/>
      <c r="AM969" s="1489"/>
      <c r="AN969" s="1489"/>
      <c r="AO969" s="1489"/>
      <c r="AP969" s="1489"/>
      <c r="AQ969" s="149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7"/>
      <c r="E970" s="1498"/>
      <c r="F970" s="1498"/>
      <c r="G970" s="1498"/>
      <c r="H970" s="1498"/>
      <c r="I970" s="1498"/>
      <c r="J970" s="1498"/>
      <c r="K970" s="1498"/>
      <c r="L970" s="1498"/>
      <c r="M970" s="1498"/>
      <c r="N970" s="1498"/>
      <c r="O970" s="1498"/>
      <c r="P970" s="1498"/>
      <c r="Q970" s="1498"/>
      <c r="R970" s="1498"/>
      <c r="S970" s="1498"/>
      <c r="T970" s="1498"/>
      <c r="U970" s="1498"/>
      <c r="V970" s="1498"/>
      <c r="W970" s="1498"/>
      <c r="X970" s="1498"/>
      <c r="Y970" s="1498"/>
      <c r="Z970" s="1498"/>
      <c r="AA970" s="1498"/>
      <c r="AB970" s="1498"/>
      <c r="AC970" s="1498"/>
      <c r="AD970" s="1498"/>
      <c r="AE970" s="1499"/>
      <c r="AF970" s="73"/>
      <c r="AG970" s="14"/>
      <c r="AH970" s="14"/>
      <c r="AI970" s="83"/>
      <c r="AJ970" s="1488"/>
      <c r="AK970" s="1489"/>
      <c r="AL970" s="1489"/>
      <c r="AM970" s="1489"/>
      <c r="AN970" s="1489"/>
      <c r="AO970" s="1489"/>
      <c r="AP970" s="1489"/>
      <c r="AQ970" s="149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3"/>
      <c r="E971" s="1504"/>
      <c r="F971" s="1504"/>
      <c r="G971" s="1504"/>
      <c r="H971" s="1504"/>
      <c r="I971" s="1504"/>
      <c r="J971" s="1504"/>
      <c r="K971" s="1504"/>
      <c r="L971" s="1504"/>
      <c r="M971" s="1504"/>
      <c r="N971" s="1504"/>
      <c r="O971" s="1504"/>
      <c r="P971" s="1504"/>
      <c r="Q971" s="1504"/>
      <c r="R971" s="1504"/>
      <c r="S971" s="1504"/>
      <c r="T971" s="1504"/>
      <c r="U971" s="1504"/>
      <c r="V971" s="1504"/>
      <c r="W971" s="1504"/>
      <c r="X971" s="1504"/>
      <c r="Y971" s="1504"/>
      <c r="Z971" s="1504"/>
      <c r="AA971" s="1504"/>
      <c r="AB971" s="1504"/>
      <c r="AC971" s="1504"/>
      <c r="AD971" s="1504"/>
      <c r="AE971" s="1505"/>
      <c r="AF971" s="77"/>
      <c r="AG971" s="7"/>
      <c r="AH971" s="7"/>
      <c r="AI971" s="78"/>
      <c r="AJ971" s="1491"/>
      <c r="AK971" s="1492"/>
      <c r="AL971" s="1492"/>
      <c r="AM971" s="1492"/>
      <c r="AN971" s="1492"/>
      <c r="AO971" s="1492"/>
      <c r="AP971" s="1492"/>
      <c r="AQ971" s="149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2" t="s">
        <v>1944</v>
      </c>
      <c r="E972" s="1453"/>
      <c r="F972" s="1453"/>
      <c r="G972" s="1453"/>
      <c r="H972" s="1453"/>
      <c r="I972" s="1453"/>
      <c r="J972" s="1453"/>
      <c r="K972" s="1453"/>
      <c r="L972" s="1453"/>
      <c r="M972" s="1453"/>
      <c r="N972" s="1453"/>
      <c r="O972" s="1453"/>
      <c r="P972" s="1453"/>
      <c r="Q972" s="1453"/>
      <c r="R972" s="1453"/>
      <c r="S972" s="1453"/>
      <c r="T972" s="1453"/>
      <c r="U972" s="1453"/>
      <c r="V972" s="1453"/>
      <c r="W972" s="1453"/>
      <c r="X972" s="1453"/>
      <c r="Y972" s="1453"/>
      <c r="Z972" s="1453"/>
      <c r="AA972" s="1453"/>
      <c r="AB972" s="1453"/>
      <c r="AC972" s="1453"/>
      <c r="AD972" s="1453"/>
      <c r="AE972" s="1454"/>
      <c r="AF972" s="86"/>
      <c r="AG972" s="1460" t="s">
        <v>679</v>
      </c>
      <c r="AH972" s="1461"/>
      <c r="AI972" s="87"/>
      <c r="AJ972" s="1485">
        <f>ROUND(IF(AG972="yes",AJ961*0.1,0),0)</f>
        <v>0</v>
      </c>
      <c r="AK972" s="1486"/>
      <c r="AL972" s="1486"/>
      <c r="AM972" s="1486"/>
      <c r="AN972" s="1486"/>
      <c r="AO972" s="1486"/>
      <c r="AP972" s="1486"/>
      <c r="AQ972" s="148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0" t="s">
        <v>1450</v>
      </c>
      <c r="E973" s="1441"/>
      <c r="F973" s="1441"/>
      <c r="G973" s="1441"/>
      <c r="H973" s="1441"/>
      <c r="I973" s="1441"/>
      <c r="J973" s="1441"/>
      <c r="K973" s="1441"/>
      <c r="L973" s="1441"/>
      <c r="M973" s="1441"/>
      <c r="N973" s="1441"/>
      <c r="O973" s="1441"/>
      <c r="P973" s="1441"/>
      <c r="Q973" s="1441"/>
      <c r="R973" s="1441"/>
      <c r="S973" s="1441"/>
      <c r="T973" s="1441"/>
      <c r="U973" s="1441"/>
      <c r="V973" s="1441"/>
      <c r="W973" s="1441"/>
      <c r="X973" s="1441"/>
      <c r="Y973" s="1441"/>
      <c r="Z973" s="1441"/>
      <c r="AA973" s="1441"/>
      <c r="AB973" s="1441"/>
      <c r="AC973" s="1441"/>
      <c r="AD973" s="1441"/>
      <c r="AE973" s="1442"/>
      <c r="AF973" s="73"/>
      <c r="AI973" s="83"/>
      <c r="AJ973" s="1488"/>
      <c r="AK973" s="1489"/>
      <c r="AL973" s="1489"/>
      <c r="AM973" s="1489"/>
      <c r="AN973" s="1489"/>
      <c r="AO973" s="1489"/>
      <c r="AP973" s="1489"/>
      <c r="AQ973" s="1490"/>
      <c r="AR973" s="68"/>
      <c r="AS973" s="68"/>
      <c r="AT973" s="68"/>
      <c r="AU973" s="68"/>
      <c r="AV973" s="68"/>
      <c r="AW973" s="68"/>
      <c r="AX973" s="68"/>
      <c r="AY973" s="68"/>
      <c r="AZ973" s="34"/>
      <c r="BA973" s="951">
        <f>G739+O782</f>
        <v>164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0"/>
      <c r="E974" s="1441"/>
      <c r="F974" s="1441"/>
      <c r="G974" s="1441"/>
      <c r="H974" s="1441"/>
      <c r="I974" s="1441"/>
      <c r="J974" s="1441"/>
      <c r="K974" s="1441"/>
      <c r="L974" s="1441"/>
      <c r="M974" s="1441"/>
      <c r="N974" s="1441"/>
      <c r="O974" s="1441"/>
      <c r="P974" s="1441"/>
      <c r="Q974" s="1441"/>
      <c r="R974" s="1441"/>
      <c r="S974" s="1441"/>
      <c r="T974" s="1441"/>
      <c r="U974" s="1441"/>
      <c r="V974" s="1441"/>
      <c r="W974" s="1441"/>
      <c r="X974" s="1441"/>
      <c r="Y974" s="1441"/>
      <c r="Z974" s="1441"/>
      <c r="AA974" s="1441"/>
      <c r="AB974" s="1441"/>
      <c r="AC974" s="1441"/>
      <c r="AD974" s="1441"/>
      <c r="AE974" s="1442"/>
      <c r="AF974" s="73"/>
      <c r="AG974" s="14"/>
      <c r="AH974" s="14"/>
      <c r="AI974" s="83"/>
      <c r="AJ974" s="1488"/>
      <c r="AK974" s="1489"/>
      <c r="AL974" s="1489"/>
      <c r="AM974" s="1489"/>
      <c r="AN974" s="1489"/>
      <c r="AO974" s="1489"/>
      <c r="AP974" s="1489"/>
      <c r="AQ974" s="149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5"/>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7"/>
      <c r="AF975" s="77"/>
      <c r="AG975" s="7"/>
      <c r="AH975" s="7"/>
      <c r="AI975" s="78"/>
      <c r="AJ975" s="1491"/>
      <c r="AK975" s="1492"/>
      <c r="AL975" s="1492"/>
      <c r="AM975" s="1492"/>
      <c r="AN975" s="1492"/>
      <c r="AO975" s="1492"/>
      <c r="AP975" s="1492"/>
      <c r="AQ975" s="1493"/>
      <c r="AR975" s="68"/>
      <c r="AS975" s="68"/>
      <c r="AT975" s="68"/>
      <c r="AU975" s="68"/>
      <c r="AV975" s="68"/>
      <c r="AW975" s="68"/>
      <c r="AX975" s="68"/>
      <c r="AY975" s="68"/>
      <c r="AZ975" s="34"/>
      <c r="BA975" s="950">
        <f>ROUNDDOWN(X1013/I1013,2)</f>
        <v>0.19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2" t="s">
        <v>1452</v>
      </c>
      <c r="E976" s="1453"/>
      <c r="F976" s="1453"/>
      <c r="G976" s="1453"/>
      <c r="H976" s="1453"/>
      <c r="I976" s="1453"/>
      <c r="J976" s="1453"/>
      <c r="K976" s="1453"/>
      <c r="L976" s="1453"/>
      <c r="M976" s="1453"/>
      <c r="N976" s="1453"/>
      <c r="O976" s="1453"/>
      <c r="P976" s="1453"/>
      <c r="Q976" s="1453"/>
      <c r="R976" s="1453"/>
      <c r="S976" s="1453"/>
      <c r="T976" s="1453"/>
      <c r="U976" s="1453"/>
      <c r="V976" s="1453"/>
      <c r="W976" s="1453"/>
      <c r="X976" s="1453"/>
      <c r="Y976" s="1453"/>
      <c r="Z976" s="1453"/>
      <c r="AA976" s="1453"/>
      <c r="AB976" s="1453"/>
      <c r="AC976" s="1453"/>
      <c r="AD976" s="1453"/>
      <c r="AE976" s="1454"/>
      <c r="AF976" s="79"/>
      <c r="AG976" s="1460" t="s">
        <v>679</v>
      </c>
      <c r="AH976" s="1461"/>
      <c r="AI976" s="87"/>
      <c r="AJ976" s="1485">
        <f>ROUND(IF(AG976="yes",AJ961*0.02,0),0)</f>
        <v>0</v>
      </c>
      <c r="AK976" s="1486"/>
      <c r="AL976" s="1486"/>
      <c r="AM976" s="1486"/>
      <c r="AN976" s="1486"/>
      <c r="AO976" s="1486"/>
      <c r="AP976" s="1486"/>
      <c r="AQ976" s="1487"/>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5" t="s">
        <v>1453</v>
      </c>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c r="AA977" s="1466"/>
      <c r="AB977" s="1466"/>
      <c r="AC977" s="1466"/>
      <c r="AD977" s="1466"/>
      <c r="AE977" s="1467"/>
      <c r="AF977" s="77"/>
      <c r="AG977" s="7"/>
      <c r="AH977" s="7"/>
      <c r="AI977" s="78"/>
      <c r="AJ977" s="1491"/>
      <c r="AK977" s="1492"/>
      <c r="AL977" s="1492"/>
      <c r="AM977" s="1492"/>
      <c r="AN977" s="1492"/>
      <c r="AO977" s="1492"/>
      <c r="AP977" s="1492"/>
      <c r="AQ977" s="1493"/>
      <c r="AR977" s="68"/>
      <c r="AS977" s="68"/>
      <c r="AT977" s="68"/>
      <c r="AU977" s="68"/>
      <c r="AV977" s="68"/>
      <c r="AW977" s="68"/>
      <c r="AX977" s="68"/>
      <c r="AY977" s="68"/>
      <c r="BB977" s="34"/>
      <c r="BC977" s="34"/>
      <c r="BD977" s="34"/>
      <c r="BE977" s="34"/>
      <c r="BF977" s="34"/>
    </row>
    <row r="978" spans="1:58" ht="12.95" customHeight="1">
      <c r="A978" s="14"/>
      <c r="B978" s="79"/>
      <c r="C978" s="80" t="s">
        <v>217</v>
      </c>
      <c r="D978" s="1452" t="s">
        <v>1454</v>
      </c>
      <c r="E978" s="1453"/>
      <c r="F978" s="1453"/>
      <c r="G978" s="1453"/>
      <c r="H978" s="1453"/>
      <c r="I978" s="1453"/>
      <c r="J978" s="1453"/>
      <c r="K978" s="1453"/>
      <c r="L978" s="1453"/>
      <c r="M978" s="1453"/>
      <c r="N978" s="1453"/>
      <c r="O978" s="1453"/>
      <c r="P978" s="1453"/>
      <c r="Q978" s="1453"/>
      <c r="R978" s="1453"/>
      <c r="S978" s="1453"/>
      <c r="T978" s="1453"/>
      <c r="U978" s="1453"/>
      <c r="V978" s="1453"/>
      <c r="W978" s="1453"/>
      <c r="X978" s="1453"/>
      <c r="Y978" s="1453"/>
      <c r="Z978" s="1453"/>
      <c r="AA978" s="1453"/>
      <c r="AB978" s="1453"/>
      <c r="AC978" s="1453"/>
      <c r="AD978" s="1453"/>
      <c r="AE978" s="1454"/>
      <c r="AF978" s="79"/>
      <c r="AG978" s="1460" t="s">
        <v>679</v>
      </c>
      <c r="AH978" s="1461"/>
      <c r="AI978" s="79"/>
      <c r="AJ978" s="1485">
        <f>ROUND(IF(AG978="yes",AJ961*0.02,0),0)</f>
        <v>0</v>
      </c>
      <c r="AK978" s="1486"/>
      <c r="AL978" s="1486"/>
      <c r="AM978" s="1486"/>
      <c r="AN978" s="1486"/>
      <c r="AO978" s="1486"/>
      <c r="AP978" s="1486"/>
      <c r="AQ978" s="1487"/>
      <c r="AR978" s="68"/>
      <c r="AS978" s="68"/>
      <c r="AT978" s="68"/>
      <c r="AU978" s="68"/>
      <c r="AV978" s="68"/>
      <c r="AW978" s="68"/>
      <c r="AX978" s="68"/>
      <c r="AY978" s="68"/>
    </row>
    <row r="979" spans="1:58" ht="12.95" customHeight="1">
      <c r="A979" s="14"/>
      <c r="B979" s="73"/>
      <c r="C979" s="74"/>
      <c r="D979" s="1440" t="s">
        <v>1455</v>
      </c>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2"/>
      <c r="AF979" s="73"/>
      <c r="AI979" s="14"/>
      <c r="AJ979" s="1488"/>
      <c r="AK979" s="1489"/>
      <c r="AL979" s="1489"/>
      <c r="AM979" s="1489"/>
      <c r="AN979" s="1489"/>
      <c r="AO979" s="1489"/>
      <c r="AP979" s="1489"/>
      <c r="AQ979" s="1490"/>
      <c r="AR979" s="68"/>
      <c r="AS979" s="68"/>
      <c r="AT979" s="68"/>
      <c r="AU979" s="68"/>
      <c r="AV979" s="68"/>
      <c r="AW979" s="68"/>
      <c r="AX979" s="68"/>
      <c r="AY979" s="68"/>
    </row>
    <row r="980" spans="1:58" ht="12.95" customHeight="1">
      <c r="A980" s="14"/>
      <c r="B980" s="75"/>
      <c r="C980" s="76"/>
      <c r="D980" s="1465"/>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7"/>
      <c r="AF980" s="77"/>
      <c r="AG980" s="7"/>
      <c r="AH980" s="7"/>
      <c r="AI980" s="78"/>
      <c r="AJ980" s="1491"/>
      <c r="AK980" s="1492"/>
      <c r="AL980" s="1492"/>
      <c r="AM980" s="1492"/>
      <c r="AN980" s="1492"/>
      <c r="AO980" s="1492"/>
      <c r="AP980" s="1492"/>
      <c r="AQ980" s="1493"/>
      <c r="AR980" s="68"/>
      <c r="AS980" s="68"/>
      <c r="AT980" s="68"/>
      <c r="AU980" s="68"/>
      <c r="AV980" s="68"/>
      <c r="AW980" s="68"/>
      <c r="AX980" s="68"/>
      <c r="AY980" s="68"/>
    </row>
    <row r="981" spans="1:58" ht="12.95" customHeight="1">
      <c r="A981" s="14"/>
      <c r="B981" s="79"/>
      <c r="C981" s="80" t="s">
        <v>220</v>
      </c>
      <c r="D981" s="1462" t="s">
        <v>1456</v>
      </c>
      <c r="E981" s="1463"/>
      <c r="F981" s="1463"/>
      <c r="G981" s="1463"/>
      <c r="H981" s="1463"/>
      <c r="I981" s="1463"/>
      <c r="J981" s="1463"/>
      <c r="K981" s="1463"/>
      <c r="L981" s="1463"/>
      <c r="M981" s="1463"/>
      <c r="N981" s="1463"/>
      <c r="O981" s="1463"/>
      <c r="P981" s="1463"/>
      <c r="Q981" s="1463"/>
      <c r="R981" s="1463"/>
      <c r="S981" s="1463"/>
      <c r="T981" s="1463"/>
      <c r="U981" s="1463"/>
      <c r="V981" s="1463"/>
      <c r="W981" s="1463"/>
      <c r="X981" s="1463"/>
      <c r="Y981" s="1463"/>
      <c r="Z981" s="1463"/>
      <c r="AA981" s="1463"/>
      <c r="AB981" s="1463"/>
      <c r="AC981" s="1463"/>
      <c r="AD981" s="1463"/>
      <c r="AE981" s="1464"/>
      <c r="AF981" s="79"/>
      <c r="AG981" s="1460" t="s">
        <v>679</v>
      </c>
      <c r="AH981" s="1461"/>
      <c r="AI981" s="87"/>
      <c r="AJ981" s="1485">
        <f>IF(AG981="yes",AJ961*BA981,0)</f>
        <v>0</v>
      </c>
      <c r="AK981" s="1486"/>
      <c r="AL981" s="1486"/>
      <c r="AM981" s="1486"/>
      <c r="AN981" s="1486"/>
      <c r="AO981" s="1486"/>
      <c r="AP981" s="1486"/>
      <c r="AQ981" s="1487"/>
      <c r="AR981" s="68"/>
      <c r="AS981" s="68"/>
      <c r="AT981" s="68"/>
      <c r="AU981" s="68"/>
      <c r="AV981" s="68"/>
      <c r="AW981" s="68"/>
      <c r="AX981" s="68"/>
      <c r="AY981" s="68"/>
      <c r="BA981" s="215">
        <f>IF(SUM(BA983:BA991)&lt;=0.1,SUM(BA983:BA991),0.1)</f>
        <v>0</v>
      </c>
    </row>
    <row r="982" spans="1:58" ht="12.95" customHeight="1">
      <c r="A982" s="14"/>
      <c r="B982" s="73"/>
      <c r="C982" s="74"/>
      <c r="D982" s="1440" t="s">
        <v>1457</v>
      </c>
      <c r="E982" s="1441"/>
      <c r="F982" s="1441"/>
      <c r="G982" s="1441"/>
      <c r="H982" s="1441"/>
      <c r="I982" s="1441"/>
      <c r="J982" s="1441"/>
      <c r="K982" s="1441"/>
      <c r="L982" s="1441"/>
      <c r="M982" s="1441"/>
      <c r="N982" s="1441"/>
      <c r="O982" s="1441"/>
      <c r="P982" s="1441"/>
      <c r="Q982" s="1441"/>
      <c r="R982" s="1441"/>
      <c r="S982" s="1441"/>
      <c r="T982" s="1441"/>
      <c r="U982" s="1441"/>
      <c r="V982" s="1441"/>
      <c r="W982" s="1441"/>
      <c r="X982" s="1441"/>
      <c r="Y982" s="1441"/>
      <c r="Z982" s="1441"/>
      <c r="AA982" s="1441"/>
      <c r="AB982" s="1441"/>
      <c r="AC982" s="1441"/>
      <c r="AD982" s="1441"/>
      <c r="AE982" s="1442"/>
      <c r="AF982" s="73"/>
      <c r="AG982" s="14"/>
      <c r="AH982" s="14"/>
      <c r="AI982" s="83"/>
      <c r="AJ982" s="1488"/>
      <c r="AK982" s="1489"/>
      <c r="AL982" s="1489"/>
      <c r="AM982" s="1489"/>
      <c r="AN982" s="1489"/>
      <c r="AO982" s="1489"/>
      <c r="AP982" s="1489"/>
      <c r="AQ982" s="1490"/>
      <c r="AR982" s="68"/>
      <c r="AS982" s="68"/>
      <c r="AT982" s="68"/>
      <c r="AU982" s="68"/>
      <c r="AV982" s="68"/>
      <c r="AW982" s="68"/>
      <c r="AX982" s="68"/>
      <c r="AY982" s="68"/>
    </row>
    <row r="983" spans="1:58" ht="12.95" customHeight="1">
      <c r="A983" s="14"/>
      <c r="B983" s="73"/>
      <c r="C983" s="74"/>
      <c r="D983" s="1440"/>
      <c r="E983" s="1441"/>
      <c r="F983" s="1441"/>
      <c r="G983" s="1441"/>
      <c r="H983" s="1441"/>
      <c r="I983" s="1441"/>
      <c r="J983" s="1441"/>
      <c r="K983" s="1441"/>
      <c r="L983" s="1441"/>
      <c r="M983" s="1441"/>
      <c r="N983" s="1441"/>
      <c r="O983" s="1441"/>
      <c r="P983" s="1441"/>
      <c r="Q983" s="1441"/>
      <c r="R983" s="1441"/>
      <c r="S983" s="1441"/>
      <c r="T983" s="1441"/>
      <c r="U983" s="1441"/>
      <c r="V983" s="1441"/>
      <c r="W983" s="1441"/>
      <c r="X983" s="1441"/>
      <c r="Y983" s="1441"/>
      <c r="Z983" s="1441"/>
      <c r="AA983" s="1441"/>
      <c r="AB983" s="1441"/>
      <c r="AC983" s="1441"/>
      <c r="AD983" s="1441"/>
      <c r="AE983" s="1442"/>
      <c r="AF983" s="73"/>
      <c r="AG983" s="14"/>
      <c r="AH983" s="14"/>
      <c r="AI983" s="83"/>
      <c r="AJ983" s="1488"/>
      <c r="AK983" s="1489"/>
      <c r="AL983" s="1489"/>
      <c r="AM983" s="1489"/>
      <c r="AN983" s="1489"/>
      <c r="AO983" s="1489"/>
      <c r="AP983" s="1489"/>
      <c r="AQ983" s="1490"/>
      <c r="AR983" s="68"/>
      <c r="AS983" s="68"/>
      <c r="AT983" s="68"/>
      <c r="AU983" s="68"/>
      <c r="AV983" s="68"/>
      <c r="AW983" s="68"/>
      <c r="AX983" s="68"/>
      <c r="AY983" s="68"/>
      <c r="BA983" s="213">
        <f>IF(A1030="Yes",0.05,0)</f>
        <v>0</v>
      </c>
    </row>
    <row r="984" spans="1:58" ht="12.95" customHeight="1">
      <c r="A984" s="14"/>
      <c r="B984" s="81"/>
      <c r="C984" s="82"/>
      <c r="D984" s="1465"/>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77"/>
      <c r="AG984" s="7"/>
      <c r="AH984" s="7"/>
      <c r="AI984" s="78"/>
      <c r="AJ984" s="1491"/>
      <c r="AK984" s="1492"/>
      <c r="AL984" s="1492"/>
      <c r="AM984" s="1492"/>
      <c r="AN984" s="1492"/>
      <c r="AO984" s="1492"/>
      <c r="AP984" s="1492"/>
      <c r="AQ984" s="1493"/>
      <c r="AR984" s="68"/>
      <c r="AS984" s="68"/>
      <c r="AT984" s="68"/>
      <c r="AU984" s="68"/>
      <c r="AV984" s="68"/>
      <c r="AW984" s="68"/>
      <c r="AX984" s="68"/>
      <c r="AY984" s="68"/>
      <c r="BA984" s="213">
        <f>IF(A1036="Yes",0.02,0)</f>
        <v>0</v>
      </c>
    </row>
    <row r="985" spans="1:58" ht="12.95" customHeight="1">
      <c r="A985" s="14"/>
      <c r="B985" s="79"/>
      <c r="C985" s="80" t="s">
        <v>225</v>
      </c>
      <c r="D985" s="1506" t="s">
        <v>1458</v>
      </c>
      <c r="E985" s="1507"/>
      <c r="F985" s="1507"/>
      <c r="G985" s="1507"/>
      <c r="H985" s="1507"/>
      <c r="I985" s="1507"/>
      <c r="J985" s="1507"/>
      <c r="K985" s="1507"/>
      <c r="L985" s="1507"/>
      <c r="M985" s="1507"/>
      <c r="N985" s="1507"/>
      <c r="O985" s="1507"/>
      <c r="P985" s="1507"/>
      <c r="Q985" s="1507"/>
      <c r="R985" s="1507"/>
      <c r="S985" s="1507"/>
      <c r="T985" s="1507"/>
      <c r="U985" s="1507"/>
      <c r="V985" s="1507"/>
      <c r="W985" s="1507"/>
      <c r="X985" s="1507"/>
      <c r="Y985" s="1507"/>
      <c r="Z985" s="1507"/>
      <c r="AA985" s="1507"/>
      <c r="AB985" s="1507"/>
      <c r="AC985" s="1507"/>
      <c r="AD985" s="1507"/>
      <c r="AE985" s="1508"/>
      <c r="AF985" s="79"/>
      <c r="AG985" s="1460" t="s">
        <v>679</v>
      </c>
      <c r="AH985" s="1461"/>
      <c r="AI985" s="87"/>
      <c r="AJ985" s="1485">
        <f>ROUND(IF(AG985="Yes",MIN(AF988,(0.15*AJ961)),0),0)</f>
        <v>0</v>
      </c>
      <c r="AK985" s="1486"/>
      <c r="AL985" s="1486"/>
      <c r="AM985" s="1486"/>
      <c r="AN985" s="1486"/>
      <c r="AO985" s="1486"/>
      <c r="AP985" s="1486"/>
      <c r="AQ985" s="1487"/>
      <c r="AR985" s="68"/>
      <c r="AS985" s="68"/>
      <c r="AT985" s="68"/>
      <c r="AU985" s="68"/>
      <c r="AV985" s="68"/>
      <c r="AW985" s="68"/>
      <c r="AX985" s="68"/>
      <c r="AY985" s="68"/>
      <c r="BA985" s="213">
        <f>IF(A1042="Yes",0.04,0)</f>
        <v>0</v>
      </c>
    </row>
    <row r="986" spans="1:58" ht="12.95" customHeight="1">
      <c r="A986" s="14"/>
      <c r="B986" s="81"/>
      <c r="C986" s="84"/>
      <c r="D986" s="1509"/>
      <c r="E986" s="1510"/>
      <c r="F986" s="1510"/>
      <c r="G986" s="1510"/>
      <c r="H986" s="1510"/>
      <c r="I986" s="1510"/>
      <c r="J986" s="1510"/>
      <c r="K986" s="1510"/>
      <c r="L986" s="1510"/>
      <c r="M986" s="1510"/>
      <c r="N986" s="1510"/>
      <c r="O986" s="1510"/>
      <c r="P986" s="1510"/>
      <c r="Q986" s="1510"/>
      <c r="R986" s="1510"/>
      <c r="S986" s="1510"/>
      <c r="T986" s="1510"/>
      <c r="U986" s="1510"/>
      <c r="V986" s="1510"/>
      <c r="W986" s="1510"/>
      <c r="X986" s="1510"/>
      <c r="Y986" s="1510"/>
      <c r="Z986" s="1510"/>
      <c r="AA986" s="1510"/>
      <c r="AB986" s="1510"/>
      <c r="AC986" s="1510"/>
      <c r="AD986" s="1510"/>
      <c r="AE986" s="1511"/>
      <c r="AF986" s="1468" t="str">
        <f>IF(AG985="yes","Please Select Type and Enter Amount:","")</f>
        <v/>
      </c>
      <c r="AG986" s="1469"/>
      <c r="AH986" s="1469"/>
      <c r="AI986" s="1470"/>
      <c r="AJ986" s="1488"/>
      <c r="AK986" s="1489"/>
      <c r="AL986" s="1489"/>
      <c r="AM986" s="1489"/>
      <c r="AN986" s="1489"/>
      <c r="AO986" s="1489"/>
      <c r="AP986" s="1489"/>
      <c r="AQ986" s="1490"/>
      <c r="AR986" s="68"/>
      <c r="AS986" s="68"/>
      <c r="AT986" s="68"/>
      <c r="AU986" s="68"/>
      <c r="AV986" s="68"/>
      <c r="AW986" s="68"/>
      <c r="AX986" s="68"/>
      <c r="AY986" s="68"/>
      <c r="BA986" s="213">
        <f>IF(A1049="Yes",0.04,0)</f>
        <v>0</v>
      </c>
    </row>
    <row r="987" spans="1:58" ht="12.95" customHeight="1">
      <c r="A987" s="14"/>
      <c r="B987" s="81"/>
      <c r="C987" s="84"/>
      <c r="D987" s="1440" t="s">
        <v>1459</v>
      </c>
      <c r="E987" s="1441"/>
      <c r="F987" s="1441"/>
      <c r="G987" s="1441"/>
      <c r="H987" s="1441"/>
      <c r="I987" s="1441"/>
      <c r="J987" s="1441"/>
      <c r="K987" s="1441"/>
      <c r="L987" s="1441"/>
      <c r="M987" s="1441"/>
      <c r="N987" s="1441"/>
      <c r="O987" s="1441"/>
      <c r="P987" s="1441"/>
      <c r="Q987" s="1441"/>
      <c r="R987" s="1441"/>
      <c r="S987" s="1441"/>
      <c r="T987" s="1441"/>
      <c r="U987" s="1441"/>
      <c r="V987" s="1441"/>
      <c r="W987" s="1441"/>
      <c r="X987" s="1441"/>
      <c r="Y987" s="1441"/>
      <c r="Z987" s="1441"/>
      <c r="AA987" s="1441"/>
      <c r="AB987" s="1441"/>
      <c r="AC987" s="1441"/>
      <c r="AD987" s="1441"/>
      <c r="AE987" s="1442"/>
      <c r="AF987" s="1468"/>
      <c r="AG987" s="1469"/>
      <c r="AH987" s="1469"/>
      <c r="AI987" s="1470"/>
      <c r="AJ987" s="1488"/>
      <c r="AK987" s="1489"/>
      <c r="AL987" s="1489"/>
      <c r="AM987" s="1489"/>
      <c r="AN987" s="1489"/>
      <c r="AO987" s="1489"/>
      <c r="AP987" s="1489"/>
      <c r="AQ987" s="1490"/>
      <c r="AR987" s="68"/>
      <c r="AS987" s="68"/>
      <c r="AT987" s="68"/>
      <c r="AU987" s="68"/>
      <c r="AV987" s="68"/>
      <c r="AW987" s="68"/>
      <c r="AX987" s="68"/>
      <c r="AY987" s="68"/>
      <c r="BA987" s="213">
        <f>IF(A1052="Yes",0.01,0)</f>
        <v>0</v>
      </c>
    </row>
    <row r="988" spans="1:58" ht="12.95" customHeight="1">
      <c r="A988" s="14"/>
      <c r="B988" s="81"/>
      <c r="C988" s="84"/>
      <c r="D988" s="1440"/>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2"/>
      <c r="AF988" s="1432"/>
      <c r="AG988" s="1432"/>
      <c r="AH988" s="1432"/>
      <c r="AI988" s="1432"/>
      <c r="AJ988" s="1488"/>
      <c r="AK988" s="1489"/>
      <c r="AL988" s="1489"/>
      <c r="AM988" s="1489"/>
      <c r="AN988" s="1489"/>
      <c r="AO988" s="1489"/>
      <c r="AP988" s="1489"/>
      <c r="AQ988" s="1490"/>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3" t="s">
        <v>601</v>
      </c>
      <c r="K989" s="1444"/>
      <c r="L989" s="1444"/>
      <c r="M989" s="1444"/>
      <c r="N989" s="1444"/>
      <c r="O989" s="1444"/>
      <c r="P989" s="1444"/>
      <c r="Q989" s="1444"/>
      <c r="R989" s="1444"/>
      <c r="S989" s="1444"/>
      <c r="T989" s="1444"/>
      <c r="U989" s="1444"/>
      <c r="V989" s="1444"/>
      <c r="W989" s="1444"/>
      <c r="X989" s="1444"/>
      <c r="Y989" s="1444"/>
      <c r="Z989" s="1444"/>
      <c r="AA989" s="1444"/>
      <c r="AB989" s="1444"/>
      <c r="AC989" s="1444"/>
      <c r="AD989" s="1444"/>
      <c r="AE989" s="1445"/>
      <c r="AF989" s="1432"/>
      <c r="AG989" s="1432"/>
      <c r="AH989" s="1432"/>
      <c r="AI989" s="1432"/>
      <c r="AJ989" s="1491"/>
      <c r="AK989" s="1492"/>
      <c r="AL989" s="1492"/>
      <c r="AM989" s="1492"/>
      <c r="AN989" s="1492"/>
      <c r="AO989" s="1492"/>
      <c r="AP989" s="1492"/>
      <c r="AQ989" s="1493"/>
      <c r="AR989" s="68"/>
      <c r="AS989" s="68"/>
      <c r="AT989" s="68"/>
      <c r="AU989" s="68"/>
      <c r="AV989" s="68"/>
      <c r="AW989" s="68"/>
      <c r="AX989" s="68"/>
      <c r="AY989" s="68"/>
      <c r="BA989" s="213">
        <f>IF(A1060="Yes",0.01,0)</f>
        <v>0</v>
      </c>
    </row>
    <row r="990" spans="1:58" ht="12.95" customHeight="1">
      <c r="A990" s="14"/>
      <c r="B990" s="79"/>
      <c r="C990" s="80" t="s">
        <v>231</v>
      </c>
      <c r="D990" s="1452" t="s">
        <v>1460</v>
      </c>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4"/>
      <c r="AF990" s="79"/>
      <c r="AG990" s="1460" t="s">
        <v>555</v>
      </c>
      <c r="AH990" s="1461"/>
      <c r="AI990" s="87"/>
      <c r="AJ990" s="1485">
        <f>ROUND(IF(AG990="Yes",AF992,0),0)</f>
        <v>3860052</v>
      </c>
      <c r="AK990" s="1486"/>
      <c r="AL990" s="1486"/>
      <c r="AM990" s="1486"/>
      <c r="AN990" s="1486"/>
      <c r="AO990" s="1486"/>
      <c r="AP990" s="1486"/>
      <c r="AQ990" s="1487"/>
      <c r="AR990" s="68"/>
      <c r="AS990" s="68"/>
      <c r="AT990" s="68"/>
      <c r="AU990" s="68"/>
      <c r="AV990" s="68"/>
      <c r="AW990" s="68"/>
      <c r="AX990" s="68"/>
      <c r="AY990" s="68"/>
      <c r="BA990" s="213">
        <f>IF(A1064="Yes",0.02,0)</f>
        <v>0</v>
      </c>
    </row>
    <row r="991" spans="1:58" ht="12.95" customHeight="1">
      <c r="A991" s="14"/>
      <c r="B991" s="73"/>
      <c r="C991" s="74"/>
      <c r="D991" s="1440" t="s">
        <v>1951</v>
      </c>
      <c r="E991" s="1441"/>
      <c r="F991" s="1441"/>
      <c r="G991" s="1441"/>
      <c r="H991" s="1441"/>
      <c r="I991" s="1441"/>
      <c r="J991" s="1441"/>
      <c r="K991" s="1441"/>
      <c r="L991" s="1441"/>
      <c r="M991" s="1441"/>
      <c r="N991" s="1441"/>
      <c r="O991" s="1441"/>
      <c r="P991" s="1441"/>
      <c r="Q991" s="1441"/>
      <c r="R991" s="1441"/>
      <c r="S991" s="1441"/>
      <c r="T991" s="1441"/>
      <c r="U991" s="1441"/>
      <c r="V991" s="1441"/>
      <c r="W991" s="1441"/>
      <c r="X991" s="1441"/>
      <c r="Y991" s="1441"/>
      <c r="Z991" s="1441"/>
      <c r="AA991" s="1441"/>
      <c r="AB991" s="1441"/>
      <c r="AC991" s="1441"/>
      <c r="AD991" s="1441"/>
      <c r="AE991" s="1442"/>
      <c r="AF991" s="1471" t="str">
        <f>IF(AG990="yes","Enter Amount:","")</f>
        <v>Enter Amount:</v>
      </c>
      <c r="AG991" s="1472"/>
      <c r="AH991" s="1472"/>
      <c r="AI991" s="1473"/>
      <c r="AJ991" s="1488"/>
      <c r="AK991" s="1489"/>
      <c r="AL991" s="1489"/>
      <c r="AM991" s="1489"/>
      <c r="AN991" s="1489"/>
      <c r="AO991" s="1489"/>
      <c r="AP991" s="1489"/>
      <c r="AQ991" s="1490"/>
      <c r="AR991" s="68"/>
      <c r="AS991" s="68"/>
      <c r="AT991" s="68"/>
      <c r="AU991" s="68"/>
      <c r="AV991" s="68"/>
      <c r="AW991" s="68"/>
      <c r="AX991" s="68"/>
      <c r="AY991" s="68"/>
      <c r="BA991" s="214">
        <f>IF(A1068="Yes",0.02,0)</f>
        <v>0</v>
      </c>
    </row>
    <row r="992" spans="1:58" ht="12.95" customHeight="1">
      <c r="A992" s="14"/>
      <c r="B992" s="73"/>
      <c r="C992" s="74"/>
      <c r="D992" s="1440"/>
      <c r="E992" s="1441"/>
      <c r="F992" s="1441"/>
      <c r="G992" s="1441"/>
      <c r="H992" s="1441"/>
      <c r="I992" s="1441"/>
      <c r="J992" s="1441"/>
      <c r="K992" s="1441"/>
      <c r="L992" s="1441"/>
      <c r="M992" s="1441"/>
      <c r="N992" s="1441"/>
      <c r="O992" s="1441"/>
      <c r="P992" s="1441"/>
      <c r="Q992" s="1441"/>
      <c r="R992" s="1441"/>
      <c r="S992" s="1441"/>
      <c r="T992" s="1441"/>
      <c r="U992" s="1441"/>
      <c r="V992" s="1441"/>
      <c r="W992" s="1441"/>
      <c r="X992" s="1441"/>
      <c r="Y992" s="1441"/>
      <c r="Z992" s="1441"/>
      <c r="AA992" s="1441"/>
      <c r="AB992" s="1441"/>
      <c r="AC992" s="1441"/>
      <c r="AD992" s="1441"/>
      <c r="AE992" s="1442"/>
      <c r="AF992" s="1432">
        <f>'Sources and Uses Budget'!C85</f>
        <v>3860052</v>
      </c>
      <c r="AG992" s="1432"/>
      <c r="AH992" s="1432"/>
      <c r="AI992" s="1432"/>
      <c r="AJ992" s="1488"/>
      <c r="AK992" s="1489"/>
      <c r="AL992" s="1489"/>
      <c r="AM992" s="1489"/>
      <c r="AN992" s="1489"/>
      <c r="AO992" s="1489"/>
      <c r="AP992" s="1489"/>
      <c r="AQ992" s="1490"/>
      <c r="AR992" s="68"/>
      <c r="AS992" s="68"/>
      <c r="AT992" s="68"/>
      <c r="AU992" s="68"/>
      <c r="AV992" s="68"/>
      <c r="AW992" s="68"/>
      <c r="AX992" s="68"/>
      <c r="AY992" s="68"/>
    </row>
    <row r="993" spans="1:51" ht="12.95" customHeight="1">
      <c r="A993" s="14"/>
      <c r="B993" s="85"/>
      <c r="C993" s="84"/>
      <c r="D993" s="1465"/>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c r="AA993" s="1466"/>
      <c r="AB993" s="1466"/>
      <c r="AC993" s="1466"/>
      <c r="AD993" s="1466"/>
      <c r="AE993" s="1467"/>
      <c r="AF993" s="1432"/>
      <c r="AG993" s="1432"/>
      <c r="AH993" s="1432"/>
      <c r="AI993" s="1432"/>
      <c r="AJ993" s="1491"/>
      <c r="AK993" s="1492"/>
      <c r="AL993" s="1492"/>
      <c r="AM993" s="1492"/>
      <c r="AN993" s="1492"/>
      <c r="AO993" s="1492"/>
      <c r="AP993" s="1492"/>
      <c r="AQ993" s="1493"/>
      <c r="AR993" s="68"/>
      <c r="AS993" s="68"/>
      <c r="AT993" s="68"/>
      <c r="AU993" s="68"/>
      <c r="AV993" s="68"/>
      <c r="AW993" s="68"/>
      <c r="AX993" s="68"/>
      <c r="AY993" s="68"/>
    </row>
    <row r="994" spans="1:51" ht="12.95" customHeight="1">
      <c r="A994" s="14"/>
      <c r="B994" s="79"/>
      <c r="C994" s="80" t="s">
        <v>236</v>
      </c>
      <c r="D994" s="1462" t="s">
        <v>1461</v>
      </c>
      <c r="E994" s="1463"/>
      <c r="F994" s="1463"/>
      <c r="G994" s="1463"/>
      <c r="H994" s="1463"/>
      <c r="I994" s="1463"/>
      <c r="J994" s="1463"/>
      <c r="K994" s="1463"/>
      <c r="L994" s="1463"/>
      <c r="M994" s="1463"/>
      <c r="N994" s="1463"/>
      <c r="O994" s="1463"/>
      <c r="P994" s="1463"/>
      <c r="Q994" s="1463"/>
      <c r="R994" s="1463"/>
      <c r="S994" s="1463"/>
      <c r="T994" s="1463"/>
      <c r="U994" s="1463"/>
      <c r="V994" s="1463"/>
      <c r="W994" s="1463"/>
      <c r="X994" s="1463"/>
      <c r="Y994" s="1463"/>
      <c r="Z994" s="1463"/>
      <c r="AA994" s="1463"/>
      <c r="AB994" s="1463"/>
      <c r="AC994" s="1463"/>
      <c r="AD994" s="1463"/>
      <c r="AE994" s="1464"/>
      <c r="AF994" s="79"/>
      <c r="AG994" s="1460" t="s">
        <v>555</v>
      </c>
      <c r="AH994" s="1461"/>
      <c r="AI994" s="87"/>
      <c r="AJ994" s="1485">
        <f>ROUND(IF(AG994="yes",(AJ961*0.1),0),0)</f>
        <v>8115449</v>
      </c>
      <c r="AK994" s="1486"/>
      <c r="AL994" s="1486"/>
      <c r="AM994" s="1486"/>
      <c r="AN994" s="1486"/>
      <c r="AO994" s="1486"/>
      <c r="AP994" s="1486"/>
      <c r="AQ994" s="1487"/>
      <c r="AR994" s="68"/>
      <c r="AS994" s="68"/>
      <c r="AT994" s="68"/>
      <c r="AU994" s="68"/>
      <c r="AV994" s="68"/>
      <c r="AW994" s="68"/>
      <c r="AX994" s="68"/>
      <c r="AY994" s="68"/>
    </row>
    <row r="995" spans="1:51" ht="12.95" customHeight="1">
      <c r="A995" s="14"/>
      <c r="B995" s="73"/>
      <c r="C995" s="74"/>
      <c r="D995" s="1440" t="s">
        <v>1462</v>
      </c>
      <c r="E995" s="1441"/>
      <c r="F995" s="1441"/>
      <c r="G995" s="1441"/>
      <c r="H995" s="1441"/>
      <c r="I995" s="1441"/>
      <c r="J995" s="1441"/>
      <c r="K995" s="1441"/>
      <c r="L995" s="1441"/>
      <c r="M995" s="1441"/>
      <c r="N995" s="1441"/>
      <c r="O995" s="1441"/>
      <c r="P995" s="1441"/>
      <c r="Q995" s="1441"/>
      <c r="R995" s="1441"/>
      <c r="S995" s="1441"/>
      <c r="T995" s="1441"/>
      <c r="U995" s="1441"/>
      <c r="V995" s="1441"/>
      <c r="W995" s="1441"/>
      <c r="X995" s="1441"/>
      <c r="Y995" s="1441"/>
      <c r="Z995" s="1441"/>
      <c r="AA995" s="1441"/>
      <c r="AB995" s="1441"/>
      <c r="AC995" s="1441"/>
      <c r="AD995" s="1441"/>
      <c r="AE995" s="1442"/>
      <c r="AF995" s="73"/>
      <c r="AG995" s="14"/>
      <c r="AH995" s="14"/>
      <c r="AI995" s="83"/>
      <c r="AJ995" s="1488"/>
      <c r="AK995" s="1489"/>
      <c r="AL995" s="1489"/>
      <c r="AM995" s="1489"/>
      <c r="AN995" s="1489"/>
      <c r="AO995" s="1489"/>
      <c r="AP995" s="1489"/>
      <c r="AQ995" s="1490"/>
      <c r="AR995" s="68"/>
      <c r="AS995" s="68"/>
      <c r="AT995" s="68"/>
      <c r="AU995" s="68"/>
      <c r="AV995" s="68"/>
      <c r="AW995" s="68"/>
      <c r="AX995" s="68"/>
      <c r="AY995" s="68"/>
    </row>
    <row r="996" spans="1:51" ht="12.95" customHeight="1">
      <c r="A996" s="14"/>
      <c r="B996" s="77"/>
      <c r="C996" s="74"/>
      <c r="D996" s="1465"/>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c r="AA996" s="1466"/>
      <c r="AB996" s="1466"/>
      <c r="AC996" s="1466"/>
      <c r="AD996" s="1466"/>
      <c r="AE996" s="1467"/>
      <c r="AF996" s="73"/>
      <c r="AG996" s="14"/>
      <c r="AH996" s="14"/>
      <c r="AI996" s="83"/>
      <c r="AJ996" s="1491"/>
      <c r="AK996" s="1492"/>
      <c r="AL996" s="1492"/>
      <c r="AM996" s="1492"/>
      <c r="AN996" s="1492"/>
      <c r="AO996" s="1492"/>
      <c r="AP996" s="1492"/>
      <c r="AQ996" s="1493"/>
      <c r="AR996" s="68"/>
      <c r="AS996" s="68"/>
      <c r="AT996" s="68"/>
      <c r="AU996" s="68"/>
      <c r="AV996" s="68"/>
      <c r="AW996" s="68"/>
      <c r="AX996" s="68"/>
      <c r="AY996" s="68"/>
    </row>
    <row r="997" spans="1:51" ht="12.95" customHeight="1">
      <c r="A997" s="14"/>
      <c r="B997" s="73"/>
      <c r="C997" s="368" t="s">
        <v>698</v>
      </c>
      <c r="D997" s="1452" t="s">
        <v>1947</v>
      </c>
      <c r="E997" s="1453"/>
      <c r="F997" s="1453"/>
      <c r="G997" s="1453"/>
      <c r="H997" s="1453"/>
      <c r="I997" s="1453"/>
      <c r="J997" s="1453"/>
      <c r="K997" s="1453"/>
      <c r="L997" s="1453"/>
      <c r="M997" s="1453"/>
      <c r="N997" s="1453"/>
      <c r="O997" s="1453"/>
      <c r="P997" s="1453"/>
      <c r="Q997" s="1453"/>
      <c r="R997" s="1453"/>
      <c r="S997" s="1453"/>
      <c r="T997" s="1453"/>
      <c r="U997" s="1453"/>
      <c r="V997" s="1453"/>
      <c r="W997" s="1453"/>
      <c r="X997" s="1453"/>
      <c r="Y997" s="1453"/>
      <c r="Z997" s="1453"/>
      <c r="AA997" s="1453"/>
      <c r="AB997" s="1453"/>
      <c r="AC997" s="1453"/>
      <c r="AD997" s="1453"/>
      <c r="AE997" s="1454"/>
      <c r="AF997" s="79"/>
      <c r="AG997" s="1460" t="s">
        <v>679</v>
      </c>
      <c r="AH997" s="1461"/>
      <c r="AI997" s="87"/>
      <c r="AJ997" s="1485">
        <f>ROUND(IF(AG997="yes",(AJ961*0.15),0),0)</f>
        <v>0</v>
      </c>
      <c r="AK997" s="1486"/>
      <c r="AL997" s="1486"/>
      <c r="AM997" s="1486"/>
      <c r="AN997" s="1486"/>
      <c r="AO997" s="1486"/>
      <c r="AP997" s="1486"/>
      <c r="AQ997" s="1487"/>
      <c r="AR997" s="68"/>
      <c r="AS997" s="68"/>
      <c r="AT997" s="68"/>
      <c r="AU997" s="68"/>
      <c r="AV997" s="68"/>
      <c r="AW997" s="68"/>
      <c r="AX997" s="68"/>
      <c r="AY997" s="68"/>
    </row>
    <row r="998" spans="1:51" ht="12.95" customHeight="1">
      <c r="A998" s="14"/>
      <c r="B998" s="73"/>
      <c r="C998" s="74"/>
      <c r="D998" s="1480"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1"/>
      <c r="AF998" s="952"/>
      <c r="AG998" s="953"/>
      <c r="AH998" s="953"/>
      <c r="AI998" s="954"/>
      <c r="AJ998" s="1488"/>
      <c r="AK998" s="1489"/>
      <c r="AL998" s="1489"/>
      <c r="AM998" s="1489"/>
      <c r="AN998" s="1489"/>
      <c r="AO998" s="1489"/>
      <c r="AP998" s="1489"/>
      <c r="AQ998" s="1490"/>
      <c r="AR998" s="68"/>
      <c r="AS998" s="68"/>
      <c r="AT998" s="68"/>
      <c r="AU998" s="68"/>
      <c r="AV998" s="68"/>
      <c r="AW998" s="68"/>
      <c r="AX998" s="68"/>
      <c r="AY998" s="68"/>
    </row>
    <row r="999" spans="1:51" ht="12.95" customHeight="1">
      <c r="A999" s="14"/>
      <c r="B999" s="73"/>
      <c r="C999" s="74"/>
      <c r="D999" s="1480"/>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1"/>
      <c r="AF999" s="952"/>
      <c r="AG999" s="953"/>
      <c r="AH999" s="953"/>
      <c r="AI999" s="954"/>
      <c r="AJ999" s="1488"/>
      <c r="AK999" s="1489"/>
      <c r="AL999" s="1489"/>
      <c r="AM999" s="1489"/>
      <c r="AN999" s="1489"/>
      <c r="AO999" s="1489"/>
      <c r="AP999" s="1489"/>
      <c r="AQ999" s="1490"/>
      <c r="AR999" s="68"/>
      <c r="AS999" s="68"/>
      <c r="AT999" s="68"/>
      <c r="AU999" s="68"/>
      <c r="AV999" s="68"/>
      <c r="AW999" s="68"/>
      <c r="AX999" s="68"/>
      <c r="AY999" s="68"/>
    </row>
    <row r="1000" spans="1:51" ht="12.95" customHeight="1">
      <c r="A1000" s="14"/>
      <c r="B1000" s="73"/>
      <c r="C1000" s="74"/>
      <c r="D1000" s="1482"/>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4"/>
      <c r="AF1000" s="955"/>
      <c r="AG1000" s="956"/>
      <c r="AH1000" s="956"/>
      <c r="AI1000" s="957"/>
      <c r="AJ1000" s="1491"/>
      <c r="AK1000" s="1492"/>
      <c r="AL1000" s="1492"/>
      <c r="AM1000" s="1492"/>
      <c r="AN1000" s="1492"/>
      <c r="AO1000" s="1492"/>
      <c r="AP1000" s="1492"/>
      <c r="AQ1000" s="1493"/>
      <c r="AR1000" s="68"/>
      <c r="AS1000" s="68"/>
      <c r="AT1000" s="68"/>
      <c r="AU1000" s="68"/>
      <c r="AV1000" s="68"/>
      <c r="AW1000" s="68"/>
      <c r="AX1000" s="68"/>
      <c r="AY1000" s="68"/>
    </row>
    <row r="1001" spans="1:51" ht="12.95" customHeight="1">
      <c r="A1001" s="14"/>
      <c r="B1001" s="73"/>
      <c r="C1001" s="368" t="s">
        <v>698</v>
      </c>
      <c r="D1001" s="1462" t="s">
        <v>1949</v>
      </c>
      <c r="E1001" s="1463"/>
      <c r="F1001" s="1463"/>
      <c r="G1001" s="1463"/>
      <c r="H1001" s="1463"/>
      <c r="I1001" s="1463"/>
      <c r="J1001" s="1463"/>
      <c r="K1001" s="1463"/>
      <c r="L1001" s="1463"/>
      <c r="M1001" s="1463"/>
      <c r="N1001" s="1463"/>
      <c r="O1001" s="1463"/>
      <c r="P1001" s="1463"/>
      <c r="Q1001" s="1463"/>
      <c r="R1001" s="1463"/>
      <c r="S1001" s="1463"/>
      <c r="T1001" s="1463"/>
      <c r="U1001" s="1463"/>
      <c r="V1001" s="1463"/>
      <c r="W1001" s="1463"/>
      <c r="X1001" s="1463"/>
      <c r="Y1001" s="1463"/>
      <c r="Z1001" s="1463"/>
      <c r="AA1001" s="1463"/>
      <c r="AB1001" s="1463"/>
      <c r="AC1001" s="1463"/>
      <c r="AD1001" s="1463"/>
      <c r="AE1001" s="1464"/>
      <c r="AF1001" s="73"/>
      <c r="AG1001" s="1559" t="s">
        <v>679</v>
      </c>
      <c r="AH1001" s="1560"/>
      <c r="AI1001" s="83"/>
      <c r="AJ1001" s="1485">
        <f>ROUND(IF(AND(AG1001="yes",AJ997=0),(AJ961*0.1),0),0)</f>
        <v>0</v>
      </c>
      <c r="AK1001" s="1486"/>
      <c r="AL1001" s="1486"/>
      <c r="AM1001" s="1486"/>
      <c r="AN1001" s="1486"/>
      <c r="AO1001" s="1486"/>
      <c r="AP1001" s="1486"/>
      <c r="AQ1001" s="1487"/>
      <c r="AR1001" s="68"/>
      <c r="AS1001" s="68"/>
      <c r="AT1001" s="68"/>
      <c r="AU1001" s="68"/>
      <c r="AV1001" s="68"/>
      <c r="AW1001" s="68"/>
      <c r="AX1001" s="68"/>
      <c r="AY1001" s="68"/>
    </row>
    <row r="1002" spans="1:51" ht="12.95" customHeight="1">
      <c r="A1002" s="14"/>
      <c r="B1002" s="73"/>
      <c r="C1002" s="74"/>
      <c r="D1002" s="1480"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1"/>
      <c r="AF1002" s="73"/>
      <c r="AG1002" s="14"/>
      <c r="AH1002" s="14"/>
      <c r="AI1002" s="83"/>
      <c r="AJ1002" s="1488"/>
      <c r="AK1002" s="1489"/>
      <c r="AL1002" s="1489"/>
      <c r="AM1002" s="1489"/>
      <c r="AN1002" s="1489"/>
      <c r="AO1002" s="1489"/>
      <c r="AP1002" s="1489"/>
      <c r="AQ1002" s="1490"/>
      <c r="AR1002" s="68"/>
      <c r="AS1002" s="68"/>
      <c r="AT1002" s="68"/>
      <c r="AU1002" s="68"/>
      <c r="AV1002" s="68"/>
      <c r="AW1002" s="68"/>
      <c r="AX1002" s="68"/>
      <c r="AY1002" s="68"/>
    </row>
    <row r="1003" spans="1:51" ht="12.95" customHeight="1">
      <c r="A1003" s="14"/>
      <c r="B1003" s="73"/>
      <c r="C1003" s="74"/>
      <c r="D1003" s="1480"/>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1"/>
      <c r="AF1003" s="73"/>
      <c r="AG1003" s="14"/>
      <c r="AH1003" s="14"/>
      <c r="AI1003" s="83"/>
      <c r="AJ1003" s="1488"/>
      <c r="AK1003" s="1489"/>
      <c r="AL1003" s="1489"/>
      <c r="AM1003" s="1489"/>
      <c r="AN1003" s="1489"/>
      <c r="AO1003" s="1489"/>
      <c r="AP1003" s="1489"/>
      <c r="AQ1003" s="1490"/>
      <c r="AR1003" s="68"/>
      <c r="AS1003" s="68"/>
      <c r="AT1003" s="68"/>
      <c r="AU1003" s="68"/>
      <c r="AV1003" s="68"/>
      <c r="AW1003" s="68"/>
      <c r="AX1003" s="68"/>
      <c r="AY1003" s="68"/>
    </row>
    <row r="1004" spans="1:51" ht="12.95" customHeight="1">
      <c r="A1004" s="14"/>
      <c r="B1004" s="73"/>
      <c r="C1004" s="74"/>
      <c r="D1004" s="1480"/>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1"/>
      <c r="AF1004" s="73"/>
      <c r="AG1004" s="14"/>
      <c r="AH1004" s="14"/>
      <c r="AI1004" s="83"/>
      <c r="AJ1004" s="1488"/>
      <c r="AK1004" s="1489"/>
      <c r="AL1004" s="1489"/>
      <c r="AM1004" s="1489"/>
      <c r="AN1004" s="1489"/>
      <c r="AO1004" s="1489"/>
      <c r="AP1004" s="1489"/>
      <c r="AQ1004" s="1490"/>
      <c r="AR1004" s="68"/>
      <c r="AS1004" s="68"/>
      <c r="AT1004" s="68"/>
      <c r="AU1004" s="68"/>
      <c r="AV1004" s="68"/>
      <c r="AW1004" s="68"/>
      <c r="AX1004" s="68"/>
      <c r="AY1004" s="68"/>
    </row>
    <row r="1005" spans="1:51" ht="12.95" customHeight="1">
      <c r="A1005" s="14"/>
      <c r="B1005" s="73"/>
      <c r="C1005" s="74"/>
      <c r="D1005" s="1482"/>
      <c r="E1005" s="1483"/>
      <c r="F1005" s="1483"/>
      <c r="G1005" s="1483"/>
      <c r="H1005" s="1483"/>
      <c r="I1005" s="1483"/>
      <c r="J1005" s="1483"/>
      <c r="K1005" s="1483"/>
      <c r="L1005" s="1483"/>
      <c r="M1005" s="1483"/>
      <c r="N1005" s="1483"/>
      <c r="O1005" s="1483"/>
      <c r="P1005" s="1483"/>
      <c r="Q1005" s="1483"/>
      <c r="R1005" s="1483"/>
      <c r="S1005" s="1483"/>
      <c r="T1005" s="1483"/>
      <c r="U1005" s="1483"/>
      <c r="V1005" s="1483"/>
      <c r="W1005" s="1483"/>
      <c r="X1005" s="1483"/>
      <c r="Y1005" s="1483"/>
      <c r="Z1005" s="1483"/>
      <c r="AA1005" s="1483"/>
      <c r="AB1005" s="1483"/>
      <c r="AC1005" s="1483"/>
      <c r="AD1005" s="1483"/>
      <c r="AE1005" s="1484"/>
      <c r="AF1005" s="73"/>
      <c r="AG1005" s="14"/>
      <c r="AH1005" s="14"/>
      <c r="AI1005" s="83"/>
      <c r="AJ1005" s="1488"/>
      <c r="AK1005" s="1489"/>
      <c r="AL1005" s="1489"/>
      <c r="AM1005" s="1489"/>
      <c r="AN1005" s="1489"/>
      <c r="AO1005" s="1489"/>
      <c r="AP1005" s="1489"/>
      <c r="AQ1005" s="1490"/>
      <c r="AR1005" s="68"/>
      <c r="AS1005" s="68"/>
      <c r="AT1005" s="68"/>
      <c r="AU1005" s="68"/>
      <c r="AV1005" s="68"/>
      <c r="AW1005" s="68"/>
      <c r="AX1005" s="68"/>
      <c r="AY1005" s="68"/>
    </row>
    <row r="1006" spans="1:51" ht="12.95" customHeight="1">
      <c r="A1006" s="14"/>
      <c r="B1006" s="79"/>
      <c r="C1006" s="131" t="s">
        <v>1068</v>
      </c>
      <c r="D1006" s="1452" t="s">
        <v>1463</v>
      </c>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79"/>
      <c r="AG1006" s="1460" t="s">
        <v>679</v>
      </c>
      <c r="AH1006" s="1461"/>
      <c r="AI1006" s="87"/>
      <c r="AJ1006" s="1485">
        <f>ROUND(IF(AG1006="yes",(AJ961*0.1),0),0)</f>
        <v>0</v>
      </c>
      <c r="AK1006" s="1486"/>
      <c r="AL1006" s="1486"/>
      <c r="AM1006" s="1486"/>
      <c r="AN1006" s="1486"/>
      <c r="AO1006" s="1486"/>
      <c r="AP1006" s="1486"/>
      <c r="AQ1006" s="1487"/>
      <c r="AR1006" s="68"/>
      <c r="AS1006" s="68"/>
      <c r="AT1006" s="68"/>
      <c r="AU1006" s="68"/>
      <c r="AV1006" s="68"/>
      <c r="AW1006" s="68"/>
      <c r="AX1006" s="68"/>
      <c r="AY1006" s="68"/>
    </row>
    <row r="1007" spans="1:51" ht="12.95" customHeight="1">
      <c r="A1007" s="14"/>
      <c r="B1007" s="73"/>
      <c r="C1007" s="74"/>
      <c r="D1007" s="1440" t="s">
        <v>2620</v>
      </c>
      <c r="E1007" s="1441"/>
      <c r="F1007" s="1441"/>
      <c r="G1007" s="1441"/>
      <c r="H1007" s="1441"/>
      <c r="I1007" s="1441"/>
      <c r="J1007" s="1441"/>
      <c r="K1007" s="1441"/>
      <c r="L1007" s="1441"/>
      <c r="M1007" s="1441"/>
      <c r="N1007" s="1441"/>
      <c r="O1007" s="1441"/>
      <c r="P1007" s="1441"/>
      <c r="Q1007" s="1441"/>
      <c r="R1007" s="1441"/>
      <c r="S1007" s="1441"/>
      <c r="T1007" s="1441"/>
      <c r="U1007" s="1441"/>
      <c r="V1007" s="1441"/>
      <c r="W1007" s="1441"/>
      <c r="X1007" s="1441"/>
      <c r="Y1007" s="1441"/>
      <c r="Z1007" s="1441"/>
      <c r="AA1007" s="1441"/>
      <c r="AB1007" s="1441"/>
      <c r="AC1007" s="1441"/>
      <c r="AD1007" s="1441"/>
      <c r="AE1007" s="1442"/>
      <c r="AF1007" s="73"/>
      <c r="AG1007" s="14"/>
      <c r="AH1007" s="14"/>
      <c r="AI1007" s="83"/>
      <c r="AJ1007" s="1488"/>
      <c r="AK1007" s="1489"/>
      <c r="AL1007" s="1489"/>
      <c r="AM1007" s="1489"/>
      <c r="AN1007" s="1489"/>
      <c r="AO1007" s="1489"/>
      <c r="AP1007" s="1489"/>
      <c r="AQ1007" s="1490"/>
      <c r="AR1007" s="68"/>
      <c r="AS1007" s="68"/>
      <c r="AT1007" s="68"/>
      <c r="AU1007" s="68"/>
      <c r="AV1007" s="68"/>
      <c r="AW1007" s="68"/>
      <c r="AX1007" s="68"/>
      <c r="AY1007" s="68"/>
    </row>
    <row r="1008" spans="1:51" ht="12.95" customHeight="1">
      <c r="A1008" s="14"/>
      <c r="B1008" s="73"/>
      <c r="C1008" s="74"/>
      <c r="D1008" s="1440"/>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73"/>
      <c r="AG1008" s="14"/>
      <c r="AH1008" s="14"/>
      <c r="AI1008" s="83"/>
      <c r="AJ1008" s="1488"/>
      <c r="AK1008" s="1489"/>
      <c r="AL1008" s="1489"/>
      <c r="AM1008" s="1489"/>
      <c r="AN1008" s="1489"/>
      <c r="AO1008" s="1489"/>
      <c r="AP1008" s="1489"/>
      <c r="AQ1008" s="1490"/>
      <c r="AR1008" s="68"/>
      <c r="AS1008" s="68"/>
      <c r="AT1008" s="68"/>
      <c r="AU1008" s="68"/>
      <c r="AV1008" s="68"/>
      <c r="AW1008" s="68"/>
      <c r="AX1008" s="68"/>
      <c r="AY1008" s="68"/>
    </row>
    <row r="1009" spans="1:51" ht="12.95" customHeight="1">
      <c r="A1009" s="14"/>
      <c r="B1009" s="73"/>
      <c r="C1009" s="74"/>
      <c r="D1009" s="1465"/>
      <c r="E1009" s="1466"/>
      <c r="F1009" s="1466"/>
      <c r="G1009" s="1466"/>
      <c r="H1009" s="1466"/>
      <c r="I1009" s="1466"/>
      <c r="J1009" s="1466"/>
      <c r="K1009" s="1466"/>
      <c r="L1009" s="1466"/>
      <c r="M1009" s="1466"/>
      <c r="N1009" s="1466"/>
      <c r="O1009" s="1466"/>
      <c r="P1009" s="1466"/>
      <c r="Q1009" s="1466"/>
      <c r="R1009" s="1466"/>
      <c r="S1009" s="1466"/>
      <c r="T1009" s="1466"/>
      <c r="U1009" s="1466"/>
      <c r="V1009" s="1466"/>
      <c r="W1009" s="1466"/>
      <c r="X1009" s="1466"/>
      <c r="Y1009" s="1466"/>
      <c r="Z1009" s="1466"/>
      <c r="AA1009" s="1466"/>
      <c r="AB1009" s="1466"/>
      <c r="AC1009" s="1466"/>
      <c r="AD1009" s="1466"/>
      <c r="AE1009" s="1467"/>
      <c r="AF1009" s="73"/>
      <c r="AG1009" s="14"/>
      <c r="AH1009" s="14"/>
      <c r="AI1009" s="83"/>
      <c r="AJ1009" s="1491"/>
      <c r="AK1009" s="1492"/>
      <c r="AL1009" s="1492"/>
      <c r="AM1009" s="1492"/>
      <c r="AN1009" s="1492"/>
      <c r="AO1009" s="1492"/>
      <c r="AP1009" s="1492"/>
      <c r="AQ1009" s="1493"/>
      <c r="AR1009" s="68"/>
      <c r="AS1009" s="68"/>
      <c r="AT1009" s="68"/>
      <c r="AU1009" s="68"/>
      <c r="AV1009" s="68"/>
      <c r="AW1009" s="68"/>
      <c r="AX1009" s="68"/>
      <c r="AY1009" s="68"/>
    </row>
    <row r="1010" spans="1:51" ht="12.95" customHeight="1">
      <c r="A1010" s="14"/>
      <c r="B1010" s="79"/>
      <c r="C1010" s="131" t="s">
        <v>1945</v>
      </c>
      <c r="D1010" s="1462" t="s">
        <v>2129</v>
      </c>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79"/>
      <c r="AG1010" s="1557" t="str">
        <f>IF(X1013&gt;0,"Yes","No")</f>
        <v>Yes</v>
      </c>
      <c r="AH1010" s="1558"/>
      <c r="AI1010" s="87"/>
      <c r="AJ1010" s="1485">
        <f>IF((X1013=0),0,BA975*AJ961)</f>
        <v>15419352.720000001</v>
      </c>
      <c r="AK1010" s="1486"/>
      <c r="AL1010" s="1486"/>
      <c r="AM1010" s="1486"/>
      <c r="AN1010" s="1486"/>
      <c r="AO1010" s="1486"/>
      <c r="AP1010" s="1486"/>
      <c r="AQ1010" s="1487"/>
      <c r="AR1010" s="68"/>
      <c r="AS1010" s="68"/>
      <c r="AT1010" s="68"/>
      <c r="AU1010" s="68"/>
      <c r="AV1010" s="68"/>
      <c r="AW1010" s="68"/>
      <c r="AX1010" s="68"/>
      <c r="AY1010" s="68"/>
    </row>
    <row r="1011" spans="1:51" ht="12.95" customHeight="1">
      <c r="A1011" s="14"/>
      <c r="B1011" s="73"/>
      <c r="C1011" s="477"/>
      <c r="D1011" s="1440" t="s">
        <v>1465</v>
      </c>
      <c r="E1011" s="1441"/>
      <c r="F1011" s="1441"/>
      <c r="G1011" s="1441"/>
      <c r="H1011" s="1441"/>
      <c r="I1011" s="1441"/>
      <c r="J1011" s="1441"/>
      <c r="K1011" s="1441"/>
      <c r="L1011" s="1441"/>
      <c r="M1011" s="1441"/>
      <c r="N1011" s="1441"/>
      <c r="O1011" s="1441"/>
      <c r="P1011" s="1441"/>
      <c r="Q1011" s="1441"/>
      <c r="R1011" s="1441"/>
      <c r="S1011" s="1441"/>
      <c r="T1011" s="1441"/>
      <c r="U1011" s="1441"/>
      <c r="V1011" s="1441"/>
      <c r="W1011" s="1441"/>
      <c r="X1011" s="1441"/>
      <c r="Y1011" s="1441"/>
      <c r="Z1011" s="1441"/>
      <c r="AA1011" s="1441"/>
      <c r="AB1011" s="1441"/>
      <c r="AC1011" s="1441"/>
      <c r="AD1011" s="1441"/>
      <c r="AE1011" s="1442"/>
      <c r="AF1011" s="73"/>
      <c r="AG1011" s="478"/>
      <c r="AH1011" s="478"/>
      <c r="AI1011" s="83"/>
      <c r="AJ1011" s="1488"/>
      <c r="AK1011" s="1489"/>
      <c r="AL1011" s="1489"/>
      <c r="AM1011" s="1489"/>
      <c r="AN1011" s="1489"/>
      <c r="AO1011" s="1489"/>
      <c r="AP1011" s="1489"/>
      <c r="AQ1011" s="1490"/>
      <c r="AR1011" s="68"/>
      <c r="AS1011" s="68"/>
      <c r="AT1011" s="68"/>
      <c r="AU1011" s="68"/>
      <c r="AV1011" s="68"/>
      <c r="AW1011" s="68"/>
      <c r="AX1011" s="68"/>
      <c r="AY1011" s="68"/>
    </row>
    <row r="1012" spans="1:51" ht="12.95" customHeight="1">
      <c r="A1012" s="14"/>
      <c r="B1012" s="73"/>
      <c r="C1012" s="477"/>
      <c r="D1012" s="1440"/>
      <c r="E1012" s="1441"/>
      <c r="F1012" s="1441"/>
      <c r="G1012" s="1441"/>
      <c r="H1012" s="1441"/>
      <c r="I1012" s="1441"/>
      <c r="J1012" s="1441"/>
      <c r="K1012" s="1441"/>
      <c r="L1012" s="1441"/>
      <c r="M1012" s="1441"/>
      <c r="N1012" s="1441"/>
      <c r="O1012" s="1441"/>
      <c r="P1012" s="1441"/>
      <c r="Q1012" s="1441"/>
      <c r="R1012" s="1441"/>
      <c r="S1012" s="1441"/>
      <c r="T1012" s="1441"/>
      <c r="U1012" s="1441"/>
      <c r="V1012" s="1441"/>
      <c r="W1012" s="1441"/>
      <c r="X1012" s="1441"/>
      <c r="Y1012" s="1441"/>
      <c r="Z1012" s="1441"/>
      <c r="AA1012" s="1441"/>
      <c r="AB1012" s="1441"/>
      <c r="AC1012" s="1441"/>
      <c r="AD1012" s="1441"/>
      <c r="AE1012" s="1442"/>
      <c r="AF1012" s="73"/>
      <c r="AG1012" s="478"/>
      <c r="AH1012" s="478"/>
      <c r="AI1012" s="83"/>
      <c r="AJ1012" s="1488"/>
      <c r="AK1012" s="1489"/>
      <c r="AL1012" s="1489"/>
      <c r="AM1012" s="1489"/>
      <c r="AN1012" s="1489"/>
      <c r="AO1012" s="1489"/>
      <c r="AP1012" s="1489"/>
      <c r="AQ1012" s="1490"/>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5">
        <f>BA973</f>
        <v>164</v>
      </c>
      <c r="J1013" s="1556"/>
      <c r="K1013" s="7"/>
      <c r="L1013" s="133"/>
      <c r="M1013" s="133"/>
      <c r="N1013" s="133"/>
      <c r="O1013" s="133"/>
      <c r="P1013" s="133"/>
      <c r="Q1013" s="133"/>
      <c r="R1013" s="133"/>
      <c r="S1013" s="133"/>
      <c r="T1013" s="133"/>
      <c r="U1013" s="133"/>
      <c r="V1013" s="134" t="s">
        <v>1014</v>
      </c>
      <c r="W1013" s="48"/>
      <c r="X1013" s="1553">
        <f>BG621</f>
        <v>32</v>
      </c>
      <c r="Y1013" s="1554"/>
      <c r="Z1013" s="48"/>
      <c r="AA1013" s="48"/>
      <c r="AB1013" s="48"/>
      <c r="AC1013" s="48"/>
      <c r="AD1013" s="48"/>
      <c r="AE1013" s="49"/>
      <c r="AF1013" s="961"/>
      <c r="AG1013" s="962"/>
      <c r="AH1013" s="962"/>
      <c r="AI1013" s="963"/>
      <c r="AJ1013" s="1491"/>
      <c r="AK1013" s="1492"/>
      <c r="AL1013" s="1492"/>
      <c r="AM1013" s="1492"/>
      <c r="AN1013" s="1492"/>
      <c r="AO1013" s="1492"/>
      <c r="AP1013" s="1492"/>
      <c r="AQ1013" s="1493"/>
      <c r="AR1013" s="68"/>
      <c r="AS1013" s="68"/>
      <c r="AT1013" s="68"/>
      <c r="AU1013" s="68"/>
      <c r="AV1013" s="68"/>
      <c r="AW1013" s="68"/>
      <c r="AX1013" s="68"/>
      <c r="AY1013" s="68"/>
    </row>
    <row r="1014" spans="1:51" ht="12.95" customHeight="1">
      <c r="A1014" s="14"/>
      <c r="B1014" s="79"/>
      <c r="C1014" s="131" t="s">
        <v>1946</v>
      </c>
      <c r="D1014" s="1452" t="s">
        <v>2130</v>
      </c>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73"/>
      <c r="AG1014" s="1557" t="str">
        <f>IF(X1017&gt;0,"Yes","No")</f>
        <v>Yes</v>
      </c>
      <c r="AH1014" s="1558"/>
      <c r="AI1014" s="83"/>
      <c r="AJ1014" s="1485">
        <f>IF((X1017=0),0,(2*BA976)*AJ961)</f>
        <v>16230897.600000001</v>
      </c>
      <c r="AK1014" s="1486"/>
      <c r="AL1014" s="1486"/>
      <c r="AM1014" s="1486"/>
      <c r="AN1014" s="1486"/>
      <c r="AO1014" s="1486"/>
      <c r="AP1014" s="1486"/>
      <c r="AQ1014" s="1487"/>
      <c r="AR1014" s="68"/>
      <c r="AS1014" s="68"/>
      <c r="AT1014" s="68"/>
      <c r="AU1014" s="68"/>
      <c r="AV1014" s="68"/>
      <c r="AW1014" s="68"/>
      <c r="AX1014" s="68"/>
      <c r="AY1014" s="68"/>
    </row>
    <row r="1015" spans="1:51" ht="12.95" customHeight="1">
      <c r="A1015" s="14"/>
      <c r="B1015" s="73"/>
      <c r="C1015" s="477"/>
      <c r="D1015" s="1440" t="s">
        <v>1464</v>
      </c>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73"/>
      <c r="AG1015" s="478"/>
      <c r="AH1015" s="478"/>
      <c r="AI1015" s="83"/>
      <c r="AJ1015" s="1488"/>
      <c r="AK1015" s="1489"/>
      <c r="AL1015" s="1489"/>
      <c r="AM1015" s="1489"/>
      <c r="AN1015" s="1489"/>
      <c r="AO1015" s="1489"/>
      <c r="AP1015" s="1489"/>
      <c r="AQ1015" s="1490"/>
      <c r="AR1015" s="68"/>
      <c r="AS1015" s="68"/>
      <c r="AT1015" s="68"/>
      <c r="AU1015" s="68"/>
      <c r="AV1015" s="68"/>
      <c r="AW1015" s="68"/>
      <c r="AX1015" s="68"/>
      <c r="AY1015" s="68"/>
    </row>
    <row r="1016" spans="1:51" ht="12.95" customHeight="1">
      <c r="A1016" s="14"/>
      <c r="B1016" s="73"/>
      <c r="C1016" s="83"/>
      <c r="D1016" s="1440"/>
      <c r="E1016" s="1441"/>
      <c r="F1016" s="1441"/>
      <c r="G1016" s="1441"/>
      <c r="H1016" s="1441"/>
      <c r="I1016" s="1441"/>
      <c r="J1016" s="1441"/>
      <c r="K1016" s="1441"/>
      <c r="L1016" s="1441"/>
      <c r="M1016" s="1441"/>
      <c r="N1016" s="1441"/>
      <c r="O1016" s="1441"/>
      <c r="P1016" s="1441"/>
      <c r="Q1016" s="1441"/>
      <c r="R1016" s="1441"/>
      <c r="S1016" s="1441"/>
      <c r="T1016" s="1441"/>
      <c r="U1016" s="1441"/>
      <c r="V1016" s="1441"/>
      <c r="W1016" s="1441"/>
      <c r="X1016" s="1441"/>
      <c r="Y1016" s="1441"/>
      <c r="Z1016" s="1441"/>
      <c r="AA1016" s="1441"/>
      <c r="AB1016" s="1441"/>
      <c r="AC1016" s="1441"/>
      <c r="AD1016" s="1441"/>
      <c r="AE1016" s="1442"/>
      <c r="AF1016" s="958"/>
      <c r="AG1016" s="959"/>
      <c r="AH1016" s="959"/>
      <c r="AI1016" s="960"/>
      <c r="AJ1016" s="1488"/>
      <c r="AK1016" s="1489"/>
      <c r="AL1016" s="1489"/>
      <c r="AM1016" s="1489"/>
      <c r="AN1016" s="1489"/>
      <c r="AO1016" s="1489"/>
      <c r="AP1016" s="1489"/>
      <c r="AQ1016" s="1490"/>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5">
        <f>BA973</f>
        <v>164</v>
      </c>
      <c r="J1017" s="1556"/>
      <c r="K1017" s="14"/>
      <c r="L1017" s="133"/>
      <c r="M1017" s="133"/>
      <c r="N1017" s="133"/>
      <c r="O1017" s="133"/>
      <c r="P1017" s="133"/>
      <c r="Q1017" s="133"/>
      <c r="R1017" s="133"/>
      <c r="S1017" s="133"/>
      <c r="T1017" s="133"/>
      <c r="U1017" s="133"/>
      <c r="V1017" s="134" t="s">
        <v>1015</v>
      </c>
      <c r="X1017" s="1553">
        <f>BK621</f>
        <v>17</v>
      </c>
      <c r="Y1017" s="1554"/>
      <c r="AF1017" s="961"/>
      <c r="AG1017" s="962"/>
      <c r="AH1017" s="962"/>
      <c r="AI1017" s="963"/>
      <c r="AJ1017" s="1491"/>
      <c r="AK1017" s="1492"/>
      <c r="AL1017" s="1492"/>
      <c r="AM1017" s="1492"/>
      <c r="AN1017" s="1492"/>
      <c r="AO1017" s="1492"/>
      <c r="AP1017" s="1492"/>
      <c r="AQ1017" s="1493"/>
      <c r="AR1017" s="68"/>
      <c r="AS1017" s="68"/>
      <c r="AT1017" s="68"/>
      <c r="AU1017" s="68"/>
      <c r="AV1017" s="68"/>
      <c r="AW1017" s="68"/>
      <c r="AX1017" s="68"/>
      <c r="AY1017" s="68"/>
    </row>
    <row r="1018" spans="1:51" ht="12.95" customHeight="1">
      <c r="A1018" s="14"/>
      <c r="B1018" s="102"/>
      <c r="C1018" s="103"/>
      <c r="D1018" s="1551" t="s">
        <v>523</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124780239.31999999</v>
      </c>
      <c r="AK1018" s="1562"/>
      <c r="AL1018" s="1562"/>
      <c r="AM1018" s="1562"/>
      <c r="AN1018" s="1562"/>
      <c r="AO1018" s="1562"/>
      <c r="AP1018" s="1562"/>
      <c r="AQ1018" s="156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68"/>
      <c r="AM1025" s="68"/>
      <c r="AN1025" s="68"/>
      <c r="AO1025" s="68"/>
      <c r="AP1025" s="68"/>
      <c r="AQ1025" s="68"/>
      <c r="AR1025" s="68"/>
      <c r="AS1025" s="68"/>
      <c r="AT1025" s="68"/>
      <c r="AU1025" s="68"/>
      <c r="AV1025" s="68"/>
      <c r="AW1025" s="68"/>
      <c r="AX1025" s="68"/>
      <c r="AY1025" s="68"/>
    </row>
    <row r="1026" spans="1:51" ht="12.95" customHeight="1" thickBot="1">
      <c r="A1026" s="1687" t="s">
        <v>819</v>
      </c>
      <c r="B1026" s="1687"/>
      <c r="C1026" s="1687"/>
      <c r="D1026" s="1687"/>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7"/>
      <c r="AF1026" s="1687"/>
      <c r="AG1026" s="1687"/>
      <c r="AH1026" s="1687"/>
      <c r="AI1026" s="1687"/>
      <c r="AJ1026" s="1687"/>
      <c r="AK1026" s="1687"/>
      <c r="AL1026" s="168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9" t="s">
        <v>601</v>
      </c>
      <c r="B1030" s="1359"/>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9" t="s">
        <v>601</v>
      </c>
      <c r="B1036" s="1359"/>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9" t="s">
        <v>601</v>
      </c>
      <c r="B1042" s="1359"/>
      <c r="C1042" s="8">
        <v>3</v>
      </c>
      <c r="D1042" s="1263" t="s">
        <v>2563</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9" t="s">
        <v>601</v>
      </c>
      <c r="B1049" s="1359"/>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9" t="s">
        <v>601</v>
      </c>
      <c r="B1052" s="1359"/>
      <c r="C1052" s="8">
        <v>5</v>
      </c>
      <c r="D1052" s="1263" t="s">
        <v>2564</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9" t="s">
        <v>601</v>
      </c>
      <c r="B1057" s="1359"/>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9" t="s">
        <v>601</v>
      </c>
      <c r="B1060" s="1359"/>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9" t="s">
        <v>601</v>
      </c>
      <c r="B1064" s="1359"/>
      <c r="C1064" s="212">
        <v>8</v>
      </c>
      <c r="D1064" s="1323" t="s">
        <v>1943</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9" t="s">
        <v>601</v>
      </c>
      <c r="B1068" s="1359"/>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D466:V466"/>
    <mergeCell ref="AC529:AF529"/>
    <mergeCell ref="AM553:AS553"/>
    <mergeCell ref="AE553:AH553"/>
    <mergeCell ref="AC503:AF503"/>
    <mergeCell ref="W466:Y466"/>
    <mergeCell ref="AH540:AK540"/>
    <mergeCell ref="AC540:AF540"/>
    <mergeCell ref="Q551:S551"/>
    <mergeCell ref="AM550:AS550"/>
    <mergeCell ref="W550:Y550"/>
    <mergeCell ref="W551:Y551"/>
    <mergeCell ref="T551:V551"/>
    <mergeCell ref="W555:Y555"/>
    <mergeCell ref="AH536:AK53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C513:AF513"/>
    <mergeCell ref="AC512:AF512"/>
    <mergeCell ref="AH504:AK504"/>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B501:H506"/>
    <mergeCell ref="AC506:AF506"/>
    <mergeCell ref="AH514:AK514"/>
    <mergeCell ref="Q489:AK489"/>
    <mergeCell ref="K403:AJ403"/>
    <mergeCell ref="AG446:AJ446"/>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AC455:AF455"/>
    <mergeCell ref="D443:AF443"/>
    <mergeCell ref="H291:M291"/>
    <mergeCell ref="AA339:AF339"/>
    <mergeCell ref="H308:R308"/>
    <mergeCell ref="AA308:AK308"/>
    <mergeCell ref="AA326:AK326"/>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1:AL551"/>
    <mergeCell ref="T555:V555"/>
    <mergeCell ref="Z583:AK583"/>
    <mergeCell ref="G566:R566"/>
    <mergeCell ref="Z557:AD557"/>
    <mergeCell ref="M558:P558"/>
    <mergeCell ref="C559:L559"/>
    <mergeCell ref="M561:P561"/>
    <mergeCell ref="G568:L568"/>
    <mergeCell ref="G590:R590"/>
    <mergeCell ref="AI552:AL552"/>
    <mergeCell ref="X721:AB721"/>
    <mergeCell ref="M556:P556"/>
    <mergeCell ref="B635:AN635"/>
    <mergeCell ref="B636:AN636"/>
    <mergeCell ref="B637:AN637"/>
    <mergeCell ref="AC626:AE626"/>
    <mergeCell ref="AC627:AE627"/>
    <mergeCell ref="AC628:AE628"/>
    <mergeCell ref="Z642:AK642"/>
    <mergeCell ref="G642:R642"/>
    <mergeCell ref="A613:AS614"/>
    <mergeCell ref="AF620:AJ622"/>
    <mergeCell ref="T719:W719"/>
    <mergeCell ref="B719:F719"/>
    <mergeCell ref="T718:W718"/>
    <mergeCell ref="B721:F721"/>
    <mergeCell ref="Z589:AK589"/>
    <mergeCell ref="AG579:AH579"/>
    <mergeCell ref="Z582:AK582"/>
    <mergeCell ref="Z553:AD553"/>
    <mergeCell ref="AI557:AL557"/>
    <mergeCell ref="AI558:AL558"/>
    <mergeCell ref="W553:Y553"/>
    <mergeCell ref="X724:AB724"/>
    <mergeCell ref="T768:W771"/>
    <mergeCell ref="X758:AB758"/>
    <mergeCell ref="Z554:AD554"/>
    <mergeCell ref="P577:R577"/>
    <mergeCell ref="AI568:AK568"/>
    <mergeCell ref="T730:W730"/>
    <mergeCell ref="Z555:AD555"/>
    <mergeCell ref="Z556:AD556"/>
    <mergeCell ref="G600:R600"/>
    <mergeCell ref="AA578:AK578"/>
    <mergeCell ref="AA586:AK586"/>
    <mergeCell ref="Q556:S556"/>
    <mergeCell ref="BX614:CB614"/>
    <mergeCell ref="BK609:BL609"/>
    <mergeCell ref="BX607:CB607"/>
    <mergeCell ref="AA602:AK602"/>
    <mergeCell ref="Z599:AK599"/>
    <mergeCell ref="AI601:AK601"/>
    <mergeCell ref="G732:J732"/>
    <mergeCell ref="X734:AB734"/>
    <mergeCell ref="X735:AB735"/>
    <mergeCell ref="X725:AB725"/>
    <mergeCell ref="C748:AR750"/>
    <mergeCell ref="C751:AR753"/>
    <mergeCell ref="B740:AH741"/>
    <mergeCell ref="AK735:AO735"/>
    <mergeCell ref="BS609:BW609"/>
    <mergeCell ref="BN597:BR597"/>
    <mergeCell ref="BN626:BR626"/>
    <mergeCell ref="Q561:S561"/>
    <mergeCell ref="BS620:BW620"/>
    <mergeCell ref="X777:AB777"/>
    <mergeCell ref="X778:AB778"/>
    <mergeCell ref="K736:N736"/>
    <mergeCell ref="X728:AB728"/>
    <mergeCell ref="K730:N730"/>
    <mergeCell ref="K731:N731"/>
    <mergeCell ref="K732:N732"/>
    <mergeCell ref="K733:N733"/>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G595:BH595"/>
    <mergeCell ref="BG598:BH598"/>
    <mergeCell ref="Z600:AK600"/>
    <mergeCell ref="BK606:BL606"/>
    <mergeCell ref="BK596:BL596"/>
    <mergeCell ref="J760:N760"/>
    <mergeCell ref="AC759:AG759"/>
    <mergeCell ref="AC760:AG760"/>
    <mergeCell ref="AC768:AG771"/>
    <mergeCell ref="AC720:AG7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BE620:BF620"/>
    <mergeCell ref="BS615:BW615"/>
    <mergeCell ref="CC608:CG608"/>
    <mergeCell ref="BX610:CB610"/>
    <mergeCell ref="BX613:CB613"/>
    <mergeCell ref="BS612:BW612"/>
    <mergeCell ref="BI610:BJ610"/>
    <mergeCell ref="BX611:CB611"/>
    <mergeCell ref="BG610:BH610"/>
    <mergeCell ref="CC615:CG615"/>
    <mergeCell ref="BX617:CB617"/>
    <mergeCell ref="CC617:CG617"/>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G603:BH603"/>
    <mergeCell ref="BK602:BL602"/>
    <mergeCell ref="CC597:CG597"/>
    <mergeCell ref="BX606:CB606"/>
    <mergeCell ref="BS597:BW597"/>
    <mergeCell ref="BS598:BW598"/>
    <mergeCell ref="BG617:BH617"/>
    <mergeCell ref="CH596:CL596"/>
    <mergeCell ref="BX597:CB597"/>
    <mergeCell ref="BS595:BW595"/>
    <mergeCell ref="BK603:BL603"/>
    <mergeCell ref="BX596:CB596"/>
    <mergeCell ref="CH595:CL595"/>
    <mergeCell ref="CH600:CL600"/>
    <mergeCell ref="BS602:BW602"/>
    <mergeCell ref="BN603:BR603"/>
    <mergeCell ref="BN608:BR608"/>
    <mergeCell ref="BN609:BR609"/>
    <mergeCell ref="BK600:BL600"/>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Q559:S559"/>
    <mergeCell ref="T557:V557"/>
    <mergeCell ref="T558:V558"/>
    <mergeCell ref="BN606:BR606"/>
    <mergeCell ref="BS606:BW606"/>
    <mergeCell ref="CC600:CG600"/>
    <mergeCell ref="CC601:CG601"/>
    <mergeCell ref="BS603:BW603"/>
    <mergeCell ref="CC604:CG604"/>
    <mergeCell ref="BS601:BW601"/>
    <mergeCell ref="BX601:CB601"/>
    <mergeCell ref="CC596:CG596"/>
    <mergeCell ref="BE600:BF600"/>
    <mergeCell ref="BE597:BF597"/>
    <mergeCell ref="CC605:CG605"/>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BS596:BW596"/>
    <mergeCell ref="AE557:AH557"/>
    <mergeCell ref="AM558:AS558"/>
    <mergeCell ref="C556:L556"/>
    <mergeCell ref="N371:Q371"/>
    <mergeCell ref="I391:N391"/>
    <mergeCell ref="AH533:AK533"/>
    <mergeCell ref="Z574:AK574"/>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Q558:S558"/>
    <mergeCell ref="M553:P553"/>
    <mergeCell ref="AE558:AH558"/>
    <mergeCell ref="N595:O595"/>
    <mergeCell ref="AE550:AH550"/>
    <mergeCell ref="Z552:AD552"/>
    <mergeCell ref="Z584:AK584"/>
    <mergeCell ref="G597:R597"/>
    <mergeCell ref="AA594:AK594"/>
    <mergeCell ref="G567:R567"/>
    <mergeCell ref="G581:R581"/>
    <mergeCell ref="AG571:AH571"/>
    <mergeCell ref="Z564:AK564"/>
    <mergeCell ref="Z566:AK566"/>
    <mergeCell ref="AM554:AS554"/>
    <mergeCell ref="AM562:AS562"/>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T554:V554"/>
    <mergeCell ref="W557:Y557"/>
    <mergeCell ref="W558:Y558"/>
    <mergeCell ref="W559:Y559"/>
    <mergeCell ref="W560:Y560"/>
    <mergeCell ref="T556:V556"/>
    <mergeCell ref="AE401:AJ401"/>
    <mergeCell ref="AH532:AK532"/>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W260:X260"/>
    <mergeCell ref="U262:W262"/>
    <mergeCell ref="M256:T256"/>
    <mergeCell ref="H337:R337"/>
    <mergeCell ref="H296:R296"/>
    <mergeCell ref="AA297:AK297"/>
    <mergeCell ref="H316:R316"/>
    <mergeCell ref="L275:S275"/>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64:AK264"/>
    <mergeCell ref="H294:R294"/>
    <mergeCell ref="H303:R303"/>
    <mergeCell ref="H302:R302"/>
    <mergeCell ref="AA307:AF307"/>
    <mergeCell ref="AA304:AK304"/>
    <mergeCell ref="H287:R287"/>
    <mergeCell ref="AA289:AK289"/>
    <mergeCell ref="AA334:AK334"/>
    <mergeCell ref="AI298:AK29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H286:R286"/>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AI226:AJ226"/>
    <mergeCell ref="U175:V175"/>
    <mergeCell ref="AI306:AK306"/>
    <mergeCell ref="L278:AD278"/>
    <mergeCell ref="H313:R313"/>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AA338:AF338"/>
    <mergeCell ref="AA296:AK296"/>
    <mergeCell ref="AI314:AK314"/>
    <mergeCell ref="AA303:AK303"/>
    <mergeCell ref="AA311:AK311"/>
    <mergeCell ref="AA287:AK287"/>
    <mergeCell ref="H306:M306"/>
    <mergeCell ref="AC346:AE346"/>
    <mergeCell ref="Q390:U390"/>
    <mergeCell ref="AD376:AE376"/>
    <mergeCell ref="Q560:S560"/>
    <mergeCell ref="AC536:AF536"/>
    <mergeCell ref="M557:P557"/>
    <mergeCell ref="AC538:AF538"/>
    <mergeCell ref="P423:Q423"/>
    <mergeCell ref="Q490:AK490"/>
    <mergeCell ref="AF417:AH417"/>
    <mergeCell ref="Z433:AA433"/>
    <mergeCell ref="AD411:AE411"/>
    <mergeCell ref="D467:V467"/>
    <mergeCell ref="S404:AJ404"/>
    <mergeCell ref="G564:R564"/>
    <mergeCell ref="M570:R570"/>
    <mergeCell ref="Q552:S552"/>
    <mergeCell ref="E367:AH368"/>
    <mergeCell ref="T561:V561"/>
    <mergeCell ref="J384:U384"/>
    <mergeCell ref="V380:W380"/>
    <mergeCell ref="Q557:S557"/>
    <mergeCell ref="W556:Y556"/>
    <mergeCell ref="N369:Q369"/>
    <mergeCell ref="M559:P559"/>
    <mergeCell ref="T559:V559"/>
    <mergeCell ref="Z560:AD560"/>
    <mergeCell ref="Z561:AD561"/>
    <mergeCell ref="Z568:AE568"/>
    <mergeCell ref="AC370:AF370"/>
    <mergeCell ref="C554:L554"/>
    <mergeCell ref="M554:P554"/>
    <mergeCell ref="B720:F720"/>
    <mergeCell ref="B724:F724"/>
    <mergeCell ref="O719:S719"/>
    <mergeCell ref="G720:J720"/>
    <mergeCell ref="B723:F723"/>
    <mergeCell ref="X719:AB719"/>
    <mergeCell ref="O718:S718"/>
    <mergeCell ref="X718:AB718"/>
    <mergeCell ref="G719:J719"/>
    <mergeCell ref="O721:S721"/>
    <mergeCell ref="O722:S722"/>
    <mergeCell ref="AH261:AK261"/>
    <mergeCell ref="M262:R262"/>
    <mergeCell ref="M264:T264"/>
    <mergeCell ref="AA313:AK313"/>
    <mergeCell ref="AI338:AK338"/>
    <mergeCell ref="H339:M339"/>
    <mergeCell ref="AA312:AK312"/>
    <mergeCell ref="W467:Y467"/>
    <mergeCell ref="AF429:AG429"/>
    <mergeCell ref="L277:Q277"/>
    <mergeCell ref="AA295:AK295"/>
    <mergeCell ref="AA288:AK288"/>
    <mergeCell ref="P322:R322"/>
    <mergeCell ref="AA314:AF314"/>
    <mergeCell ref="H297:R297"/>
    <mergeCell ref="H311:R311"/>
    <mergeCell ref="Q389:U389"/>
    <mergeCell ref="Q364:AG364"/>
    <mergeCell ref="P417:R417"/>
    <mergeCell ref="S391:U391"/>
    <mergeCell ref="M356:N356"/>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X717:AB717"/>
    <mergeCell ref="X723:AB723"/>
    <mergeCell ref="K718:N718"/>
    <mergeCell ref="K719:N719"/>
    <mergeCell ref="Z792:AE792"/>
    <mergeCell ref="X779:AB779"/>
    <mergeCell ref="T781:W781"/>
    <mergeCell ref="X759:AB759"/>
    <mergeCell ref="J776:N776"/>
    <mergeCell ref="X775:AB775"/>
    <mergeCell ref="X776:AB776"/>
    <mergeCell ref="O759:S759"/>
    <mergeCell ref="W629:Y629"/>
    <mergeCell ref="W630:Y630"/>
    <mergeCell ref="AK625:AN625"/>
    <mergeCell ref="AO634:AS634"/>
    <mergeCell ref="AO629:AS629"/>
    <mergeCell ref="AO624:AS624"/>
    <mergeCell ref="AO627:AS627"/>
    <mergeCell ref="C560:L560"/>
    <mergeCell ref="M560:P560"/>
    <mergeCell ref="C561:L561"/>
    <mergeCell ref="Q631:S631"/>
    <mergeCell ref="C631:L631"/>
    <mergeCell ref="Q632:S632"/>
    <mergeCell ref="Q633:S633"/>
    <mergeCell ref="Q634:S634"/>
    <mergeCell ref="Z630:AB630"/>
    <mergeCell ref="Z631:AB631"/>
    <mergeCell ref="W624:Y624"/>
    <mergeCell ref="W625:Y625"/>
    <mergeCell ref="C632:L632"/>
    <mergeCell ref="C633:L633"/>
    <mergeCell ref="C634:L634"/>
    <mergeCell ref="T623:V623"/>
    <mergeCell ref="T631:V631"/>
    <mergeCell ref="T632:V632"/>
    <mergeCell ref="T633:V633"/>
    <mergeCell ref="T634:V634"/>
    <mergeCell ref="Q620:S622"/>
    <mergeCell ref="Q623:S623"/>
    <mergeCell ref="Q624:S624"/>
    <mergeCell ref="Z575:AK575"/>
    <mergeCell ref="AG587:AH587"/>
    <mergeCell ref="O781:S781"/>
    <mergeCell ref="X754:AB757"/>
    <mergeCell ref="T754:W757"/>
    <mergeCell ref="AC778:AG778"/>
    <mergeCell ref="X760:AB760"/>
    <mergeCell ref="X761:AB761"/>
    <mergeCell ref="AC723:AG723"/>
    <mergeCell ref="AC724:AG724"/>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T778:W778"/>
    <mergeCell ref="K723:N723"/>
    <mergeCell ref="G723:J723"/>
    <mergeCell ref="T725:W725"/>
    <mergeCell ref="AD744:AF744"/>
    <mergeCell ref="T776:W776"/>
    <mergeCell ref="T772:W772"/>
    <mergeCell ref="T773:W773"/>
    <mergeCell ref="O774:S774"/>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55:AC855"/>
    <mergeCell ref="M815:P815"/>
    <mergeCell ref="Q815:T815"/>
    <mergeCell ref="AC815:AF815"/>
    <mergeCell ref="Y813:AB813"/>
    <mergeCell ref="AC813:AF813"/>
    <mergeCell ref="Q814:T814"/>
    <mergeCell ref="Z791:AE791"/>
    <mergeCell ref="AG815:AJ815"/>
    <mergeCell ref="AC876:AH876"/>
    <mergeCell ref="Z799:AE799"/>
    <mergeCell ref="O779:S779"/>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19:AG719"/>
    <mergeCell ref="AH717:AJ717"/>
    <mergeCell ref="T714:W714"/>
    <mergeCell ref="AH725:AJ725"/>
    <mergeCell ref="T723:W723"/>
    <mergeCell ref="AH723:AJ723"/>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K619:BL619"/>
    <mergeCell ref="BX612:CB612"/>
    <mergeCell ref="CC612:CG612"/>
    <mergeCell ref="BG613:BH613"/>
    <mergeCell ref="BG612:BH612"/>
    <mergeCell ref="BK614:BL614"/>
    <mergeCell ref="CC613:CG613"/>
    <mergeCell ref="BN614:BR614"/>
    <mergeCell ref="BK615:BL615"/>
    <mergeCell ref="CH611:CL611"/>
    <mergeCell ref="CH612:CL612"/>
    <mergeCell ref="BI619:BJ619"/>
    <mergeCell ref="BX618:CB618"/>
    <mergeCell ref="BN618:BR618"/>
    <mergeCell ref="BS618:BW618"/>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CH597:CL597"/>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B725:F725"/>
    <mergeCell ref="AH724:AJ724"/>
    <mergeCell ref="B718:F718"/>
    <mergeCell ref="T710:W713"/>
    <mergeCell ref="O715:S715"/>
    <mergeCell ref="X720:AB720"/>
    <mergeCell ref="AH718:AJ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B620:L622"/>
    <mergeCell ref="C623:L623"/>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C814:H814"/>
    <mergeCell ref="X762:AB762"/>
    <mergeCell ref="Z793:AE793"/>
    <mergeCell ref="AG811:AJ811"/>
    <mergeCell ref="M810:P810"/>
    <mergeCell ref="O782:S782"/>
    <mergeCell ref="AC754:AG757"/>
    <mergeCell ref="T779:W779"/>
    <mergeCell ref="T777:W777"/>
    <mergeCell ref="O762:S762"/>
    <mergeCell ref="X773:AB773"/>
    <mergeCell ref="X774:AB774"/>
    <mergeCell ref="J781:N781"/>
    <mergeCell ref="J762:N762"/>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T627:V627"/>
    <mergeCell ref="T628:V628"/>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T629:V629"/>
    <mergeCell ref="T630:V630"/>
    <mergeCell ref="AF630:AJ630"/>
    <mergeCell ref="W620:Y622"/>
    <mergeCell ref="T620:V622"/>
    <mergeCell ref="G607:R607"/>
    <mergeCell ref="AG603:AH603"/>
    <mergeCell ref="H602:R602"/>
    <mergeCell ref="AF623:AJ623"/>
    <mergeCell ref="Z585:AE585"/>
    <mergeCell ref="Z593:AE593"/>
    <mergeCell ref="G601:L601"/>
    <mergeCell ref="G598:R598"/>
    <mergeCell ref="P601:R601"/>
    <mergeCell ref="P609:R609"/>
    <mergeCell ref="G573:R573"/>
    <mergeCell ref="N611:O611"/>
    <mergeCell ref="Q625:S625"/>
    <mergeCell ref="Q626:S626"/>
    <mergeCell ref="Q627:S627"/>
    <mergeCell ref="Q628:S628"/>
    <mergeCell ref="Q629:S629"/>
    <mergeCell ref="Q630:S630"/>
    <mergeCell ref="AI577:AK577"/>
    <mergeCell ref="W626:Y626"/>
    <mergeCell ref="W627:Y627"/>
    <mergeCell ref="Z577:AE577"/>
    <mergeCell ref="Z620:AB622"/>
    <mergeCell ref="Z623:AB623"/>
    <mergeCell ref="T624:V624"/>
    <mergeCell ref="T625:V625"/>
    <mergeCell ref="T626:V626"/>
  </mergeCells>
  <phoneticPr fontId="0" type="noConversion"/>
  <conditionalFormatting sqref="AF986">
    <cfRule type="cellIs" dxfId="212" priority="41" stopIfTrue="1" operator="equal">
      <formula>"Please Enter Amount:"</formula>
    </cfRule>
  </conditionalFormatting>
  <conditionalFormatting sqref="AJ1010">
    <cfRule type="cellIs" dxfId="211" priority="44" stopIfTrue="1" operator="equal">
      <formula>"#DIV/0!"</formula>
    </cfRule>
  </conditionalFormatting>
  <conditionalFormatting sqref="AG440:AJ440">
    <cfRule type="expression" dxfId="210" priority="45" stopIfTrue="1">
      <formula>"iserror(d31)"</formula>
    </cfRule>
  </conditionalFormatting>
  <conditionalFormatting sqref="AF998">
    <cfRule type="cellIs" dxfId="209" priority="39" stopIfTrue="1" operator="equal">
      <formula>"Please Enter Amount:"</formula>
    </cfRule>
  </conditionalFormatting>
  <conditionalFormatting sqref="AF991">
    <cfRule type="cellIs" dxfId="208" priority="38" stopIfTrue="1" operator="equal">
      <formula>"Please Enter Amount:"</formula>
    </cfRule>
  </conditionalFormatting>
  <conditionalFormatting sqref="D211:X211">
    <cfRule type="expression" dxfId="207" priority="37">
      <formula>NOT($D$210="Special Needs")</formula>
    </cfRule>
  </conditionalFormatting>
  <conditionalFormatting sqref="Y211:AC211">
    <cfRule type="expression" dxfId="206" priority="36">
      <formula>NOT($D$210="Special Needs")</formula>
    </cfRule>
  </conditionalFormatting>
  <conditionalFormatting sqref="D214:U214">
    <cfRule type="expression" dxfId="205" priority="34">
      <formula>NOT(OR($D$213="Seniors",$D$210="Seniors"))</formula>
    </cfRule>
  </conditionalFormatting>
  <conditionalFormatting sqref="AA214:AO214">
    <cfRule type="expression" dxfId="204" priority="35">
      <formula>NOT(OR($D$213="Seniors",$D$210="Seniors"))</formula>
    </cfRule>
  </conditionalFormatting>
  <conditionalFormatting sqref="D212">
    <cfRule type="expression" dxfId="203" priority="33">
      <formula>AND($Y$211&gt;0,$AB$211&lt;75%)</formula>
    </cfRule>
  </conditionalFormatting>
  <conditionalFormatting sqref="D213:Z213">
    <cfRule type="expression" dxfId="202" priority="32">
      <formula>AND($Y$211&gt;0,$AB$211&lt;75%)</formula>
    </cfRule>
  </conditionalFormatting>
  <conditionalFormatting sqref="D215">
    <cfRule type="expression" dxfId="201" priority="30">
      <formula>NOT($D$210="At-Risk")</formula>
    </cfRule>
  </conditionalFormatting>
  <conditionalFormatting sqref="AB215:AM215">
    <cfRule type="expression" dxfId="200" priority="31">
      <formula>NOT($D$210="At-Risk")</formula>
    </cfRule>
  </conditionalFormatting>
  <conditionalFormatting sqref="L506:AB506">
    <cfRule type="expression" dxfId="199" priority="29">
      <formula>AND(NOT(AC506="N/A"),AH506&lt;&gt;"",OR(L506="(specify here)",L506=""))</formula>
    </cfRule>
  </conditionalFormatting>
  <conditionalFormatting sqref="O518:AA518">
    <cfRule type="expression" dxfId="198" priority="28">
      <formula>AND(OR(AND(NOT(AC518="N/A"),AH518&lt;&gt;""),AND(NOT(AC519="N/A"),AH519&lt;&gt;""),AND(NOT(AC520="N/A"),AH520&lt;&gt;"")),OR(O518="(specify here)",O518=""))</formula>
    </cfRule>
  </conditionalFormatting>
  <conditionalFormatting sqref="O521:AA521">
    <cfRule type="expression" dxfId="197" priority="27">
      <formula>AND(OR(AND(NOT(AC521="N/A"),AH521&lt;&gt;""),AND(NOT(AC522="N/A"),AH522&lt;&gt;""),AND(NOT(AC523="N/A"),AH523&lt;&gt;"")),OR(O521="(specify here)",O521=""))</formula>
    </cfRule>
  </conditionalFormatting>
  <conditionalFormatting sqref="O524:AA524">
    <cfRule type="expression" dxfId="196" priority="26">
      <formula>AND(OR(AND(NOT(AC524="N/A"),AH524&lt;&gt;""),AND(NOT(AC525="N/A"),AH525&lt;&gt;""),AND(NOT(AC526="N/A"),AH526&lt;&gt;"")),OR(O524="(specify here)",O524=""))</formula>
    </cfRule>
  </conditionalFormatting>
  <conditionalFormatting sqref="O527:AA527">
    <cfRule type="expression" dxfId="195" priority="25">
      <formula>AND(OR(AND(NOT(AC527="N/A"),AH527&lt;&gt;""),AND(NOT(AC528="N/A"),AH528&lt;&gt;""),AND(NOT(AC529="N/A"),AH529&lt;&gt;"")),OR(O527="(specify here)",O527=""))</formula>
    </cfRule>
  </conditionalFormatting>
  <conditionalFormatting sqref="O530:AA530">
    <cfRule type="expression" dxfId="194" priority="24">
      <formula>AND(OR(AND(NOT(AC530="N/A"),AH530&lt;&gt;""),AND(NOT(AC531="N/A"),AH531&lt;&gt;""),AND(NOT(AC532="N/A"),AH532&lt;&gt;"")),OR(O530="(specify here)",O530=""))</formula>
    </cfRule>
  </conditionalFormatting>
  <conditionalFormatting sqref="O533:AA533">
    <cfRule type="expression" dxfId="193" priority="23">
      <formula>AND(OR(AND(NOT(AC533="N/A"),AH533&lt;&gt;""),AND(NOT(AC534="N/A"),AH534&lt;&gt;""),AND(NOT(AC535="N/A"),AH535&lt;&gt;"")),OR(O533="(specify here)",O533=""))</formula>
    </cfRule>
  </conditionalFormatting>
  <conditionalFormatting sqref="Q551:AS561 C551 AC624:AS634 Q624:Z634 C556:C561">
    <cfRule type="expression" dxfId="192" priority="22">
      <formula>$AT551="!"</formula>
    </cfRule>
  </conditionalFormatting>
  <conditionalFormatting sqref="C624 C627 C629:C634">
    <cfRule type="expression" dxfId="191" priority="21">
      <formula>$AT624="!"</formula>
    </cfRule>
  </conditionalFormatting>
  <conditionalFormatting sqref="E703:AK703">
    <cfRule type="expression" dxfId="190" priority="20">
      <formula>AND($W$702="Other",OR($E$703="(specify here)",$E$703=""))</formula>
    </cfRule>
  </conditionalFormatting>
  <conditionalFormatting sqref="B740:AH741">
    <cfRule type="expression" dxfId="189" priority="19">
      <formula>NOT($D$210="Special Needs")</formula>
    </cfRule>
  </conditionalFormatting>
  <conditionalFormatting sqref="AG742:AJ742">
    <cfRule type="expression" dxfId="188" priority="17">
      <formula>NOT($D$210="Special Needs")</formula>
    </cfRule>
  </conditionalFormatting>
  <conditionalFormatting sqref="U742">
    <cfRule type="expression" dxfId="187" priority="18">
      <formula>NOT($D$210="Special Needs")</formula>
    </cfRule>
  </conditionalFormatting>
  <conditionalFormatting sqref="P800:Y800">
    <cfRule type="expression" dxfId="186" priority="16">
      <formula>AND(Z800&lt;&gt;"",OR(P800="(specify here)",P800=""))</formula>
    </cfRule>
  </conditionalFormatting>
  <conditionalFormatting sqref="F815:L815">
    <cfRule type="expression" dxfId="185" priority="15">
      <formula>AND(OR(M815&lt;&gt;"",$Q$795&lt;&gt;"",$U$795&lt;&gt;"",$Y$795&lt;&gt;"",$AC$795&lt;&gt;"",$AG$795&lt;&gt;"",SUM($M$815:$AJ$815)&gt;0),OR(F815="(specify here)",F815=""))</formula>
    </cfRule>
  </conditionalFormatting>
  <conditionalFormatting sqref="M830:V830">
    <cfRule type="expression" dxfId="184" priority="14">
      <formula>AND(W830&lt;&gt;"",OR(M830="(specify here)",M830=""))</formula>
    </cfRule>
  </conditionalFormatting>
  <conditionalFormatting sqref="M845:V845">
    <cfRule type="expression" dxfId="183" priority="13">
      <formula>AND(W845&lt;&gt;"",OR(M845="(specify here)",M845=""))</formula>
    </cfRule>
  </conditionalFormatting>
  <conditionalFormatting sqref="M855:V855">
    <cfRule type="expression" dxfId="182" priority="12">
      <formula>AND(W855&lt;&gt;"",OR(M855="(specify here)",M855=""))</formula>
    </cfRule>
  </conditionalFormatting>
  <conditionalFormatting sqref="M858:V862">
    <cfRule type="expression" dxfId="181" priority="11">
      <formula>AND(W858&lt;&gt;"",OR(M858="(specify here)",M858=""))</formula>
    </cfRule>
  </conditionalFormatting>
  <conditionalFormatting sqref="C877:AB877">
    <cfRule type="expression" dxfId="180" priority="9">
      <formula>AND(AC877&lt;&gt;"",OR(C877="Other (Specify):",C877=""))</formula>
    </cfRule>
  </conditionalFormatting>
  <conditionalFormatting sqref="C878:AB878">
    <cfRule type="expression" dxfId="179" priority="7">
      <formula>AND(AC878&lt;&gt;"",OR(C878="Other (Specify):",C878=""))</formula>
    </cfRule>
  </conditionalFormatting>
  <conditionalFormatting sqref="W944:AG944">
    <cfRule type="expression" dxfId="178" priority="6">
      <formula>AND($AA$923&lt;&gt;"",OR($W$922="",$W$922="(specify here)"))</formula>
    </cfRule>
  </conditionalFormatting>
  <conditionalFormatting sqref="C625">
    <cfRule type="expression" dxfId="177" priority="5">
      <formula>$AT625="!"</formula>
    </cfRule>
  </conditionalFormatting>
  <conditionalFormatting sqref="C628">
    <cfRule type="expression" dxfId="176" priority="4">
      <formula>$AT628="!"</formula>
    </cfRule>
  </conditionalFormatting>
  <conditionalFormatting sqref="C626">
    <cfRule type="expression" dxfId="175" priority="2">
      <formula>$AT626="!"</formula>
    </cfRule>
  </conditionalFormatting>
  <conditionalFormatting sqref="C552:C555">
    <cfRule type="expression" dxfId="174" priority="1">
      <formula>$AT552="!"</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240614BF-C1C7-41DD-8483-0AE304599FA8}">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M255" r:id="rId5" xr:uid="{6B845E08-6A9F-44F8-8E67-DCEB061C50E5}"/>
    <hyperlink ref="O161" r:id="rId6" xr:uid="{1371CF9A-80D7-4D0D-828A-66469C523A6E}"/>
    <hyperlink ref="M236" r:id="rId7" xr:uid="{5605F7BF-B03B-4986-9F85-28A0A71B6054}"/>
    <hyperlink ref="M247" r:id="rId8" xr:uid="{41B15B18-E437-4412-8296-89B0048737C8}"/>
    <hyperlink ref="L278" r:id="rId9" xr:uid="{DB50F103-11EC-4F8A-9134-AC623B82BA70}"/>
    <hyperlink ref="H292" r:id="rId10" xr:uid="{B1B0BEC1-9957-4B69-AC9E-C166A5DF0EE1}"/>
    <hyperlink ref="H340" r:id="rId11" xr:uid="{0AE7FA24-C721-46AA-AB78-211AEEC8C1E5}"/>
    <hyperlink ref="D200" r:id="rId12" xr:uid="{B7763507-C731-4A9B-A151-765590E16B4F}"/>
  </hyperlinks>
  <printOptions horizontalCentered="1"/>
  <pageMargins left="0.5" right="0.5" top="1" bottom="1" header="0.5" footer="0.5"/>
  <pageSetup scale="83" fitToHeight="25" orientation="portrait" useFirstPageNumber="1" r:id="rId13"/>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14"/>
  <legacyDrawing r:id="rId1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62" sqref="C6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72" t="s">
        <v>631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2)Riverside Charitable Corporation</v>
      </c>
      <c r="H2" s="139" t="str">
        <f>Application!B625&amp;Application!C625</f>
        <v>3)USA Multi-Family Development, Inc.</v>
      </c>
      <c r="I2" s="139" t="str">
        <f>Application!B626&amp;Application!C626</f>
        <v>4)NOI During Construction</v>
      </c>
      <c r="J2" s="139" t="str">
        <f>Application!B627&amp;Application!C627</f>
        <v>5)Safehold, Inc.</v>
      </c>
      <c r="K2" s="139" t="str">
        <f>Application!B628&amp;Application!C628</f>
        <v>6)WNC - Solar Credits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115800</v>
      </c>
      <c r="C10" s="147">
        <v>115800</v>
      </c>
      <c r="D10" s="147"/>
      <c r="E10" s="147">
        <f>C10</f>
        <v>115800</v>
      </c>
      <c r="F10" s="147"/>
      <c r="G10" s="147"/>
      <c r="H10" s="147"/>
      <c r="I10" s="147"/>
      <c r="J10" s="147"/>
      <c r="K10" s="147"/>
      <c r="L10" s="147"/>
      <c r="M10" s="147"/>
      <c r="N10" s="147"/>
      <c r="O10" s="147"/>
      <c r="P10" s="147"/>
      <c r="Q10" s="147"/>
      <c r="R10" s="551">
        <f>SUM(E10:Q10)</f>
        <v>115800</v>
      </c>
      <c r="S10" s="147">
        <f>C10</f>
        <v>115800</v>
      </c>
      <c r="T10" s="147"/>
      <c r="U10" s="143"/>
    </row>
    <row r="11" spans="1:21" s="144" customFormat="1">
      <c r="A11" s="149" t="s">
        <v>606</v>
      </c>
      <c r="B11" s="146">
        <f>SUM(C11:D11)</f>
        <v>115800</v>
      </c>
      <c r="C11" s="146">
        <f t="shared" ref="C11:Q11" si="1">SUM(C9:C10)</f>
        <v>115800</v>
      </c>
      <c r="D11" s="146">
        <f t="shared" si="1"/>
        <v>0</v>
      </c>
      <c r="E11" s="146">
        <f t="shared" si="1"/>
        <v>115800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115800</v>
      </c>
      <c r="S11" s="148"/>
      <c r="T11" s="150">
        <f>SUM(T9:T10)</f>
        <v>0</v>
      </c>
      <c r="U11" s="143"/>
    </row>
    <row r="12" spans="1:21" s="144" customFormat="1">
      <c r="A12" s="149" t="s">
        <v>85</v>
      </c>
      <c r="B12" s="146">
        <f t="shared" ref="B12:Q12" si="2">SUM(B8+B11)</f>
        <v>115800</v>
      </c>
      <c r="C12" s="146">
        <f t="shared" si="2"/>
        <v>115800</v>
      </c>
      <c r="D12" s="146">
        <f t="shared" si="2"/>
        <v>0</v>
      </c>
      <c r="E12" s="146">
        <f t="shared" si="2"/>
        <v>115800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115800</v>
      </c>
      <c r="S12" s="148"/>
      <c r="T12" s="148"/>
      <c r="U12" s="143"/>
    </row>
    <row r="13" spans="1:21" s="144" customFormat="1">
      <c r="A13" s="309" t="s">
        <v>936</v>
      </c>
      <c r="B13" s="146">
        <f>SUM(C13+D13)</f>
        <v>1008694</v>
      </c>
      <c r="C13" s="147">
        <v>1008694</v>
      </c>
      <c r="D13" s="147"/>
      <c r="E13" s="147"/>
      <c r="F13" s="147"/>
      <c r="G13" s="147">
        <f>C13</f>
        <v>1008694</v>
      </c>
      <c r="H13" s="147"/>
      <c r="I13" s="147"/>
      <c r="J13" s="147"/>
      <c r="K13" s="147"/>
      <c r="L13" s="147"/>
      <c r="M13" s="147"/>
      <c r="N13" s="147"/>
      <c r="O13" s="147"/>
      <c r="P13" s="147"/>
      <c r="Q13" s="147"/>
      <c r="R13" s="551">
        <f>SUM(E13:Q13)</f>
        <v>1008694</v>
      </c>
      <c r="S13" s="147">
        <v>951500</v>
      </c>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4554837</v>
      </c>
      <c r="C29" s="147">
        <v>4554837</v>
      </c>
      <c r="D29" s="147"/>
      <c r="E29" s="147">
        <f>C29</f>
        <v>4554837</v>
      </c>
      <c r="F29" s="147"/>
      <c r="G29" s="147"/>
      <c r="H29" s="147"/>
      <c r="I29" s="147"/>
      <c r="J29" s="147"/>
      <c r="K29" s="147"/>
      <c r="L29" s="147"/>
      <c r="M29" s="147"/>
      <c r="N29" s="147"/>
      <c r="O29" s="147"/>
      <c r="P29" s="147"/>
      <c r="Q29" s="147"/>
      <c r="R29" s="551">
        <f t="shared" ref="R29:R37" si="7">SUM(E29:Q29)</f>
        <v>4554837</v>
      </c>
      <c r="S29" s="147">
        <f>C29</f>
        <v>4554837</v>
      </c>
      <c r="T29" s="147"/>
      <c r="U29" s="143"/>
    </row>
    <row r="30" spans="1:21" s="144" customFormat="1">
      <c r="A30" s="145" t="s">
        <v>609</v>
      </c>
      <c r="B30" s="146">
        <f t="shared" si="6"/>
        <v>23889792</v>
      </c>
      <c r="C30" s="147">
        <v>23889792</v>
      </c>
      <c r="D30" s="147"/>
      <c r="E30" s="147"/>
      <c r="F30" s="147">
        <f>C30-J30</f>
        <v>17389792</v>
      </c>
      <c r="G30" s="147"/>
      <c r="H30" s="147"/>
      <c r="I30" s="147"/>
      <c r="J30" s="147">
        <f>J108</f>
        <v>6500000</v>
      </c>
      <c r="K30" s="147"/>
      <c r="L30" s="147"/>
      <c r="M30" s="147"/>
      <c r="N30" s="147"/>
      <c r="O30" s="147"/>
      <c r="P30" s="147"/>
      <c r="Q30" s="147"/>
      <c r="R30" s="551">
        <f t="shared" si="7"/>
        <v>23889792</v>
      </c>
      <c r="S30" s="147">
        <f>C30</f>
        <v>23889792</v>
      </c>
      <c r="T30" s="147"/>
      <c r="U30" s="143"/>
    </row>
    <row r="31" spans="1:21" s="144" customFormat="1">
      <c r="A31" s="145" t="s">
        <v>610</v>
      </c>
      <c r="B31" s="146">
        <f t="shared" si="6"/>
        <v>1254000</v>
      </c>
      <c r="C31" s="147">
        <v>1254000</v>
      </c>
      <c r="D31" s="147"/>
      <c r="E31" s="147">
        <f>C31</f>
        <v>1254000</v>
      </c>
      <c r="F31" s="147"/>
      <c r="G31" s="147"/>
      <c r="H31" s="147"/>
      <c r="I31" s="147"/>
      <c r="J31" s="147"/>
      <c r="K31" s="147"/>
      <c r="L31" s="147"/>
      <c r="M31" s="147"/>
      <c r="N31" s="147"/>
      <c r="O31" s="147"/>
      <c r="P31" s="147"/>
      <c r="Q31" s="147"/>
      <c r="R31" s="551">
        <f t="shared" si="7"/>
        <v>1254000</v>
      </c>
      <c r="S31" s="147">
        <f>C31</f>
        <v>1254000</v>
      </c>
      <c r="T31" s="147"/>
      <c r="U31" s="143"/>
    </row>
    <row r="32" spans="1:21" s="144" customFormat="1">
      <c r="A32" s="145" t="s">
        <v>138</v>
      </c>
      <c r="B32" s="146">
        <f t="shared" si="6"/>
        <v>1432480</v>
      </c>
      <c r="C32" s="147">
        <v>1432480</v>
      </c>
      <c r="D32" s="147"/>
      <c r="E32" s="147">
        <f>C32</f>
        <v>1432480</v>
      </c>
      <c r="F32" s="147"/>
      <c r="G32" s="147"/>
      <c r="H32" s="147"/>
      <c r="I32" s="147"/>
      <c r="J32" s="147"/>
      <c r="K32" s="147"/>
      <c r="L32" s="147"/>
      <c r="M32" s="147"/>
      <c r="N32" s="147"/>
      <c r="O32" s="147"/>
      <c r="P32" s="147"/>
      <c r="Q32" s="147"/>
      <c r="R32" s="551">
        <f t="shared" si="7"/>
        <v>1432480</v>
      </c>
      <c r="S32" s="147">
        <f>C32</f>
        <v>1432480</v>
      </c>
      <c r="T32" s="147"/>
      <c r="U32" s="143"/>
    </row>
    <row r="33" spans="1:21" s="144" customFormat="1">
      <c r="A33" s="145" t="s">
        <v>139</v>
      </c>
      <c r="B33" s="146">
        <f t="shared" si="6"/>
        <v>1432480</v>
      </c>
      <c r="C33" s="147">
        <v>1432480</v>
      </c>
      <c r="D33" s="147"/>
      <c r="E33" s="147">
        <f>C33</f>
        <v>1432480</v>
      </c>
      <c r="F33" s="147"/>
      <c r="G33" s="147"/>
      <c r="H33" s="147"/>
      <c r="I33" s="147"/>
      <c r="J33" s="147"/>
      <c r="K33" s="147"/>
      <c r="L33" s="147"/>
      <c r="M33" s="147"/>
      <c r="N33" s="147"/>
      <c r="O33" s="147"/>
      <c r="P33" s="147"/>
      <c r="Q33" s="147"/>
      <c r="R33" s="551">
        <f t="shared" si="7"/>
        <v>1432480</v>
      </c>
      <c r="S33" s="147">
        <f>C33</f>
        <v>1432480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843129</v>
      </c>
      <c r="C35" s="147">
        <v>843129</v>
      </c>
      <c r="D35" s="147"/>
      <c r="E35" s="147">
        <f>C35</f>
        <v>843129</v>
      </c>
      <c r="F35" s="147"/>
      <c r="G35" s="147"/>
      <c r="H35" s="147"/>
      <c r="I35" s="147"/>
      <c r="J35" s="147"/>
      <c r="K35" s="147"/>
      <c r="L35" s="147"/>
      <c r="M35" s="147"/>
      <c r="N35" s="147"/>
      <c r="O35" s="147"/>
      <c r="P35" s="147"/>
      <c r="Q35" s="147"/>
      <c r="R35" s="551">
        <f t="shared" si="7"/>
        <v>843129</v>
      </c>
      <c r="S35" s="147">
        <f>C35</f>
        <v>843129</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33406718</v>
      </c>
      <c r="C38" s="146">
        <f>SUM(C29:C37)</f>
        <v>33406718</v>
      </c>
      <c r="D38" s="146">
        <f t="shared" ref="D38:Q38" si="8">SUM(D29:D37)</f>
        <v>0</v>
      </c>
      <c r="E38" s="146">
        <f t="shared" si="8"/>
        <v>9516926</v>
      </c>
      <c r="F38" s="146">
        <f t="shared" si="8"/>
        <v>17389792</v>
      </c>
      <c r="G38" s="146">
        <f t="shared" si="8"/>
        <v>0</v>
      </c>
      <c r="H38" s="146">
        <f t="shared" si="8"/>
        <v>0</v>
      </c>
      <c r="I38" s="146">
        <f t="shared" si="8"/>
        <v>0</v>
      </c>
      <c r="J38" s="146">
        <f t="shared" si="8"/>
        <v>6500000</v>
      </c>
      <c r="K38" s="146">
        <f t="shared" si="8"/>
        <v>0</v>
      </c>
      <c r="L38" s="146">
        <f t="shared" si="8"/>
        <v>0</v>
      </c>
      <c r="M38" s="146">
        <f t="shared" si="8"/>
        <v>0</v>
      </c>
      <c r="N38" s="146">
        <f t="shared" si="8"/>
        <v>0</v>
      </c>
      <c r="O38" s="146">
        <f t="shared" si="8"/>
        <v>0</v>
      </c>
      <c r="P38" s="146">
        <f t="shared" si="8"/>
        <v>0</v>
      </c>
      <c r="Q38" s="146">
        <f t="shared" si="8"/>
        <v>0</v>
      </c>
      <c r="R38" s="371">
        <f>SUM(R29:R37)</f>
        <v>33406718</v>
      </c>
      <c r="S38" s="150">
        <f>SUM(S29:S37)</f>
        <v>33406718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1794403</v>
      </c>
      <c r="C40" s="147">
        <v>1794403</v>
      </c>
      <c r="D40" s="147"/>
      <c r="E40" s="147">
        <f>C40</f>
        <v>1794403</v>
      </c>
      <c r="F40" s="147"/>
      <c r="G40" s="147"/>
      <c r="H40" s="147"/>
      <c r="I40" s="147"/>
      <c r="J40" s="147"/>
      <c r="K40" s="147"/>
      <c r="L40" s="147"/>
      <c r="M40" s="147"/>
      <c r="N40" s="147"/>
      <c r="O40" s="147"/>
      <c r="P40" s="147"/>
      <c r="Q40" s="147"/>
      <c r="R40" s="551">
        <f>SUM(E40:Q40)</f>
        <v>1794403</v>
      </c>
      <c r="S40" s="147">
        <f>C40</f>
        <v>1794403</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1794403</v>
      </c>
      <c r="C42" s="146">
        <f>SUM(C39:C41)</f>
        <v>1794403</v>
      </c>
      <c r="D42" s="146">
        <f>SUM(D39:D41)</f>
        <v>0</v>
      </c>
      <c r="E42" s="146">
        <f t="shared" ref="E42:T42" si="9">SUM(E40:E41)</f>
        <v>1794403</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1794403</v>
      </c>
      <c r="S42" s="150">
        <f t="shared" si="9"/>
        <v>1794403</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2210293</v>
      </c>
      <c r="C45" s="147">
        <v>2210293</v>
      </c>
      <c r="D45" s="147"/>
      <c r="E45" s="147">
        <f>C45</f>
        <v>2210293</v>
      </c>
      <c r="F45" s="147"/>
      <c r="G45" s="147"/>
      <c r="H45" s="147"/>
      <c r="I45" s="147"/>
      <c r="J45" s="147"/>
      <c r="K45" s="147"/>
      <c r="L45" s="147"/>
      <c r="M45" s="147"/>
      <c r="N45" s="147"/>
      <c r="O45" s="147"/>
      <c r="P45" s="147"/>
      <c r="Q45" s="147"/>
      <c r="R45" s="551">
        <f t="shared" ref="R45:R53" si="11">SUM(E45:Q45)</f>
        <v>2210293</v>
      </c>
      <c r="S45" s="147">
        <f>C45</f>
        <v>2210293</v>
      </c>
      <c r="T45" s="147"/>
      <c r="U45" s="143"/>
    </row>
    <row r="46" spans="1:21" s="144" customFormat="1">
      <c r="A46" s="145" t="s">
        <v>152</v>
      </c>
      <c r="B46" s="146">
        <f t="shared" si="10"/>
        <v>1308228</v>
      </c>
      <c r="C46" s="147">
        <v>1308228</v>
      </c>
      <c r="D46" s="147"/>
      <c r="E46" s="147"/>
      <c r="F46" s="147">
        <f>C46</f>
        <v>1308228</v>
      </c>
      <c r="G46" s="147"/>
      <c r="H46" s="147"/>
      <c r="I46" s="147"/>
      <c r="J46" s="147"/>
      <c r="K46" s="147"/>
      <c r="L46" s="147"/>
      <c r="M46" s="147"/>
      <c r="N46" s="147"/>
      <c r="O46" s="147"/>
      <c r="P46" s="147"/>
      <c r="Q46" s="147"/>
      <c r="R46" s="551">
        <f t="shared" si="11"/>
        <v>1308228</v>
      </c>
      <c r="S46" s="147">
        <f>C46</f>
        <v>1308228</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110000</v>
      </c>
      <c r="C50" s="147">
        <v>110000</v>
      </c>
      <c r="D50" s="147"/>
      <c r="E50" s="147">
        <f>C50</f>
        <v>110000</v>
      </c>
      <c r="F50" s="147"/>
      <c r="G50" s="147"/>
      <c r="H50" s="147"/>
      <c r="I50" s="147"/>
      <c r="J50" s="147"/>
      <c r="K50" s="147"/>
      <c r="L50" s="147"/>
      <c r="M50" s="147"/>
      <c r="N50" s="147"/>
      <c r="O50" s="147"/>
      <c r="P50" s="147"/>
      <c r="Q50" s="147"/>
      <c r="R50" s="551">
        <f t="shared" si="11"/>
        <v>110000</v>
      </c>
      <c r="S50" s="147">
        <f>C50</f>
        <v>110000</v>
      </c>
      <c r="T50" s="147"/>
      <c r="U50" s="143"/>
    </row>
    <row r="51" spans="1:21" s="144" customFormat="1">
      <c r="A51" s="304" t="s">
        <v>155</v>
      </c>
      <c r="B51" s="146">
        <f t="shared" si="10"/>
        <v>48203</v>
      </c>
      <c r="C51" s="147">
        <v>48203</v>
      </c>
      <c r="D51" s="147"/>
      <c r="E51" s="147">
        <f>C51</f>
        <v>48203</v>
      </c>
      <c r="F51" s="147"/>
      <c r="G51" s="147"/>
      <c r="H51" s="147"/>
      <c r="I51" s="147"/>
      <c r="J51" s="147"/>
      <c r="K51" s="147"/>
      <c r="L51" s="147"/>
      <c r="M51" s="147"/>
      <c r="N51" s="147"/>
      <c r="O51" s="147"/>
      <c r="P51" s="147"/>
      <c r="Q51" s="147"/>
      <c r="R51" s="551">
        <f t="shared" si="11"/>
        <v>48203</v>
      </c>
      <c r="S51" s="147">
        <f>C51</f>
        <v>48203</v>
      </c>
      <c r="T51" s="147"/>
      <c r="U51" s="143"/>
    </row>
    <row r="52" spans="1:21" s="144" customFormat="1">
      <c r="A52" s="145" t="s">
        <v>156</v>
      </c>
      <c r="B52" s="146">
        <f t="shared" si="10"/>
        <v>0</v>
      </c>
      <c r="C52" s="147"/>
      <c r="D52" s="147"/>
      <c r="E52" s="147"/>
      <c r="F52" s="147"/>
      <c r="G52" s="147"/>
      <c r="H52" s="147"/>
      <c r="I52" s="147"/>
      <c r="J52" s="147"/>
      <c r="K52" s="147"/>
      <c r="L52" s="147"/>
      <c r="M52" s="147"/>
      <c r="N52" s="147"/>
      <c r="O52" s="147"/>
      <c r="P52" s="147"/>
      <c r="Q52" s="147"/>
      <c r="R52" s="551">
        <f t="shared" si="11"/>
        <v>0</v>
      </c>
      <c r="S52" s="147"/>
      <c r="T52" s="147"/>
      <c r="U52" s="143"/>
    </row>
    <row r="53" spans="1:21" s="144" customFormat="1">
      <c r="A53" s="1202" t="s">
        <v>2698</v>
      </c>
      <c r="B53" s="146">
        <f t="shared" si="10"/>
        <v>28500</v>
      </c>
      <c r="C53" s="147">
        <v>28500</v>
      </c>
      <c r="D53" s="147"/>
      <c r="E53" s="147"/>
      <c r="F53" s="147">
        <f>C53</f>
        <v>28500</v>
      </c>
      <c r="G53" s="147"/>
      <c r="H53" s="147"/>
      <c r="I53" s="147"/>
      <c r="J53" s="147"/>
      <c r="K53" s="147"/>
      <c r="L53" s="147"/>
      <c r="M53" s="147"/>
      <c r="N53" s="147"/>
      <c r="O53" s="147"/>
      <c r="P53" s="147"/>
      <c r="Q53" s="147"/>
      <c r="R53" s="551">
        <f t="shared" si="11"/>
        <v>28500</v>
      </c>
      <c r="S53" s="147">
        <f>C53</f>
        <v>28500</v>
      </c>
      <c r="T53" s="147"/>
      <c r="U53" s="143"/>
    </row>
    <row r="54" spans="1:21" s="153" customFormat="1">
      <c r="A54" s="149" t="s">
        <v>158</v>
      </c>
      <c r="B54" s="150">
        <f>SUM(C54:D54)</f>
        <v>3705224</v>
      </c>
      <c r="C54" s="150">
        <f t="shared" ref="C54:T54" si="12">SUM(C45:C53)</f>
        <v>3705224</v>
      </c>
      <c r="D54" s="150">
        <f t="shared" si="12"/>
        <v>0</v>
      </c>
      <c r="E54" s="150">
        <f t="shared" si="12"/>
        <v>2368496</v>
      </c>
      <c r="F54" s="150">
        <f t="shared" si="12"/>
        <v>1336728</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3705224</v>
      </c>
      <c r="S54" s="150">
        <f t="shared" si="12"/>
        <v>3705224</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1066772</v>
      </c>
      <c r="C56" s="147">
        <v>1066772</v>
      </c>
      <c r="D56" s="147"/>
      <c r="E56" s="147"/>
      <c r="F56" s="147">
        <f>C56</f>
        <v>1066772</v>
      </c>
      <c r="G56" s="147"/>
      <c r="H56" s="147"/>
      <c r="I56" s="147"/>
      <c r="J56" s="147"/>
      <c r="K56" s="147"/>
      <c r="L56" s="147"/>
      <c r="M56" s="147"/>
      <c r="N56" s="147"/>
      <c r="O56" s="147"/>
      <c r="P56" s="147"/>
      <c r="Q56" s="147"/>
      <c r="R56" s="551">
        <f t="shared" ref="R56:R61" si="14">SUM(E56:Q56)</f>
        <v>1066772</v>
      </c>
      <c r="S56" s="148"/>
      <c r="T56" s="148"/>
      <c r="U56" s="143"/>
    </row>
    <row r="57" spans="1:21" s="204" customFormat="1">
      <c r="A57" s="198" t="s">
        <v>153</v>
      </c>
      <c r="B57" s="205">
        <f t="shared" si="13"/>
        <v>164500</v>
      </c>
      <c r="C57" s="202">
        <v>164500</v>
      </c>
      <c r="D57" s="202"/>
      <c r="E57" s="202"/>
      <c r="F57" s="202">
        <f>C57</f>
        <v>164500</v>
      </c>
      <c r="G57" s="202"/>
      <c r="H57" s="202"/>
      <c r="I57" s="202"/>
      <c r="J57" s="202"/>
      <c r="K57" s="202"/>
      <c r="L57" s="202"/>
      <c r="M57" s="202"/>
      <c r="N57" s="202"/>
      <c r="O57" s="202"/>
      <c r="P57" s="202"/>
      <c r="Q57" s="202"/>
      <c r="R57" s="551">
        <f t="shared" si="14"/>
        <v>164500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2699</v>
      </c>
      <c r="B61" s="146">
        <f t="shared" si="13"/>
        <v>1774634</v>
      </c>
      <c r="C61" s="147">
        <f>1774633+1</f>
        <v>1774634</v>
      </c>
      <c r="D61" s="147"/>
      <c r="E61" s="147">
        <f>C61</f>
        <v>1774634</v>
      </c>
      <c r="F61" s="147"/>
      <c r="G61" s="147"/>
      <c r="H61" s="147"/>
      <c r="I61" s="147"/>
      <c r="J61" s="147"/>
      <c r="K61" s="147"/>
      <c r="L61" s="147"/>
      <c r="M61" s="147"/>
      <c r="N61" s="147"/>
      <c r="O61" s="147"/>
      <c r="P61" s="147"/>
      <c r="Q61" s="147"/>
      <c r="R61" s="551">
        <f t="shared" si="14"/>
        <v>1774634</v>
      </c>
      <c r="S61" s="148"/>
      <c r="T61" s="148"/>
      <c r="U61" s="143"/>
    </row>
    <row r="62" spans="1:21" s="144" customFormat="1" ht="13.7" customHeight="1">
      <c r="A62" s="149" t="s">
        <v>303</v>
      </c>
      <c r="B62" s="146">
        <f>SUM(C62:D62)</f>
        <v>3005906</v>
      </c>
      <c r="C62" s="146">
        <f t="shared" ref="C62:R62" si="15">SUM(C56:C61)</f>
        <v>3005906</v>
      </c>
      <c r="D62" s="146">
        <f t="shared" si="15"/>
        <v>0</v>
      </c>
      <c r="E62" s="146">
        <f t="shared" si="15"/>
        <v>1774634</v>
      </c>
      <c r="F62" s="146">
        <f t="shared" si="15"/>
        <v>1231272</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3005906</v>
      </c>
      <c r="S62" s="148"/>
      <c r="T62" s="148"/>
      <c r="U62" s="143"/>
    </row>
    <row r="63" spans="1:21" s="144" customFormat="1">
      <c r="A63" s="154" t="s">
        <v>304</v>
      </c>
      <c r="B63" s="146">
        <f t="shared" ref="B63:R63" si="16">SUM(B8+B11+B13+B14+B15+B26+B27+B38+B42+B43+B54+B62)</f>
        <v>43036745</v>
      </c>
      <c r="C63" s="146">
        <f t="shared" si="16"/>
        <v>43036745</v>
      </c>
      <c r="D63" s="146">
        <f t="shared" si="16"/>
        <v>0</v>
      </c>
      <c r="E63" s="146">
        <f t="shared" si="16"/>
        <v>15570259</v>
      </c>
      <c r="F63" s="146">
        <f t="shared" si="16"/>
        <v>19957792</v>
      </c>
      <c r="G63" s="146">
        <f t="shared" si="16"/>
        <v>1008694</v>
      </c>
      <c r="H63" s="146">
        <f t="shared" si="16"/>
        <v>0</v>
      </c>
      <c r="I63" s="146">
        <f t="shared" si="16"/>
        <v>0</v>
      </c>
      <c r="J63" s="146">
        <f t="shared" si="16"/>
        <v>6500000</v>
      </c>
      <c r="K63" s="146">
        <f t="shared" si="16"/>
        <v>0</v>
      </c>
      <c r="L63" s="146">
        <f t="shared" si="16"/>
        <v>0</v>
      </c>
      <c r="M63" s="146">
        <f t="shared" si="16"/>
        <v>0</v>
      </c>
      <c r="N63" s="146">
        <f t="shared" si="16"/>
        <v>0</v>
      </c>
      <c r="O63" s="146">
        <f t="shared" si="16"/>
        <v>0</v>
      </c>
      <c r="P63" s="146">
        <f t="shared" si="16"/>
        <v>0</v>
      </c>
      <c r="Q63" s="146">
        <f t="shared" si="16"/>
        <v>0</v>
      </c>
      <c r="R63" s="371">
        <f t="shared" si="16"/>
        <v>43036745</v>
      </c>
      <c r="S63" s="146">
        <f>SUM(S10+S13+S14+S15+S26+S27+S38+S42+S43+S54)</f>
        <v>39973645</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85000</v>
      </c>
      <c r="C65" s="147">
        <v>85000</v>
      </c>
      <c r="D65" s="147"/>
      <c r="E65" s="147">
        <f>C65</f>
        <v>85000</v>
      </c>
      <c r="F65" s="147"/>
      <c r="G65" s="147"/>
      <c r="H65" s="147"/>
      <c r="I65" s="147"/>
      <c r="J65" s="147"/>
      <c r="K65" s="147"/>
      <c r="L65" s="147"/>
      <c r="M65" s="147"/>
      <c r="N65" s="147"/>
      <c r="O65" s="147"/>
      <c r="P65" s="147"/>
      <c r="Q65" s="147"/>
      <c r="R65" s="551">
        <f>SUM(E65:Q65)</f>
        <v>85000</v>
      </c>
      <c r="S65" s="147"/>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1826</v>
      </c>
      <c r="B70" s="146">
        <f>SUM(C70:D70)</f>
        <v>85000</v>
      </c>
      <c r="C70" s="146">
        <f>SUM(C65:C69)</f>
        <v>85000</v>
      </c>
      <c r="D70" s="146">
        <f>SUM(D65:D69)</f>
        <v>0</v>
      </c>
      <c r="E70" s="146">
        <f t="shared" ref="E70:T70" si="17">SUM(E65:E69)</f>
        <v>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85000</v>
      </c>
      <c r="S70" s="150">
        <f t="shared" si="17"/>
        <v>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704241</v>
      </c>
      <c r="C75" s="147">
        <v>704241</v>
      </c>
      <c r="D75" s="147"/>
      <c r="E75" s="147"/>
      <c r="F75" s="147"/>
      <c r="G75" s="147"/>
      <c r="H75" s="147"/>
      <c r="I75" s="147">
        <f>C75</f>
        <v>704241</v>
      </c>
      <c r="J75" s="147"/>
      <c r="K75" s="147"/>
      <c r="L75" s="147"/>
      <c r="M75" s="147"/>
      <c r="N75" s="147"/>
      <c r="O75" s="147"/>
      <c r="P75" s="147"/>
      <c r="Q75" s="147"/>
      <c r="R75" s="551">
        <f>SUM(E75:Q75)</f>
        <v>704241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704241</v>
      </c>
      <c r="C77" s="146">
        <f>SUM(C72:C76)</f>
        <v>704241</v>
      </c>
      <c r="D77" s="146">
        <f>SUM(D72:D76)</f>
        <v>0</v>
      </c>
      <c r="E77" s="146">
        <f t="shared" ref="E77:Q77" si="18">SUM(E72:E76)</f>
        <v>0</v>
      </c>
      <c r="F77" s="146">
        <f t="shared" si="18"/>
        <v>0</v>
      </c>
      <c r="G77" s="146">
        <f t="shared" si="18"/>
        <v>0</v>
      </c>
      <c r="H77" s="146">
        <f t="shared" si="18"/>
        <v>0</v>
      </c>
      <c r="I77" s="146">
        <f t="shared" si="18"/>
        <v>704241</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704241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2450955</v>
      </c>
      <c r="C79" s="147">
        <v>2450955</v>
      </c>
      <c r="D79" s="147"/>
      <c r="E79" s="147">
        <f>C79-I79</f>
        <v>1829122</v>
      </c>
      <c r="F79" s="147"/>
      <c r="G79" s="147"/>
      <c r="H79" s="147"/>
      <c r="I79" s="147">
        <f>I108-I77-I80-I83-I88</f>
        <v>621833</v>
      </c>
      <c r="J79" s="147"/>
      <c r="K79" s="147"/>
      <c r="L79" s="147"/>
      <c r="M79" s="147"/>
      <c r="N79" s="147"/>
      <c r="O79" s="147"/>
      <c r="P79" s="147"/>
      <c r="Q79" s="147"/>
      <c r="R79" s="551">
        <f>SUM(E79:Q79)</f>
        <v>2450955</v>
      </c>
      <c r="S79" s="147">
        <f>C79</f>
        <v>2450955</v>
      </c>
      <c r="T79" s="147"/>
      <c r="U79" s="143"/>
    </row>
    <row r="80" spans="1:21" s="144" customFormat="1">
      <c r="A80" s="304" t="s">
        <v>58</v>
      </c>
      <c r="B80" s="146">
        <f>SUM(C80:D80)</f>
        <v>401583</v>
      </c>
      <c r="C80" s="147">
        <v>401583</v>
      </c>
      <c r="D80" s="147"/>
      <c r="E80" s="147"/>
      <c r="F80" s="147"/>
      <c r="G80" s="147"/>
      <c r="H80" s="147"/>
      <c r="I80" s="147">
        <f>C80</f>
        <v>401583</v>
      </c>
      <c r="J80" s="147"/>
      <c r="K80" s="147"/>
      <c r="L80" s="147"/>
      <c r="M80" s="147"/>
      <c r="N80" s="147"/>
      <c r="O80" s="147"/>
      <c r="P80" s="147"/>
      <c r="Q80" s="147"/>
      <c r="R80" s="551">
        <f>SUM(E80:Q80)</f>
        <v>401583</v>
      </c>
      <c r="S80" s="147">
        <f>C80</f>
        <v>401583</v>
      </c>
      <c r="T80" s="147"/>
      <c r="U80" s="143"/>
    </row>
    <row r="81" spans="1:21" s="144" customFormat="1">
      <c r="A81" s="149" t="s">
        <v>1353</v>
      </c>
      <c r="B81" s="146">
        <f>SUM(C81:D81)</f>
        <v>2852538</v>
      </c>
      <c r="C81" s="544">
        <f>SUM(C79:C80)</f>
        <v>2852538</v>
      </c>
      <c r="D81" s="544">
        <f t="shared" ref="D81:T81" si="19">SUM(D79:D80)</f>
        <v>0</v>
      </c>
      <c r="E81" s="544">
        <f t="shared" si="19"/>
        <v>1829122</v>
      </c>
      <c r="F81" s="544">
        <f t="shared" si="19"/>
        <v>0</v>
      </c>
      <c r="G81" s="544">
        <f t="shared" si="19"/>
        <v>0</v>
      </c>
      <c r="H81" s="544">
        <f t="shared" si="19"/>
        <v>0</v>
      </c>
      <c r="I81" s="544">
        <f t="shared" si="19"/>
        <v>1023416</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2852538</v>
      </c>
      <c r="S81" s="544">
        <f t="shared" si="19"/>
        <v>2852538</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2515</v>
      </c>
      <c r="B83" s="146">
        <f t="shared" ref="B83:B95" si="20">SUM(C83+D83)</f>
        <v>90243</v>
      </c>
      <c r="C83" s="147">
        <v>90243</v>
      </c>
      <c r="D83" s="147"/>
      <c r="E83" s="147"/>
      <c r="F83" s="147"/>
      <c r="G83" s="147"/>
      <c r="H83" s="147"/>
      <c r="I83" s="147">
        <f>C83</f>
        <v>90243</v>
      </c>
      <c r="J83" s="147"/>
      <c r="K83" s="147"/>
      <c r="L83" s="147"/>
      <c r="M83" s="147"/>
      <c r="N83" s="147"/>
      <c r="O83" s="147"/>
      <c r="P83" s="147"/>
      <c r="Q83" s="147"/>
      <c r="R83" s="551">
        <f t="shared" ref="R83:R95" si="21">SUM(E83:Q83)</f>
        <v>90243</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3860052</v>
      </c>
      <c r="C85" s="147">
        <v>3860052</v>
      </c>
      <c r="D85" s="147"/>
      <c r="E85" s="147"/>
      <c r="F85" s="147">
        <f>C85-G85</f>
        <v>974435</v>
      </c>
      <c r="G85" s="147">
        <f>G108-G93-G13</f>
        <v>2885617</v>
      </c>
      <c r="H85" s="147"/>
      <c r="I85" s="147"/>
      <c r="J85" s="147"/>
      <c r="K85" s="147"/>
      <c r="L85" s="147"/>
      <c r="M85" s="147"/>
      <c r="N85" s="147"/>
      <c r="O85" s="147"/>
      <c r="P85" s="147"/>
      <c r="Q85" s="147"/>
      <c r="R85" s="551">
        <f t="shared" si="21"/>
        <v>3860052</v>
      </c>
      <c r="S85" s="147">
        <f>C85</f>
        <v>3860052</v>
      </c>
      <c r="T85" s="147"/>
      <c r="U85" s="143"/>
    </row>
    <row r="86" spans="1:21" s="144" customFormat="1">
      <c r="A86" s="145" t="s">
        <v>794</v>
      </c>
      <c r="B86" s="146">
        <f t="shared" si="20"/>
        <v>594268</v>
      </c>
      <c r="C86" s="147">
        <v>594268</v>
      </c>
      <c r="D86" s="147"/>
      <c r="E86" s="147"/>
      <c r="F86" s="147">
        <f>C86</f>
        <v>594268</v>
      </c>
      <c r="G86" s="147"/>
      <c r="H86" s="147"/>
      <c r="I86" s="147"/>
      <c r="J86" s="147"/>
      <c r="K86" s="147"/>
      <c r="L86" s="147"/>
      <c r="M86" s="147"/>
      <c r="N86" s="147"/>
      <c r="O86" s="147"/>
      <c r="P86" s="147"/>
      <c r="Q86" s="147"/>
      <c r="R86" s="551">
        <f t="shared" si="21"/>
        <v>594268</v>
      </c>
      <c r="S86" s="147">
        <f>C86</f>
        <v>594268</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147500</v>
      </c>
      <c r="C88" s="147">
        <v>147500</v>
      </c>
      <c r="D88" s="147"/>
      <c r="E88" s="147"/>
      <c r="F88" s="147"/>
      <c r="G88" s="147"/>
      <c r="H88" s="147"/>
      <c r="I88" s="147">
        <f>C88</f>
        <v>147500</v>
      </c>
      <c r="J88" s="147"/>
      <c r="K88" s="147"/>
      <c r="L88" s="147"/>
      <c r="M88" s="147"/>
      <c r="N88" s="147"/>
      <c r="O88" s="147"/>
      <c r="P88" s="147"/>
      <c r="Q88" s="147"/>
      <c r="R88" s="551">
        <f t="shared" si="21"/>
        <v>147500</v>
      </c>
      <c r="S88" s="148"/>
      <c r="T88" s="148"/>
      <c r="U88" s="143"/>
    </row>
    <row r="89" spans="1:21" s="144" customFormat="1">
      <c r="A89" s="145" t="s">
        <v>797</v>
      </c>
      <c r="B89" s="146">
        <f t="shared" si="20"/>
        <v>230750</v>
      </c>
      <c r="C89" s="147">
        <v>230750</v>
      </c>
      <c r="D89" s="147"/>
      <c r="E89" s="147">
        <f>C89-F89</f>
        <v>147245</v>
      </c>
      <c r="F89" s="147">
        <f>F108-F86-F85-F63</f>
        <v>83505</v>
      </c>
      <c r="G89" s="147"/>
      <c r="H89" s="147"/>
      <c r="I89" s="147"/>
      <c r="J89" s="147"/>
      <c r="K89" s="147"/>
      <c r="L89" s="147"/>
      <c r="M89" s="147"/>
      <c r="N89" s="147"/>
      <c r="O89" s="147"/>
      <c r="P89" s="147"/>
      <c r="Q89" s="147"/>
      <c r="R89" s="551">
        <f t="shared" si="21"/>
        <v>230750</v>
      </c>
      <c r="S89" s="147">
        <f>C89</f>
        <v>230750</v>
      </c>
      <c r="T89" s="147"/>
      <c r="U89" s="143"/>
    </row>
    <row r="90" spans="1:21" s="144" customFormat="1">
      <c r="A90" s="145" t="s">
        <v>798</v>
      </c>
      <c r="B90" s="146">
        <f t="shared" si="20"/>
        <v>31500</v>
      </c>
      <c r="C90" s="147">
        <v>31500</v>
      </c>
      <c r="D90" s="147"/>
      <c r="E90" s="147">
        <f>C90</f>
        <v>31500</v>
      </c>
      <c r="F90" s="147"/>
      <c r="G90" s="147"/>
      <c r="H90" s="147"/>
      <c r="I90" s="147"/>
      <c r="J90" s="147"/>
      <c r="K90" s="147"/>
      <c r="L90" s="147"/>
      <c r="M90" s="147"/>
      <c r="N90" s="147"/>
      <c r="O90" s="147"/>
      <c r="P90" s="147"/>
      <c r="Q90" s="147"/>
      <c r="R90" s="551">
        <f t="shared" si="21"/>
        <v>31500</v>
      </c>
      <c r="S90" s="147">
        <f>C90</f>
        <v>31500</v>
      </c>
      <c r="T90" s="147"/>
      <c r="U90" s="143"/>
    </row>
    <row r="91" spans="1:21" s="144" customFormat="1">
      <c r="A91" s="145" t="s">
        <v>374</v>
      </c>
      <c r="B91" s="146">
        <f t="shared" si="20"/>
        <v>25000</v>
      </c>
      <c r="C91" s="147">
        <v>25000</v>
      </c>
      <c r="D91" s="147"/>
      <c r="E91" s="147">
        <f>C91</f>
        <v>25000</v>
      </c>
      <c r="F91" s="147"/>
      <c r="G91" s="147"/>
      <c r="H91" s="147"/>
      <c r="I91" s="147"/>
      <c r="J91" s="147"/>
      <c r="K91" s="147"/>
      <c r="L91" s="147"/>
      <c r="M91" s="147"/>
      <c r="N91" s="147"/>
      <c r="O91" s="147"/>
      <c r="P91" s="147"/>
      <c r="Q91" s="147"/>
      <c r="R91" s="551">
        <f t="shared" si="21"/>
        <v>25000</v>
      </c>
      <c r="S91" s="147">
        <f>C91</f>
        <v>25000</v>
      </c>
      <c r="T91" s="147"/>
      <c r="U91" s="143"/>
    </row>
    <row r="92" spans="1:21" s="144" customFormat="1">
      <c r="A92" s="304" t="s">
        <v>1355</v>
      </c>
      <c r="B92" s="146">
        <f t="shared" si="20"/>
        <v>10000</v>
      </c>
      <c r="C92" s="147">
        <v>10000</v>
      </c>
      <c r="D92" s="147"/>
      <c r="E92" s="147">
        <f>C92</f>
        <v>10000</v>
      </c>
      <c r="F92" s="147"/>
      <c r="G92" s="147"/>
      <c r="H92" s="147"/>
      <c r="I92" s="147"/>
      <c r="J92" s="147"/>
      <c r="K92" s="147"/>
      <c r="L92" s="147"/>
      <c r="M92" s="147"/>
      <c r="N92" s="147"/>
      <c r="O92" s="147"/>
      <c r="P92" s="147"/>
      <c r="Q92" s="147"/>
      <c r="R92" s="551">
        <f t="shared" si="21"/>
        <v>10000</v>
      </c>
      <c r="S92" s="147">
        <f>C92</f>
        <v>10000</v>
      </c>
      <c r="T92" s="147"/>
      <c r="U92" s="143"/>
    </row>
    <row r="93" spans="1:21" s="144" customFormat="1">
      <c r="A93" s="1202" t="s">
        <v>2700</v>
      </c>
      <c r="B93" s="146">
        <f t="shared" si="20"/>
        <v>254828</v>
      </c>
      <c r="C93" s="147">
        <v>254828</v>
      </c>
      <c r="D93" s="147"/>
      <c r="E93" s="147"/>
      <c r="F93" s="147"/>
      <c r="G93" s="147">
        <f>C93-K93</f>
        <v>105689</v>
      </c>
      <c r="H93" s="147"/>
      <c r="I93" s="147"/>
      <c r="J93" s="147"/>
      <c r="K93" s="147">
        <f>K108</f>
        <v>149139</v>
      </c>
      <c r="L93" s="147"/>
      <c r="M93" s="147"/>
      <c r="N93" s="147"/>
      <c r="O93" s="147"/>
      <c r="P93" s="147"/>
      <c r="Q93" s="147"/>
      <c r="R93" s="551">
        <f t="shared" si="21"/>
        <v>254828</v>
      </c>
      <c r="S93" s="147">
        <f>C93</f>
        <v>254828</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5244141</v>
      </c>
      <c r="C96" s="146">
        <f t="shared" ref="C96:R96" si="22">SUM(C83:C95)</f>
        <v>5244141</v>
      </c>
      <c r="D96" s="146">
        <f t="shared" si="22"/>
        <v>0</v>
      </c>
      <c r="E96" s="146">
        <f t="shared" si="22"/>
        <v>213745</v>
      </c>
      <c r="F96" s="146">
        <f t="shared" si="22"/>
        <v>1652208</v>
      </c>
      <c r="G96" s="146">
        <f t="shared" si="22"/>
        <v>2991306</v>
      </c>
      <c r="H96" s="146">
        <f t="shared" si="22"/>
        <v>0</v>
      </c>
      <c r="I96" s="146">
        <f t="shared" si="22"/>
        <v>237743</v>
      </c>
      <c r="J96" s="146">
        <f t="shared" si="22"/>
        <v>0</v>
      </c>
      <c r="K96" s="146">
        <f t="shared" si="22"/>
        <v>149139</v>
      </c>
      <c r="L96" s="146">
        <f t="shared" si="22"/>
        <v>0</v>
      </c>
      <c r="M96" s="146">
        <f t="shared" si="22"/>
        <v>0</v>
      </c>
      <c r="N96" s="146">
        <f t="shared" si="22"/>
        <v>0</v>
      </c>
      <c r="O96" s="146">
        <f t="shared" si="22"/>
        <v>0</v>
      </c>
      <c r="P96" s="146">
        <f t="shared" si="22"/>
        <v>0</v>
      </c>
      <c r="Q96" s="146">
        <f t="shared" si="22"/>
        <v>0</v>
      </c>
      <c r="R96" s="371">
        <f t="shared" si="22"/>
        <v>5244141</v>
      </c>
      <c r="S96" s="150">
        <f>SUM(S84:S87,S89:S95)</f>
        <v>5006398</v>
      </c>
      <c r="T96" s="146">
        <f>SUM(T84:T87,T89:T95)</f>
        <v>0</v>
      </c>
      <c r="U96" s="143"/>
    </row>
    <row r="97" spans="1:21" s="144" customFormat="1">
      <c r="A97" s="149" t="s">
        <v>800</v>
      </c>
      <c r="B97" s="146">
        <f>SUM(C97:D97)</f>
        <v>51922665</v>
      </c>
      <c r="C97" s="146">
        <f t="shared" ref="C97:R97" si="23">SUM(C63+C70+C77+C81+C96)</f>
        <v>51922665</v>
      </c>
      <c r="D97" s="146">
        <f t="shared" si="23"/>
        <v>0</v>
      </c>
      <c r="E97" s="146">
        <f t="shared" si="23"/>
        <v>17698126</v>
      </c>
      <c r="F97" s="146">
        <f t="shared" si="23"/>
        <v>21610000</v>
      </c>
      <c r="G97" s="146">
        <f t="shared" si="23"/>
        <v>4000000</v>
      </c>
      <c r="H97" s="146">
        <f t="shared" si="23"/>
        <v>0</v>
      </c>
      <c r="I97" s="146">
        <f t="shared" si="23"/>
        <v>1965400</v>
      </c>
      <c r="J97" s="146">
        <f t="shared" si="23"/>
        <v>6500000</v>
      </c>
      <c r="K97" s="146">
        <f t="shared" si="23"/>
        <v>149139</v>
      </c>
      <c r="L97" s="146">
        <f t="shared" si="23"/>
        <v>0</v>
      </c>
      <c r="M97" s="146">
        <f t="shared" si="23"/>
        <v>0</v>
      </c>
      <c r="N97" s="146">
        <f t="shared" si="23"/>
        <v>0</v>
      </c>
      <c r="O97" s="146">
        <f t="shared" si="23"/>
        <v>0</v>
      </c>
      <c r="P97" s="146">
        <f t="shared" si="23"/>
        <v>0</v>
      </c>
      <c r="Q97" s="146">
        <f t="shared" si="23"/>
        <v>0</v>
      </c>
      <c r="R97" s="146">
        <f t="shared" si="23"/>
        <v>51922665</v>
      </c>
      <c r="S97" s="146">
        <f>SUM(S63+S70+S81+S96)</f>
        <v>47832581</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7174887</v>
      </c>
      <c r="C99" s="1016">
        <v>7174887</v>
      </c>
      <c r="D99" s="1016"/>
      <c r="E99" s="1016">
        <f>C99-H99</f>
        <v>2104556</v>
      </c>
      <c r="F99" s="147"/>
      <c r="G99" s="147"/>
      <c r="H99" s="147">
        <f>H108</f>
        <v>5070331</v>
      </c>
      <c r="I99" s="147"/>
      <c r="J99" s="147"/>
      <c r="K99" s="147"/>
      <c r="L99" s="147"/>
      <c r="M99" s="147"/>
      <c r="N99" s="147"/>
      <c r="O99" s="147"/>
      <c r="P99" s="147"/>
      <c r="Q99" s="147"/>
      <c r="R99" s="551">
        <f>SUM(E99:Q99)</f>
        <v>7174887</v>
      </c>
      <c r="S99" s="147">
        <f>C99</f>
        <v>7174887</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7174887</v>
      </c>
      <c r="C104" s="146">
        <f>SUM(C99:C103)</f>
        <v>7174887</v>
      </c>
      <c r="D104" s="146">
        <f t="shared" ref="D104:T104" si="24">SUM(D99:D103)</f>
        <v>0</v>
      </c>
      <c r="E104" s="146">
        <f t="shared" si="24"/>
        <v>2104556</v>
      </c>
      <c r="F104" s="146">
        <f t="shared" si="24"/>
        <v>0</v>
      </c>
      <c r="G104" s="146">
        <f t="shared" si="24"/>
        <v>0</v>
      </c>
      <c r="H104" s="146">
        <f t="shared" si="24"/>
        <v>5070331</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7174887</v>
      </c>
      <c r="S104" s="150">
        <f t="shared" si="24"/>
        <v>7174887</v>
      </c>
      <c r="T104" s="150">
        <f t="shared" si="24"/>
        <v>0</v>
      </c>
      <c r="U104" s="143"/>
    </row>
    <row r="105" spans="1:21" s="144" customFormat="1">
      <c r="A105" s="149" t="s">
        <v>805</v>
      </c>
      <c r="B105" s="150">
        <f>SUM(C105:D105)</f>
        <v>59097552</v>
      </c>
      <c r="C105" s="150">
        <f t="shared" ref="C105:R105" si="25">SUM(C97+C104)</f>
        <v>59097552</v>
      </c>
      <c r="D105" s="150">
        <f t="shared" si="25"/>
        <v>0</v>
      </c>
      <c r="E105" s="150">
        <f t="shared" si="25"/>
        <v>19802682</v>
      </c>
      <c r="F105" s="150">
        <f t="shared" si="25"/>
        <v>21610000</v>
      </c>
      <c r="G105" s="150">
        <f t="shared" si="25"/>
        <v>4000000</v>
      </c>
      <c r="H105" s="150">
        <f t="shared" si="25"/>
        <v>5070331</v>
      </c>
      <c r="I105" s="150">
        <f t="shared" si="25"/>
        <v>1965400</v>
      </c>
      <c r="J105" s="150">
        <f t="shared" si="25"/>
        <v>6500000</v>
      </c>
      <c r="K105" s="150">
        <f t="shared" si="25"/>
        <v>149139</v>
      </c>
      <c r="L105" s="150">
        <f t="shared" si="25"/>
        <v>0</v>
      </c>
      <c r="M105" s="150">
        <f t="shared" si="25"/>
        <v>0</v>
      </c>
      <c r="N105" s="150">
        <f t="shared" si="25"/>
        <v>0</v>
      </c>
      <c r="O105" s="150">
        <f t="shared" si="25"/>
        <v>0</v>
      </c>
      <c r="P105" s="150">
        <f t="shared" si="25"/>
        <v>0</v>
      </c>
      <c r="Q105" s="150">
        <f t="shared" si="25"/>
        <v>0</v>
      </c>
      <c r="R105" s="371">
        <f t="shared" si="25"/>
        <v>59097552</v>
      </c>
      <c r="S105" s="150">
        <f>S97+S104</f>
        <v>55007468</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55007468</v>
      </c>
      <c r="T107" s="150">
        <f>T105+T106</f>
        <v>0</v>
      </c>
    </row>
    <row r="108" spans="1:21" s="201" customFormat="1">
      <c r="A108" s="162" t="s">
        <v>909</v>
      </c>
      <c r="B108" s="157"/>
      <c r="C108" s="157"/>
      <c r="D108" s="157"/>
      <c r="E108" s="323">
        <f>Application!AO636</f>
        <v>19802682</v>
      </c>
      <c r="F108" s="323">
        <f>Application!AO623</f>
        <v>21610000</v>
      </c>
      <c r="G108" s="323">
        <f>Application!AO624</f>
        <v>4000000</v>
      </c>
      <c r="H108" s="323">
        <f>Application!AO625</f>
        <v>5070331</v>
      </c>
      <c r="I108" s="323">
        <f>Application!AO626</f>
        <v>1965400</v>
      </c>
      <c r="J108" s="323">
        <f>Application!AO627</f>
        <v>6500000</v>
      </c>
      <c r="K108" s="323">
        <f>Application!AO628</f>
        <v>149139</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2516</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78" t="s">
        <v>1048</v>
      </c>
      <c r="E122" s="1878"/>
      <c r="F122" s="1878"/>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80" t="s">
        <v>1372</v>
      </c>
      <c r="E123" s="1881"/>
      <c r="F123" s="1881"/>
      <c r="G123" s="1881"/>
      <c r="H123" s="1881"/>
      <c r="I123" s="1881"/>
      <c r="J123" s="1881"/>
      <c r="K123" s="1881"/>
      <c r="L123" s="1881"/>
      <c r="M123" s="1881"/>
      <c r="N123" s="1881"/>
      <c r="O123" s="1881"/>
      <c r="P123" s="1881"/>
      <c r="Q123" s="1881"/>
      <c r="R123" s="1881"/>
      <c r="S123" s="1881"/>
      <c r="T123" s="353"/>
      <c r="U123" s="355"/>
    </row>
    <row r="124" spans="1:21" ht="12.75">
      <c r="A124" s="117" t="s">
        <v>1050</v>
      </c>
      <c r="B124" s="362"/>
      <c r="C124" s="117"/>
      <c r="D124" s="1881"/>
      <c r="E124" s="1881"/>
      <c r="F124" s="1881"/>
      <c r="G124" s="1881"/>
      <c r="H124" s="1881"/>
      <c r="I124" s="1881"/>
      <c r="J124" s="1881"/>
      <c r="K124" s="1881"/>
      <c r="L124" s="1881"/>
      <c r="M124" s="1881"/>
      <c r="N124" s="1881"/>
      <c r="O124" s="1881"/>
      <c r="P124" s="1881"/>
      <c r="Q124" s="1881"/>
      <c r="R124" s="1881"/>
      <c r="S124" s="1881"/>
      <c r="T124" s="353"/>
      <c r="U124" s="355"/>
    </row>
    <row r="125" spans="1:21" ht="12.75">
      <c r="A125" s="117" t="s">
        <v>1051</v>
      </c>
      <c r="B125" s="362"/>
      <c r="C125" s="117"/>
      <c r="D125" s="1881"/>
      <c r="E125" s="1881"/>
      <c r="F125" s="1881"/>
      <c r="G125" s="1881"/>
      <c r="H125" s="1881"/>
      <c r="I125" s="1881"/>
      <c r="J125" s="1881"/>
      <c r="K125" s="1881"/>
      <c r="L125" s="1881"/>
      <c r="M125" s="1881"/>
      <c r="N125" s="1881"/>
      <c r="O125" s="1881"/>
      <c r="P125" s="1881"/>
      <c r="Q125" s="1881"/>
      <c r="R125" s="1881"/>
      <c r="S125" s="1881"/>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75"/>
      <c r="E128" s="1875"/>
      <c r="F128" s="1875"/>
      <c r="G128" s="1875"/>
      <c r="H128" s="1875"/>
      <c r="I128" s="117"/>
      <c r="J128" s="1876"/>
      <c r="K128" s="1876"/>
      <c r="L128" s="117"/>
      <c r="M128" s="117"/>
      <c r="N128" s="117"/>
      <c r="O128" s="117"/>
      <c r="P128" s="117"/>
      <c r="Q128" s="117"/>
      <c r="R128" s="117"/>
      <c r="S128" s="117"/>
      <c r="T128" s="353"/>
      <c r="U128" s="355"/>
    </row>
    <row r="129" spans="1:21" ht="12.75">
      <c r="A129" s="117" t="s">
        <v>302</v>
      </c>
      <c r="B129" s="362"/>
      <c r="C129" s="117"/>
      <c r="D129" s="1877" t="s">
        <v>1055</v>
      </c>
      <c r="E129" s="1877"/>
      <c r="F129" s="1877"/>
      <c r="G129" s="1877"/>
      <c r="H129" s="1877"/>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45"/>
      <c r="E131" s="1845"/>
      <c r="F131" s="1845"/>
      <c r="G131" s="1845"/>
      <c r="H131" s="1845"/>
      <c r="I131" s="117"/>
      <c r="J131" s="1845"/>
      <c r="K131" s="1845"/>
      <c r="L131" s="1845"/>
      <c r="M131" s="1845"/>
      <c r="N131" s="117"/>
      <c r="O131" s="117"/>
      <c r="P131" s="117"/>
      <c r="Q131" s="117"/>
      <c r="R131" s="117"/>
      <c r="S131" s="117"/>
      <c r="T131" s="353"/>
      <c r="U131" s="355"/>
    </row>
    <row r="132" spans="1:21" ht="12" customHeight="1">
      <c r="A132" s="365"/>
      <c r="B132" s="117"/>
      <c r="C132" s="117"/>
      <c r="D132" s="1882" t="s">
        <v>1058</v>
      </c>
      <c r="E132" s="1882"/>
      <c r="F132" s="1882"/>
      <c r="G132" s="1882"/>
      <c r="H132" s="1882"/>
      <c r="I132" s="117"/>
      <c r="J132" s="1882" t="s">
        <v>1059</v>
      </c>
      <c r="K132" s="1882"/>
      <c r="L132" s="1882"/>
      <c r="M132" s="188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3"/>
      <c r="B138" s="1875"/>
      <c r="C138" s="1875"/>
      <c r="D138" s="357"/>
      <c r="E138" s="1876"/>
      <c r="F138" s="1876"/>
      <c r="G138" s="117"/>
      <c r="H138" s="117"/>
      <c r="I138" s="117"/>
      <c r="J138" s="117"/>
      <c r="K138" s="117"/>
      <c r="L138" s="117"/>
      <c r="M138" s="117"/>
      <c r="N138" s="117"/>
      <c r="O138" s="117"/>
      <c r="P138" s="117"/>
      <c r="Q138" s="117"/>
      <c r="R138" s="117"/>
      <c r="S138" s="117"/>
      <c r="T138" s="359"/>
      <c r="U138" s="360"/>
    </row>
    <row r="139" spans="1:21" ht="12.75">
      <c r="A139" s="1879" t="s">
        <v>1062</v>
      </c>
      <c r="B139" s="1879"/>
      <c r="C139" s="1879"/>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1" zoomScaleNormal="100" zoomScaleSheetLayoutView="100" workbookViewId="0">
      <selection activeCell="G99" sqref="G99"/>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6" t="s">
        <v>1375</v>
      </c>
      <c r="B1" s="1887"/>
      <c r="C1" s="1887"/>
      <c r="D1" s="1887"/>
      <c r="E1" s="1887"/>
      <c r="F1" s="1887"/>
      <c r="G1" s="1887"/>
      <c r="H1" s="1887"/>
      <c r="I1" s="1887"/>
      <c r="J1" s="188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0</v>
      </c>
      <c r="C4" s="394"/>
      <c r="D4" s="394">
        <f>B4</f>
        <v>0</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115800</v>
      </c>
      <c r="C10" s="394"/>
      <c r="D10" s="394">
        <f>B10</f>
        <v>115800</v>
      </c>
      <c r="E10" s="393">
        <f>'Sources and Uses Budget'!S10</f>
        <v>115800</v>
      </c>
      <c r="F10" s="394"/>
      <c r="G10" s="394">
        <f>E10</f>
        <v>115800</v>
      </c>
      <c r="H10" s="393">
        <f>'Sources and Uses Budget'!T10</f>
        <v>0</v>
      </c>
      <c r="I10" s="394"/>
      <c r="J10" s="394"/>
      <c r="K10" s="391"/>
    </row>
    <row r="11" spans="1:11" s="392" customFormat="1">
      <c r="A11" s="397" t="s">
        <v>606</v>
      </c>
      <c r="B11" s="393">
        <f>'Sources and Uses Budget'!C11</f>
        <v>115800</v>
      </c>
      <c r="C11" s="393">
        <f>SUM(C9:C10)</f>
        <v>0</v>
      </c>
      <c r="D11" s="393">
        <f>SUM(D9:D10)</f>
        <v>115800</v>
      </c>
      <c r="E11" s="395"/>
      <c r="F11" s="395"/>
      <c r="G11" s="395"/>
      <c r="H11" s="393">
        <f>'Sources and Uses Budget'!T11</f>
        <v>0</v>
      </c>
      <c r="I11" s="393">
        <f>SUM(I9:I10)</f>
        <v>0</v>
      </c>
      <c r="J11" s="393">
        <f>SUM(J9:J10)</f>
        <v>0</v>
      </c>
      <c r="K11" s="391"/>
    </row>
    <row r="12" spans="1:11" s="392" customFormat="1">
      <c r="A12" s="397" t="s">
        <v>85</v>
      </c>
      <c r="B12" s="393">
        <f>'Sources and Uses Budget'!C12</f>
        <v>115800</v>
      </c>
      <c r="C12" s="393">
        <f>SUM(C8+C11)</f>
        <v>0</v>
      </c>
      <c r="D12" s="393">
        <f>SUM(D8+D11)</f>
        <v>115800</v>
      </c>
      <c r="E12" s="395"/>
      <c r="F12" s="395"/>
      <c r="G12" s="395"/>
      <c r="H12" s="395"/>
      <c r="I12" s="395"/>
      <c r="J12" s="395"/>
      <c r="K12" s="391"/>
    </row>
    <row r="13" spans="1:11" s="392" customFormat="1">
      <c r="A13" s="398" t="s">
        <v>936</v>
      </c>
      <c r="B13" s="393">
        <f>'Sources and Uses Budget'!C13</f>
        <v>1008694</v>
      </c>
      <c r="C13" s="394"/>
      <c r="D13" s="394">
        <f>B13</f>
        <v>1008694</v>
      </c>
      <c r="E13" s="393">
        <f>'Sources and Uses Budget'!S13</f>
        <v>951500</v>
      </c>
      <c r="F13" s="394"/>
      <c r="G13" s="394">
        <f>E13</f>
        <v>951500</v>
      </c>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f>B18</f>
        <v>0</v>
      </c>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4554837</v>
      </c>
      <c r="C29" s="394"/>
      <c r="D29" s="394">
        <f t="shared" ref="D29:D33" si="0">B29</f>
        <v>4554837</v>
      </c>
      <c r="E29" s="393">
        <f>'Sources and Uses Budget'!S29</f>
        <v>4554837</v>
      </c>
      <c r="F29" s="394"/>
      <c r="G29" s="394">
        <f t="shared" ref="G29:G33" si="1">E29</f>
        <v>4554837</v>
      </c>
      <c r="H29" s="393">
        <f>'Sources and Uses Budget'!T29</f>
        <v>0</v>
      </c>
      <c r="I29" s="394"/>
      <c r="J29" s="394"/>
      <c r="K29" s="391"/>
    </row>
    <row r="30" spans="1:11" s="392" customFormat="1">
      <c r="A30" s="145" t="s">
        <v>609</v>
      </c>
      <c r="B30" s="393">
        <f>'Sources and Uses Budget'!C30</f>
        <v>23889792</v>
      </c>
      <c r="C30" s="394"/>
      <c r="D30" s="394">
        <f t="shared" si="0"/>
        <v>23889792</v>
      </c>
      <c r="E30" s="393">
        <f>'Sources and Uses Budget'!S30</f>
        <v>23889792</v>
      </c>
      <c r="F30" s="394"/>
      <c r="G30" s="394">
        <f t="shared" si="1"/>
        <v>23889792</v>
      </c>
      <c r="H30" s="393">
        <f>'Sources and Uses Budget'!T30</f>
        <v>0</v>
      </c>
      <c r="I30" s="394"/>
      <c r="J30" s="394"/>
      <c r="K30" s="391"/>
    </row>
    <row r="31" spans="1:11" s="392" customFormat="1">
      <c r="A31" s="145" t="s">
        <v>610</v>
      </c>
      <c r="B31" s="393">
        <f>'Sources and Uses Budget'!C31</f>
        <v>1254000</v>
      </c>
      <c r="C31" s="394"/>
      <c r="D31" s="394">
        <f t="shared" si="0"/>
        <v>1254000</v>
      </c>
      <c r="E31" s="393">
        <f>'Sources and Uses Budget'!S31</f>
        <v>1254000</v>
      </c>
      <c r="F31" s="394"/>
      <c r="G31" s="394">
        <f t="shared" si="1"/>
        <v>1254000</v>
      </c>
      <c r="H31" s="393">
        <f>'Sources and Uses Budget'!T31</f>
        <v>0</v>
      </c>
      <c r="I31" s="394"/>
      <c r="J31" s="394"/>
      <c r="K31" s="391"/>
    </row>
    <row r="32" spans="1:11" s="392" customFormat="1">
      <c r="A32" s="145" t="s">
        <v>138</v>
      </c>
      <c r="B32" s="393">
        <f>'Sources and Uses Budget'!C32</f>
        <v>1432480</v>
      </c>
      <c r="C32" s="394"/>
      <c r="D32" s="394">
        <f t="shared" si="0"/>
        <v>1432480</v>
      </c>
      <c r="E32" s="393">
        <f>'Sources and Uses Budget'!S32</f>
        <v>1432480</v>
      </c>
      <c r="F32" s="394"/>
      <c r="G32" s="394">
        <f t="shared" si="1"/>
        <v>1432480</v>
      </c>
      <c r="H32" s="393">
        <f>'Sources and Uses Budget'!T32</f>
        <v>0</v>
      </c>
      <c r="I32" s="394"/>
      <c r="J32" s="394"/>
      <c r="K32" s="391"/>
    </row>
    <row r="33" spans="1:11" s="392" customFormat="1">
      <c r="A33" s="145" t="s">
        <v>139</v>
      </c>
      <c r="B33" s="393">
        <f>'Sources and Uses Budget'!C33</f>
        <v>1432480</v>
      </c>
      <c r="C33" s="394"/>
      <c r="D33" s="394">
        <f t="shared" si="0"/>
        <v>1432480</v>
      </c>
      <c r="E33" s="393">
        <f>'Sources and Uses Budget'!S33</f>
        <v>1432480</v>
      </c>
      <c r="F33" s="394"/>
      <c r="G33" s="394">
        <f t="shared" si="1"/>
        <v>1432480</v>
      </c>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843129</v>
      </c>
      <c r="C35" s="394"/>
      <c r="D35" s="394">
        <f>B35</f>
        <v>843129</v>
      </c>
      <c r="E35" s="393">
        <f>'Sources and Uses Budget'!S35</f>
        <v>843129</v>
      </c>
      <c r="F35" s="394"/>
      <c r="G35" s="394">
        <f>E35</f>
        <v>843129</v>
      </c>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33406718</v>
      </c>
      <c r="C38" s="393">
        <f>SUM(C29:C37)</f>
        <v>0</v>
      </c>
      <c r="D38" s="393">
        <f>SUM(D29:D37)</f>
        <v>33406718</v>
      </c>
      <c r="E38" s="393">
        <f>'Sources and Uses Budget'!S38</f>
        <v>33406718</v>
      </c>
      <c r="F38" s="399">
        <f>SUM(F29:F37)</f>
        <v>0</v>
      </c>
      <c r="G38" s="399">
        <f>SUM(G29:G37)</f>
        <v>33406718</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1794403</v>
      </c>
      <c r="C40" s="394"/>
      <c r="D40" s="394">
        <f>B40</f>
        <v>1794403</v>
      </c>
      <c r="E40" s="393">
        <f>'Sources and Uses Budget'!S40</f>
        <v>1794403</v>
      </c>
      <c r="F40" s="394"/>
      <c r="G40" s="394">
        <f>E40</f>
        <v>1794403</v>
      </c>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1794403</v>
      </c>
      <c r="C42" s="393">
        <f>SUM(C39:C41)</f>
        <v>0</v>
      </c>
      <c r="D42" s="393">
        <f>SUM(D39:D41)</f>
        <v>1794403</v>
      </c>
      <c r="E42" s="393">
        <f>'Sources and Uses Budget'!S42</f>
        <v>1794403</v>
      </c>
      <c r="F42" s="399">
        <f>SUM(F40:F41)</f>
        <v>0</v>
      </c>
      <c r="G42" s="399">
        <f>SUM(G40:G41)</f>
        <v>1794403</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2210293</v>
      </c>
      <c r="C45" s="394"/>
      <c r="D45" s="394">
        <f>B45</f>
        <v>2210293</v>
      </c>
      <c r="E45" s="393">
        <f>'Sources and Uses Budget'!S45</f>
        <v>2210293</v>
      </c>
      <c r="F45" s="394"/>
      <c r="G45" s="394">
        <f>E45</f>
        <v>2210293</v>
      </c>
      <c r="H45" s="393">
        <f>'Sources and Uses Budget'!T45</f>
        <v>0</v>
      </c>
      <c r="I45" s="394"/>
      <c r="J45" s="394"/>
      <c r="K45" s="391"/>
    </row>
    <row r="46" spans="1:11" s="392" customFormat="1">
      <c r="A46" s="396" t="s">
        <v>152</v>
      </c>
      <c r="B46" s="393">
        <f>'Sources and Uses Budget'!C46</f>
        <v>1308228</v>
      </c>
      <c r="C46" s="394"/>
      <c r="D46" s="394">
        <f>B46</f>
        <v>1308228</v>
      </c>
      <c r="E46" s="393">
        <f>'Sources and Uses Budget'!S46</f>
        <v>1308228</v>
      </c>
      <c r="F46" s="394"/>
      <c r="G46" s="394">
        <f>E46</f>
        <v>1308228</v>
      </c>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110000</v>
      </c>
      <c r="C50" s="394"/>
      <c r="D50" s="394">
        <f>B50</f>
        <v>110000</v>
      </c>
      <c r="E50" s="393">
        <f>'Sources and Uses Budget'!S50</f>
        <v>110000</v>
      </c>
      <c r="F50" s="394"/>
      <c r="G50" s="394">
        <f t="shared" ref="G50:G51" si="2">E50</f>
        <v>110000</v>
      </c>
      <c r="H50" s="393">
        <f>'Sources and Uses Budget'!T50</f>
        <v>0</v>
      </c>
      <c r="I50" s="394"/>
      <c r="J50" s="394"/>
      <c r="K50" s="391"/>
    </row>
    <row r="51" spans="1:11" s="392" customFormat="1">
      <c r="A51" s="396" t="s">
        <v>155</v>
      </c>
      <c r="B51" s="393">
        <f>'Sources and Uses Budget'!C51</f>
        <v>48203</v>
      </c>
      <c r="C51" s="394"/>
      <c r="D51" s="394">
        <f>B51</f>
        <v>48203</v>
      </c>
      <c r="E51" s="393">
        <f>'Sources and Uses Budget'!S51</f>
        <v>48203</v>
      </c>
      <c r="F51" s="394"/>
      <c r="G51" s="394">
        <f t="shared" si="2"/>
        <v>48203</v>
      </c>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(Construction Inspection)</v>
      </c>
      <c r="B53" s="393">
        <f>'Sources and Uses Budget'!C53</f>
        <v>28500</v>
      </c>
      <c r="C53" s="394"/>
      <c r="D53" s="394">
        <f>B53</f>
        <v>28500</v>
      </c>
      <c r="E53" s="393">
        <f>'Sources and Uses Budget'!S53</f>
        <v>28500</v>
      </c>
      <c r="F53" s="394"/>
      <c r="G53" s="394">
        <f>E53</f>
        <v>28500</v>
      </c>
      <c r="H53" s="393">
        <f>'Sources and Uses Budget'!T53</f>
        <v>0</v>
      </c>
      <c r="I53" s="394"/>
      <c r="J53" s="394"/>
      <c r="K53" s="391"/>
    </row>
    <row r="54" spans="1:11" s="401" customFormat="1">
      <c r="A54" s="397" t="s">
        <v>158</v>
      </c>
      <c r="B54" s="393">
        <f>'Sources and Uses Budget'!C54</f>
        <v>3705224</v>
      </c>
      <c r="C54" s="399">
        <f>SUM(C45:C53)</f>
        <v>0</v>
      </c>
      <c r="D54" s="399">
        <f>SUM(D45:D53)</f>
        <v>3705224</v>
      </c>
      <c r="E54" s="393">
        <f>'Sources and Uses Budget'!S54</f>
        <v>3705224</v>
      </c>
      <c r="F54" s="399">
        <f>SUM(F45:F53)</f>
        <v>0</v>
      </c>
      <c r="G54" s="399">
        <f>SUM(G45:G53)</f>
        <v>3705224</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1066772</v>
      </c>
      <c r="C56" s="394"/>
      <c r="D56" s="394">
        <f t="shared" ref="D56:D57" si="3">B56</f>
        <v>1066772</v>
      </c>
      <c r="E56" s="395"/>
      <c r="F56" s="395"/>
      <c r="G56" s="395"/>
      <c r="H56" s="395"/>
      <c r="I56" s="395"/>
      <c r="J56" s="395"/>
      <c r="K56" s="391"/>
    </row>
    <row r="57" spans="1:11" s="392" customFormat="1" ht="12" customHeight="1">
      <c r="A57" s="396" t="s">
        <v>153</v>
      </c>
      <c r="B57" s="393">
        <f>'Sources and Uses Budget'!C57</f>
        <v>164500</v>
      </c>
      <c r="C57" s="394"/>
      <c r="D57" s="394">
        <f t="shared" si="3"/>
        <v>164500</v>
      </c>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(Int prior to Conversion)</v>
      </c>
      <c r="B61" s="393">
        <f>'Sources and Uses Budget'!C61</f>
        <v>1774634</v>
      </c>
      <c r="C61" s="394"/>
      <c r="D61" s="394">
        <f>B61</f>
        <v>1774634</v>
      </c>
      <c r="E61" s="395"/>
      <c r="F61" s="395"/>
      <c r="G61" s="395"/>
      <c r="H61" s="395"/>
      <c r="I61" s="395"/>
      <c r="J61" s="395"/>
      <c r="K61" s="391"/>
    </row>
    <row r="62" spans="1:11" s="392" customFormat="1" ht="13.7" customHeight="1">
      <c r="A62" s="397" t="s">
        <v>303</v>
      </c>
      <c r="B62" s="393">
        <f>'Sources and Uses Budget'!C62</f>
        <v>3005906</v>
      </c>
      <c r="C62" s="393">
        <f>SUM(C56:C61)</f>
        <v>0</v>
      </c>
      <c r="D62" s="393">
        <f>SUM(D56:D61)</f>
        <v>3005906</v>
      </c>
      <c r="E62" s="395"/>
      <c r="F62" s="395"/>
      <c r="G62" s="395"/>
      <c r="H62" s="395"/>
      <c r="I62" s="395"/>
      <c r="J62" s="395"/>
      <c r="K62" s="391"/>
    </row>
    <row r="63" spans="1:11" s="392" customFormat="1">
      <c r="A63" s="402" t="s">
        <v>304</v>
      </c>
      <c r="B63" s="393">
        <f>'Sources and Uses Budget'!C63</f>
        <v>43036745</v>
      </c>
      <c r="C63" s="393">
        <f>SUM(C8+C11+C13+C14+C15+C26+C27+C38+C42+C43+C54+C62)</f>
        <v>0</v>
      </c>
      <c r="D63" s="393">
        <f>SUM(D8+D11+D13+D14+D15+D26+D27+D38+D42+D43+D54+D62)</f>
        <v>43036745</v>
      </c>
      <c r="E63" s="393">
        <f>'Sources and Uses Budget'!S63</f>
        <v>39973645</v>
      </c>
      <c r="F63" s="393">
        <f>SUM(F10+F13+F14+F15+F26+F27+F38+F42+F43+F54)</f>
        <v>0</v>
      </c>
      <c r="G63" s="393">
        <f>SUM(G10+G13+G14+G15+G26+G27+G38+G42+G43+G54)</f>
        <v>39973645</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85000</v>
      </c>
      <c r="C65" s="394"/>
      <c r="D65" s="394">
        <f>B65</f>
        <v>85000</v>
      </c>
      <c r="E65" s="393">
        <f>'Sources and Uses Budget'!S65</f>
        <v>0</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85000</v>
      </c>
      <c r="C70" s="393">
        <f>SUM(C64:C69)</f>
        <v>0</v>
      </c>
      <c r="D70" s="393">
        <f>SUM(D64:D69)</f>
        <v>85000</v>
      </c>
      <c r="E70" s="393">
        <f>'Sources and Uses Budget'!S70</f>
        <v>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704241</v>
      </c>
      <c r="C75" s="394"/>
      <c r="D75" s="394">
        <f>B75</f>
        <v>704241</v>
      </c>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704241</v>
      </c>
      <c r="C77" s="393">
        <f>SUM(C72:C76)</f>
        <v>0</v>
      </c>
      <c r="D77" s="393">
        <f>SUM(D72:D76)</f>
        <v>704241</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2450955</v>
      </c>
      <c r="C79" s="394"/>
      <c r="D79" s="394">
        <f t="shared" ref="D79:D80" si="4">B79</f>
        <v>2450955</v>
      </c>
      <c r="E79" s="393">
        <f>'Sources and Uses Budget'!S79</f>
        <v>2450955</v>
      </c>
      <c r="F79" s="394"/>
      <c r="G79" s="394">
        <f t="shared" ref="G79:G80" si="5">E79</f>
        <v>2450955</v>
      </c>
      <c r="H79" s="393">
        <f>'Sources and Uses Budget'!T79</f>
        <v>0</v>
      </c>
      <c r="I79" s="394"/>
      <c r="J79" s="394"/>
      <c r="K79" s="391"/>
    </row>
    <row r="80" spans="1:11" s="392" customFormat="1">
      <c r="A80" s="396" t="s">
        <v>58</v>
      </c>
      <c r="B80" s="393">
        <f>'Sources and Uses Budget'!C80</f>
        <v>401583</v>
      </c>
      <c r="C80" s="394"/>
      <c r="D80" s="394">
        <f t="shared" si="4"/>
        <v>401583</v>
      </c>
      <c r="E80" s="393">
        <f>'Sources and Uses Budget'!S80</f>
        <v>401583</v>
      </c>
      <c r="F80" s="394"/>
      <c r="G80" s="394">
        <f t="shared" si="5"/>
        <v>401583</v>
      </c>
      <c r="H80" s="393">
        <f>'Sources and Uses Budget'!T80</f>
        <v>0</v>
      </c>
      <c r="I80" s="394"/>
      <c r="J80" s="394"/>
      <c r="K80" s="391"/>
    </row>
    <row r="81" spans="1:11" s="392" customFormat="1">
      <c r="A81" s="397" t="s">
        <v>1353</v>
      </c>
      <c r="B81" s="393">
        <f>'Sources and Uses Budget'!C81</f>
        <v>2852538</v>
      </c>
      <c r="C81" s="393">
        <f>SUM(C79:C80)</f>
        <v>0</v>
      </c>
      <c r="D81" s="393">
        <f>SUM(D79:D80)</f>
        <v>2852538</v>
      </c>
      <c r="E81" s="393">
        <f>'Sources and Uses Budget'!S81</f>
        <v>2852538</v>
      </c>
      <c r="F81" s="393">
        <f>SUM(F79:F80)</f>
        <v>0</v>
      </c>
      <c r="G81" s="393">
        <f>SUM(G79:G80)</f>
        <v>2852538</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2515</v>
      </c>
      <c r="B83" s="393">
        <f>'Sources and Uses Budget'!C83</f>
        <v>90243</v>
      </c>
      <c r="C83" s="394"/>
      <c r="D83" s="394">
        <f>B83</f>
        <v>90243</v>
      </c>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3860052</v>
      </c>
      <c r="C85" s="394"/>
      <c r="D85" s="394">
        <f t="shared" ref="D85:D86" si="6">B85</f>
        <v>3860052</v>
      </c>
      <c r="E85" s="393">
        <f>'Sources and Uses Budget'!S85</f>
        <v>3860052</v>
      </c>
      <c r="F85" s="394"/>
      <c r="G85" s="394">
        <f t="shared" ref="G85:G86" si="7">E85</f>
        <v>3860052</v>
      </c>
      <c r="H85" s="393">
        <f>'Sources and Uses Budget'!T85</f>
        <v>0</v>
      </c>
      <c r="I85" s="394"/>
      <c r="J85" s="394"/>
      <c r="K85" s="391"/>
    </row>
    <row r="86" spans="1:11" s="392" customFormat="1">
      <c r="A86" s="145" t="s">
        <v>794</v>
      </c>
      <c r="B86" s="393">
        <f>'Sources and Uses Budget'!C86</f>
        <v>594268</v>
      </c>
      <c r="C86" s="394"/>
      <c r="D86" s="394">
        <f t="shared" si="6"/>
        <v>594268</v>
      </c>
      <c r="E86" s="393">
        <f>'Sources and Uses Budget'!S86</f>
        <v>594268</v>
      </c>
      <c r="F86" s="394"/>
      <c r="G86" s="394">
        <f t="shared" si="7"/>
        <v>594268</v>
      </c>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147500</v>
      </c>
      <c r="C88" s="394"/>
      <c r="D88" s="394">
        <f t="shared" ref="D88:D93" si="8">B88</f>
        <v>147500</v>
      </c>
      <c r="E88" s="395"/>
      <c r="F88" s="395"/>
      <c r="G88" s="395"/>
      <c r="H88" s="395"/>
      <c r="I88" s="395"/>
      <c r="J88" s="395"/>
      <c r="K88" s="391"/>
    </row>
    <row r="89" spans="1:11" s="392" customFormat="1">
      <c r="A89" s="145" t="s">
        <v>797</v>
      </c>
      <c r="B89" s="393">
        <f>'Sources and Uses Budget'!C89</f>
        <v>230750</v>
      </c>
      <c r="C89" s="394"/>
      <c r="D89" s="394">
        <f t="shared" si="8"/>
        <v>230750</v>
      </c>
      <c r="E89" s="393">
        <f>'Sources and Uses Budget'!S89</f>
        <v>230750</v>
      </c>
      <c r="F89" s="394"/>
      <c r="G89" s="394">
        <f t="shared" ref="G89:G93" si="9">E89</f>
        <v>230750</v>
      </c>
      <c r="H89" s="393">
        <f>'Sources and Uses Budget'!T89</f>
        <v>0</v>
      </c>
      <c r="I89" s="394"/>
      <c r="J89" s="394"/>
      <c r="K89" s="391"/>
    </row>
    <row r="90" spans="1:11" s="392" customFormat="1">
      <c r="A90" s="145" t="s">
        <v>798</v>
      </c>
      <c r="B90" s="393">
        <f>'Sources and Uses Budget'!C90</f>
        <v>31500</v>
      </c>
      <c r="C90" s="394"/>
      <c r="D90" s="394">
        <f t="shared" si="8"/>
        <v>31500</v>
      </c>
      <c r="E90" s="393">
        <f>'Sources and Uses Budget'!S90</f>
        <v>31500</v>
      </c>
      <c r="F90" s="394"/>
      <c r="G90" s="394">
        <f t="shared" si="9"/>
        <v>31500</v>
      </c>
      <c r="H90" s="393">
        <f>'Sources and Uses Budget'!T90</f>
        <v>0</v>
      </c>
      <c r="I90" s="394"/>
      <c r="J90" s="394"/>
      <c r="K90" s="391"/>
    </row>
    <row r="91" spans="1:11" s="392" customFormat="1">
      <c r="A91" s="155" t="s">
        <v>374</v>
      </c>
      <c r="B91" s="393">
        <f>'Sources and Uses Budget'!C91</f>
        <v>25000</v>
      </c>
      <c r="C91" s="394"/>
      <c r="D91" s="394">
        <f t="shared" si="8"/>
        <v>25000</v>
      </c>
      <c r="E91" s="393">
        <f>'Sources and Uses Budget'!S91</f>
        <v>25000</v>
      </c>
      <c r="F91" s="394"/>
      <c r="G91" s="394">
        <f t="shared" si="9"/>
        <v>25000</v>
      </c>
      <c r="H91" s="393">
        <f>'Sources and Uses Budget'!T91</f>
        <v>0</v>
      </c>
      <c r="I91" s="394"/>
      <c r="J91" s="394"/>
      <c r="K91" s="391"/>
    </row>
    <row r="92" spans="1:11" s="392" customFormat="1">
      <c r="A92" s="543" t="s">
        <v>1355</v>
      </c>
      <c r="B92" s="393">
        <f>'Sources and Uses Budget'!C92</f>
        <v>10000</v>
      </c>
      <c r="C92" s="394"/>
      <c r="D92" s="394">
        <f t="shared" si="8"/>
        <v>10000</v>
      </c>
      <c r="E92" s="393">
        <f>'Sources and Uses Budget'!S92</f>
        <v>10000</v>
      </c>
      <c r="F92" s="394"/>
      <c r="G92" s="394">
        <f t="shared" si="9"/>
        <v>10000</v>
      </c>
      <c r="H92" s="393">
        <f>'Sources and Uses Budget'!T92</f>
        <v>0</v>
      </c>
      <c r="I92" s="394"/>
      <c r="J92" s="394"/>
      <c r="K92" s="391"/>
    </row>
    <row r="93" spans="1:11" s="392" customFormat="1">
      <c r="A93" s="396" t="str">
        <f>'Sources and Uses Budget'!$A93</f>
        <v>Other: (Development Expense)</v>
      </c>
      <c r="B93" s="393">
        <f>'Sources and Uses Budget'!C93</f>
        <v>254828</v>
      </c>
      <c r="C93" s="394"/>
      <c r="D93" s="394">
        <f t="shared" si="8"/>
        <v>254828</v>
      </c>
      <c r="E93" s="393">
        <f>'Sources and Uses Budget'!S93</f>
        <v>254828</v>
      </c>
      <c r="F93" s="394"/>
      <c r="G93" s="394">
        <f t="shared" si="9"/>
        <v>254828</v>
      </c>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5244141</v>
      </c>
      <c r="C96" s="393">
        <f>SUM(C83:C95)</f>
        <v>0</v>
      </c>
      <c r="D96" s="393">
        <f>SUM(D83:D95)</f>
        <v>5244141</v>
      </c>
      <c r="E96" s="393">
        <f>'Sources and Uses Budget'!S96</f>
        <v>5006398</v>
      </c>
      <c r="F96" s="399">
        <f>SUM(F84:F87,F89:F95)</f>
        <v>0</v>
      </c>
      <c r="G96" s="399">
        <f>SUM(G84:G87,G89:G95)</f>
        <v>5006398</v>
      </c>
      <c r="H96" s="393">
        <f>'Sources and Uses Budget'!T96</f>
        <v>0</v>
      </c>
      <c r="I96" s="393">
        <f>SUM(I84:I87,I89:I95)</f>
        <v>0</v>
      </c>
      <c r="J96" s="393">
        <f>SUM(J84:J87,J89:J95)</f>
        <v>0</v>
      </c>
      <c r="K96" s="391"/>
    </row>
    <row r="97" spans="1:11" s="392" customFormat="1">
      <c r="A97" s="397" t="s">
        <v>1091</v>
      </c>
      <c r="B97" s="393">
        <f>'Sources and Uses Budget'!C97</f>
        <v>51922665</v>
      </c>
      <c r="C97" s="393">
        <f>SUM(C63+C70+C77+C81+C96)</f>
        <v>0</v>
      </c>
      <c r="D97" s="393">
        <f>SUM(D63+D70+D77+D81+D96)</f>
        <v>51922665</v>
      </c>
      <c r="E97" s="393">
        <f>'Sources and Uses Budget'!S97</f>
        <v>47832581</v>
      </c>
      <c r="F97" s="399">
        <f>SUM(+F63+F70+F81+F96)</f>
        <v>0</v>
      </c>
      <c r="G97" s="399">
        <f>SUM(+G63+G70+G81+G96)</f>
        <v>47832581</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7174887</v>
      </c>
      <c r="C99" s="394"/>
      <c r="D99" s="394">
        <f>B99</f>
        <v>7174887</v>
      </c>
      <c r="E99" s="393">
        <f>'Sources and Uses Budget'!S99</f>
        <v>7174887</v>
      </c>
      <c r="F99" s="394"/>
      <c r="G99" s="394">
        <f>E99</f>
        <v>7174887</v>
      </c>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7174887</v>
      </c>
      <c r="C104" s="393">
        <f>SUM(C99:C103)</f>
        <v>0</v>
      </c>
      <c r="D104" s="393">
        <f>SUM(D99:D103)</f>
        <v>7174887</v>
      </c>
      <c r="E104" s="393">
        <f>'Sources and Uses Budget'!S104</f>
        <v>7174887</v>
      </c>
      <c r="F104" s="399">
        <f>SUM(F99:F103)</f>
        <v>0</v>
      </c>
      <c r="G104" s="399">
        <f>SUM(G99:G103)</f>
        <v>7174887</v>
      </c>
      <c r="H104" s="393">
        <f>'Sources and Uses Budget'!T104</f>
        <v>0</v>
      </c>
      <c r="I104" s="399">
        <f>SUM(I99:I103)</f>
        <v>0</v>
      </c>
      <c r="J104" s="399">
        <f>SUM(J99:J103)</f>
        <v>0</v>
      </c>
      <c r="K104" s="391"/>
    </row>
    <row r="105" spans="1:11" s="392" customFormat="1">
      <c r="A105" s="397" t="s">
        <v>1092</v>
      </c>
      <c r="B105" s="393">
        <f>'Sources and Uses Budget'!C105</f>
        <v>59097552</v>
      </c>
      <c r="C105" s="399">
        <f>SUM(C97+C104)</f>
        <v>0</v>
      </c>
      <c r="D105" s="399">
        <f>SUM(D97+D104)</f>
        <v>59097552</v>
      </c>
      <c r="E105" s="393">
        <f>'Sources and Uses Budget'!S105</f>
        <v>55007468</v>
      </c>
      <c r="F105" s="399">
        <f>F97+F104</f>
        <v>0</v>
      </c>
      <c r="G105" s="399">
        <f>G97+G104</f>
        <v>55007468</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55007468</v>
      </c>
      <c r="F107" s="399">
        <f>F105+F106</f>
        <v>0</v>
      </c>
      <c r="G107" s="399">
        <f>G105+G106</f>
        <v>55007468</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4"/>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5"/>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595" zoomScaleNormal="100" zoomScaleSheetLayoutView="100" workbookViewId="0">
      <selection activeCell="B109" sqref="B109:C10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1" t="s">
        <v>1473</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1" customFormat="1" ht="12.75"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5" t="s">
        <v>1478</v>
      </c>
      <c r="AF7" s="1905"/>
      <c r="AG7" s="1905"/>
      <c r="AH7" s="1905"/>
      <c r="AI7" s="1905"/>
      <c r="AJ7" s="1905"/>
      <c r="AK7" s="1905"/>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95" t="s">
        <v>601</v>
      </c>
      <c r="C13" s="1895"/>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23"/>
      <c r="AH13" s="1923"/>
      <c r="AI13" s="1923"/>
      <c r="AJ13" s="192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95" t="s">
        <v>601</v>
      </c>
      <c r="C16" s="1895"/>
      <c r="D16" s="582"/>
      <c r="E16" s="1906" t="s">
        <v>1480</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5"/>
      <c r="AL16" s="575"/>
      <c r="AM16" s="575"/>
      <c r="AN16" s="570"/>
      <c r="AO16" s="585">
        <f>IF($B25="yes",20,0)</f>
        <v>0</v>
      </c>
      <c r="AP16" s="14"/>
    </row>
    <row r="17" spans="1:42" s="571" customFormat="1" ht="12.75" customHeight="1">
      <c r="A17" s="575"/>
      <c r="B17" s="575"/>
      <c r="C17" s="575"/>
      <c r="D17" s="586"/>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5"/>
      <c r="AL17" s="575"/>
      <c r="AM17" s="575"/>
      <c r="AN17" s="570"/>
      <c r="AO17" s="571">
        <f>IF(SUM(AO13:AO16)&gt;20,20,(SUM(AO13:AO16)))</f>
        <v>0</v>
      </c>
      <c r="AP17" s="571" t="s">
        <v>1481</v>
      </c>
    </row>
    <row r="18" spans="1:42" s="571" customFormat="1" ht="12.75" customHeight="1">
      <c r="A18" s="575"/>
      <c r="B18" s="575"/>
      <c r="C18" s="575"/>
      <c r="D18" s="586"/>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95" t="s">
        <v>601</v>
      </c>
      <c r="C22" s="1895"/>
      <c r="D22" s="582"/>
      <c r="E22" s="1928" t="s">
        <v>1483</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5"/>
      <c r="AL22" s="575"/>
      <c r="AM22" s="575"/>
      <c r="AN22" s="570"/>
      <c r="AO22" s="571">
        <f>IF(SUM(AO20:AO21)&gt;14,14,SUM(AO20:AO21))</f>
        <v>0</v>
      </c>
      <c r="AP22" s="571" t="s">
        <v>1481</v>
      </c>
    </row>
    <row r="23" spans="1:42" s="571" customFormat="1" ht="12.75" customHeight="1">
      <c r="A23" s="575"/>
      <c r="B23" s="575"/>
      <c r="C23" s="575"/>
      <c r="D23" s="585"/>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95" t="s">
        <v>601</v>
      </c>
      <c r="C25" s="1895"/>
      <c r="D25" s="582"/>
      <c r="E25" s="1896" t="s">
        <v>2432</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5"/>
      <c r="AL25" s="575"/>
      <c r="AM25" s="575"/>
      <c r="AN25" s="570"/>
      <c r="AO25" s="571">
        <f>IF(AO24&gt;6,6,AO24)</f>
        <v>0</v>
      </c>
      <c r="AP25" s="571" t="s">
        <v>1481</v>
      </c>
    </row>
    <row r="26" spans="1:42" s="571" customFormat="1" ht="12.75" customHeight="1">
      <c r="A26" s="575"/>
      <c r="B26" s="575"/>
      <c r="C26" s="575"/>
      <c r="D26" s="585"/>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95" t="s">
        <v>601</v>
      </c>
      <c r="C30" s="1895"/>
      <c r="D30" s="582"/>
      <c r="E30" s="1928" t="s">
        <v>2404</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5"/>
      <c r="AL30" s="575"/>
      <c r="AM30" s="575"/>
      <c r="AN30" s="570"/>
      <c r="AO30" s="585"/>
    </row>
    <row r="31" spans="1:42" s="571" customFormat="1" ht="12.75" customHeight="1">
      <c r="A31" s="575"/>
      <c r="B31" s="575"/>
      <c r="C31" s="575"/>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95" t="s">
        <v>601</v>
      </c>
      <c r="C33" s="1895"/>
      <c r="D33" s="582"/>
      <c r="E33" s="1896" t="s">
        <v>2405</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5"/>
      <c r="AL33" s="575"/>
      <c r="AM33" s="575"/>
      <c r="AN33" s="570"/>
    </row>
    <row r="34" spans="1:41" s="571" customFormat="1" ht="12.75" customHeight="1">
      <c r="A34" s="575"/>
      <c r="B34" s="575"/>
      <c r="C34" s="575"/>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5"/>
      <c r="AL34" s="575"/>
      <c r="AM34" s="575"/>
      <c r="AN34" s="570"/>
    </row>
    <row r="35" spans="1:41" s="571" customFormat="1" ht="12.75" customHeight="1">
      <c r="A35" s="575"/>
      <c r="B35" s="575"/>
      <c r="C35" s="575"/>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95" t="s">
        <v>601</v>
      </c>
      <c r="C39" s="1895"/>
      <c r="D39" s="1195"/>
      <c r="E39" s="1896" t="s">
        <v>2406</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95"/>
      <c r="AL39" s="575"/>
      <c r="AM39" s="575"/>
      <c r="AN39" s="570"/>
    </row>
    <row r="40" spans="1:41" s="571" customFormat="1" ht="12.75" customHeight="1">
      <c r="A40" s="575"/>
      <c r="B40" s="575"/>
      <c r="C40" s="575"/>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5"/>
      <c r="AL40" s="575"/>
      <c r="AM40" s="575"/>
      <c r="AN40" s="570"/>
    </row>
    <row r="41" spans="1:41" s="571" customFormat="1" ht="12.75" customHeight="1">
      <c r="A41" s="575"/>
      <c r="D41" s="582"/>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95" t="s">
        <v>601</v>
      </c>
      <c r="C46" s="1895"/>
      <c r="D46" s="575"/>
      <c r="E46" s="1896" t="s">
        <v>2411</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5"/>
      <c r="AL46" s="575"/>
      <c r="AM46" s="575"/>
      <c r="AN46" s="570"/>
      <c r="AO46" s="594"/>
    </row>
    <row r="47" spans="1:41" s="571" customFormat="1" ht="12.75" customHeight="1">
      <c r="A47" s="575"/>
      <c r="D47" s="582"/>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5"/>
      <c r="AL47" s="575"/>
      <c r="AM47" s="575"/>
      <c r="AN47" s="570"/>
      <c r="AO47" s="594"/>
    </row>
    <row r="48" spans="1:41" s="571" customFormat="1" ht="12.75" customHeight="1">
      <c r="A48" s="575"/>
      <c r="D48" s="575"/>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95" t="s">
        <v>601</v>
      </c>
      <c r="C50" s="1895"/>
      <c r="D50" s="575"/>
      <c r="E50" s="1916" t="s">
        <v>2412</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95" t="s">
        <v>601</v>
      </c>
      <c r="C52" s="1895"/>
      <c r="D52" s="575"/>
      <c r="E52" s="1896" t="s">
        <v>2413</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5"/>
      <c r="AL52" s="575"/>
      <c r="AM52" s="575"/>
      <c r="AN52" s="570"/>
    </row>
    <row r="53" spans="1:50" s="571" customFormat="1" ht="12.75" customHeight="1">
      <c r="A53" s="575"/>
      <c r="B53" s="582"/>
      <c r="C53" s="582"/>
      <c r="D53" s="582"/>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25">
        <f>AO36</f>
        <v>0</v>
      </c>
      <c r="AL56" s="1926"/>
      <c r="AM56" s="192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5" t="s">
        <v>1487</v>
      </c>
      <c r="AF59" s="1905"/>
      <c r="AG59" s="1905"/>
      <c r="AH59" s="1905"/>
      <c r="AI59" s="1905"/>
      <c r="AJ59" s="1905"/>
      <c r="AK59" s="1905"/>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95" t="s">
        <v>555</v>
      </c>
      <c r="C62" s="1895"/>
      <c r="D62" s="582" t="s">
        <v>1488</v>
      </c>
      <c r="E62" s="1906" t="s">
        <v>2414</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8"/>
      <c r="AL62" s="575"/>
      <c r="AM62" s="575"/>
      <c r="AN62" s="570"/>
      <c r="AO62" s="585">
        <f>IF($B62="yes",10,0)</f>
        <v>10</v>
      </c>
    </row>
    <row r="63" spans="1:50" s="571" customFormat="1" ht="12.75" customHeight="1">
      <c r="A63" s="573"/>
      <c r="B63" s="575"/>
      <c r="C63" s="575"/>
      <c r="D63" s="586"/>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8"/>
      <c r="AL63" s="575"/>
      <c r="AM63" s="575"/>
      <c r="AN63" s="570"/>
      <c r="AO63" s="585">
        <f>IF($B68="yes",10,0)</f>
        <v>0</v>
      </c>
    </row>
    <row r="64" spans="1:50" s="571" customFormat="1" ht="12.75" customHeight="1">
      <c r="A64" s="573"/>
      <c r="B64" s="575"/>
      <c r="C64" s="575"/>
      <c r="D64" s="586"/>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8"/>
      <c r="AL64" s="575"/>
      <c r="AM64" s="575"/>
      <c r="AN64" s="570"/>
      <c r="AO64" s="585">
        <f>IF($B75="yes",10,0)</f>
        <v>0</v>
      </c>
    </row>
    <row r="65" spans="1:42" s="571" customFormat="1" ht="12.75" customHeight="1">
      <c r="A65" s="573"/>
      <c r="B65" s="575"/>
      <c r="C65" s="575"/>
      <c r="D65" s="586"/>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8"/>
      <c r="AL65" s="575"/>
      <c r="AM65" s="575"/>
      <c r="AN65" s="570"/>
      <c r="AO65" s="571">
        <f>IF(SUM(AO62:AO64)&gt;10,10,(SUM(AO62:AO64)))</f>
        <v>10</v>
      </c>
      <c r="AP65" s="609" t="s">
        <v>1489</v>
      </c>
    </row>
    <row r="66" spans="1:42" s="571" customFormat="1" ht="12.75" customHeight="1">
      <c r="A66" s="573"/>
      <c r="B66" s="575"/>
      <c r="C66" s="575"/>
      <c r="D66" s="586"/>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95" t="s">
        <v>601</v>
      </c>
      <c r="C68" s="1895"/>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15" t="s">
        <v>601</v>
      </c>
      <c r="F69" s="1895"/>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93" t="s">
        <v>601</v>
      </c>
      <c r="F70" s="1894"/>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93" t="s">
        <v>601</v>
      </c>
      <c r="F71" s="1894"/>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15" t="s">
        <v>601</v>
      </c>
      <c r="F73" s="1895"/>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95" t="s">
        <v>601</v>
      </c>
      <c r="C75" s="1895"/>
      <c r="D75" s="582" t="s">
        <v>1493</v>
      </c>
      <c r="E75" s="1896" t="s">
        <v>2001</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8"/>
      <c r="AL75" s="575"/>
      <c r="AM75" s="575"/>
      <c r="AN75" s="570"/>
    </row>
    <row r="76" spans="1:42" s="571" customFormat="1" ht="12.75" customHeight="1">
      <c r="A76" s="573"/>
      <c r="B76" s="575"/>
      <c r="C76" s="575"/>
      <c r="D76" s="585"/>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25">
        <f>IF(AK56&gt;0,0,AO65)</f>
        <v>10</v>
      </c>
      <c r="AL78" s="1926"/>
      <c r="AM78" s="192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5" t="s">
        <v>1478</v>
      </c>
      <c r="AF81" s="1905"/>
      <c r="AG81" s="1905"/>
      <c r="AH81" s="1905"/>
      <c r="AI81" s="1905"/>
      <c r="AJ81" s="1905"/>
      <c r="AK81" s="1905"/>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95" t="s">
        <v>601</v>
      </c>
      <c r="C84" s="1895"/>
      <c r="D84" s="582" t="s">
        <v>1488</v>
      </c>
      <c r="E84" s="1906" t="s">
        <v>1498</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8"/>
      <c r="AL84" s="575"/>
      <c r="AM84" s="575"/>
      <c r="AN84" s="570"/>
    </row>
    <row r="85" spans="1:43" s="571" customFormat="1" ht="12.75" customHeight="1">
      <c r="A85" s="573"/>
      <c r="B85" s="574"/>
      <c r="C85" s="574"/>
      <c r="D85" s="574"/>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9">
        <f>Application!AC739</f>
        <v>0.60000000000000009</v>
      </c>
      <c r="F87" s="1890"/>
      <c r="G87" s="1890"/>
      <c r="H87" s="1890"/>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91">
        <f>0.6-ROUNDUP(E87,2)</f>
        <v>0</v>
      </c>
      <c r="F88" s="1892"/>
      <c r="G88" s="1892"/>
      <c r="H88" s="1892"/>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9">
        <f>IF(E88*200&gt;20,20,E88*200)</f>
        <v>0</v>
      </c>
      <c r="F89" s="1920"/>
      <c r="G89" s="1920"/>
      <c r="H89" s="1920"/>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95" t="s">
        <v>555</v>
      </c>
      <c r="C92" s="1895"/>
      <c r="D92" s="582" t="s">
        <v>1490</v>
      </c>
      <c r="E92" s="1906" t="s">
        <v>1986</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8"/>
      <c r="AL92" s="575"/>
      <c r="AM92" s="575"/>
      <c r="AN92" s="570"/>
    </row>
    <row r="93" spans="1:43" s="571" customFormat="1" ht="12.75" customHeight="1">
      <c r="A93" s="573"/>
      <c r="B93" s="574"/>
      <c r="C93" s="574"/>
      <c r="D93" s="574"/>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8"/>
      <c r="AL93" s="575"/>
      <c r="AM93" s="575"/>
      <c r="AN93" s="570"/>
    </row>
    <row r="94" spans="1:43" s="571" customFormat="1" ht="12.75" customHeight="1">
      <c r="A94" s="573"/>
      <c r="B94" s="574"/>
      <c r="C94" s="574"/>
      <c r="D94" s="574"/>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8"/>
      <c r="AL94" s="575"/>
      <c r="AM94" s="575"/>
      <c r="AN94" s="570"/>
    </row>
    <row r="95" spans="1:43" s="571" customFormat="1" ht="12.75" customHeight="1">
      <c r="A95" s="573"/>
      <c r="B95" s="574"/>
      <c r="C95" s="574"/>
      <c r="D95" s="574"/>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9">
        <f>Application!AC739</f>
        <v>0.60000000000000009</v>
      </c>
      <c r="F97" s="1890"/>
      <c r="G97" s="1890"/>
      <c r="H97" s="1890"/>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9">
        <f ca="1">SUMIF(Application!AC714:AG738,0.2,Application!G714:J738)/Application!G739+SUMIF(Application!AC714:AG738,0.25,Application!G714:J738)/Application!G739+SUMIF(Application!AC714:AG738,0.3,Application!G714:J738)/Application!G739</f>
        <v>0.10365853658536585</v>
      </c>
      <c r="F98" s="1890"/>
      <c r="G98" s="1890"/>
      <c r="H98" s="1890"/>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9">
        <f ca="1">SUMIF(Application!AC714:AG738,0.35,Application!G714:J738)/Application!G739+SUMIF(Application!AC714:AG738,0.4,Application!G714:J738)/Application!G739+SUMIF(Application!AC714:AG738,0.45,Application!G714:J738)/Application!G739+SUMIF(Application!AC714:AG738,0.5,Application!G714:J738)/Application!G739</f>
        <v>0.1951219512195122</v>
      </c>
      <c r="F99" s="1890"/>
      <c r="G99" s="1890"/>
      <c r="H99" s="1890"/>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44">
        <f ca="1">IF(AND(E97&lt;=0.6,E98&gt;=0.1,OR(E99&gt;=0.1,E98&gt;=0.2)),20,0)</f>
        <v>20</v>
      </c>
      <c r="F100" s="1945"/>
      <c r="G100" s="1945"/>
      <c r="H100" s="194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25">
        <f ca="1">MAX(AP89,AP100)</f>
        <v>20</v>
      </c>
      <c r="AL103" s="1926"/>
      <c r="AM103" s="192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5" t="s">
        <v>1487</v>
      </c>
      <c r="AF106" s="1905"/>
      <c r="AG106" s="1905"/>
      <c r="AH106" s="1905"/>
      <c r="AI106" s="1905"/>
      <c r="AJ106" s="1905"/>
      <c r="AK106" s="1905"/>
      <c r="AL106" s="575"/>
      <c r="AM106" s="575"/>
      <c r="AN106" s="570"/>
      <c r="AO106" s="571" t="str">
        <f>Application!B714</f>
        <v>1 Bedroom</v>
      </c>
      <c r="AQ106" s="571">
        <f>Application!O714</f>
        <v>681</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1189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1443</v>
      </c>
    </row>
    <row r="109" spans="1:49" s="571" customFormat="1" ht="12.75" customHeight="1">
      <c r="A109" s="575"/>
      <c r="B109" s="1895" t="s">
        <v>555</v>
      </c>
      <c r="C109" s="1895"/>
      <c r="D109" s="582" t="s">
        <v>1488</v>
      </c>
      <c r="E109" s="1906" t="s">
        <v>2121</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5"/>
      <c r="AL109" s="575"/>
      <c r="AM109" s="575"/>
      <c r="AN109" s="570"/>
      <c r="AO109" s="571" t="str">
        <f>Application!B717</f>
        <v>1 Bedroom</v>
      </c>
      <c r="AQ109" s="571">
        <f>Application!O717</f>
        <v>1697</v>
      </c>
      <c r="AU109" s="571" t="s">
        <v>2103</v>
      </c>
      <c r="AV109" s="630" t="s">
        <v>2104</v>
      </c>
      <c r="AW109" s="571" t="s">
        <v>2105</v>
      </c>
    </row>
    <row r="110" spans="1:49" s="571" customFormat="1" ht="12.75" customHeight="1">
      <c r="A110" s="575"/>
      <c r="B110" s="574"/>
      <c r="C110" s="574"/>
      <c r="D110" s="574"/>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5"/>
      <c r="AL110" s="575"/>
      <c r="AM110" s="575"/>
      <c r="AN110" s="570"/>
      <c r="AO110" s="571" t="str">
        <f>Application!B718</f>
        <v>2 Bedrooms</v>
      </c>
      <c r="AQ110" s="571">
        <f>Application!O718</f>
        <v>805</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5"/>
      <c r="AL111" s="575"/>
      <c r="AM111" s="575"/>
      <c r="AN111" s="570"/>
      <c r="AO111" s="571" t="str">
        <f>Application!B719</f>
        <v>2 Bedrooms</v>
      </c>
      <c r="AQ111" s="571">
        <f>Application!O719</f>
        <v>1415</v>
      </c>
      <c r="AU111" s="892" t="str">
        <f>J118</f>
        <v>1-bedroom</v>
      </c>
      <c r="AV111" s="571">
        <f t="array" ref="AV111">SUM(IF(Application!B714:F738="1 Bedroom",Application!G714:J738))</f>
        <v>111</v>
      </c>
      <c r="AW111" s="1048">
        <f>AV111/AV116</f>
        <v>0.67682926829268297</v>
      </c>
    </row>
    <row r="112" spans="1:49" s="571" customFormat="1" ht="12.75" customHeight="1">
      <c r="A112" s="575"/>
      <c r="B112" s="574"/>
      <c r="C112" s="574"/>
      <c r="D112" s="574"/>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5"/>
      <c r="AL112" s="575"/>
      <c r="AM112" s="575"/>
      <c r="AN112" s="570"/>
      <c r="AO112" s="571" t="str">
        <f>Application!B720</f>
        <v>2 Bedrooms</v>
      </c>
      <c r="AQ112" s="571">
        <f>Application!O720</f>
        <v>1720</v>
      </c>
      <c r="AU112" s="892" t="str">
        <f>O118</f>
        <v>2-bedroom</v>
      </c>
      <c r="AV112" s="571">
        <f t="array" ref="AV112">SUM(IF(Application!B714:F738="2 Bedrooms",Application!G714:J738))</f>
        <v>53</v>
      </c>
      <c r="AW112" s="1048">
        <f>AV112/AV116</f>
        <v>0.32317073170731708</v>
      </c>
    </row>
    <row r="113" spans="1:52" s="571" customFormat="1" ht="12.75" customHeight="1">
      <c r="A113" s="575"/>
      <c r="B113" s="574"/>
      <c r="C113" s="574"/>
      <c r="D113" s="574"/>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5"/>
      <c r="AL113" s="575"/>
      <c r="AM113" s="575"/>
      <c r="AN113" s="570"/>
      <c r="AO113" s="571" t="str">
        <f>Application!B721</f>
        <v>2 Bedrooms</v>
      </c>
      <c r="AQ113" s="571">
        <f>Application!O721</f>
        <v>2025</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5"/>
      <c r="AL116" s="575"/>
      <c r="AM116" s="575"/>
      <c r="AN116" s="570"/>
      <c r="AO116" s="571">
        <f>Application!B724</f>
        <v>0</v>
      </c>
      <c r="AQ116" s="571">
        <f>Application!O724</f>
        <v>0</v>
      </c>
      <c r="AV116" s="571">
        <f>SUM(AV110:AV115)</f>
        <v>164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89" t="s">
        <v>1766</v>
      </c>
      <c r="F118" s="1890"/>
      <c r="G118" s="1890"/>
      <c r="H118" s="1890"/>
      <c r="I118" s="612"/>
      <c r="J118" s="1890" t="s">
        <v>1811</v>
      </c>
      <c r="K118" s="1890"/>
      <c r="L118" s="1890"/>
      <c r="M118" s="1890"/>
      <c r="N118" s="612"/>
      <c r="O118" s="1890" t="s">
        <v>1812</v>
      </c>
      <c r="P118" s="1890"/>
      <c r="Q118" s="1890"/>
      <c r="R118" s="1890"/>
      <c r="S118" s="612"/>
      <c r="T118" s="1890" t="s">
        <v>1507</v>
      </c>
      <c r="U118" s="1890"/>
      <c r="V118" s="1890"/>
      <c r="W118" s="1890"/>
      <c r="X118" s="612"/>
      <c r="Y118" s="1890" t="s">
        <v>1813</v>
      </c>
      <c r="Z118" s="1890"/>
      <c r="AA118" s="1890"/>
      <c r="AB118" s="1890"/>
      <c r="AC118" s="612"/>
      <c r="AD118" s="1890" t="s">
        <v>1814</v>
      </c>
      <c r="AE118" s="1890"/>
      <c r="AF118" s="1890"/>
      <c r="AG118" s="189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46"/>
      <c r="F121" s="1947"/>
      <c r="G121" s="1947"/>
      <c r="H121" s="1947"/>
      <c r="I121" s="900"/>
      <c r="J121" s="1947">
        <v>2244</v>
      </c>
      <c r="K121" s="1947"/>
      <c r="L121" s="1947"/>
      <c r="M121" s="1947"/>
      <c r="N121" s="900"/>
      <c r="O121" s="1947">
        <v>2781</v>
      </c>
      <c r="P121" s="1947"/>
      <c r="Q121" s="1947"/>
      <c r="R121" s="1947"/>
      <c r="S121" s="900"/>
      <c r="T121" s="1947"/>
      <c r="U121" s="1947"/>
      <c r="V121" s="1947"/>
      <c r="W121" s="1947"/>
      <c r="X121" s="900"/>
      <c r="Y121" s="1947"/>
      <c r="Z121" s="1947"/>
      <c r="AA121" s="1947"/>
      <c r="AB121" s="1947"/>
      <c r="AC121" s="900"/>
      <c r="AD121" s="1947"/>
      <c r="AE121" s="1947"/>
      <c r="AF121" s="1947"/>
      <c r="AG121" s="194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9">
        <f>Application!DX649</f>
        <v>0</v>
      </c>
      <c r="F124" s="1940"/>
      <c r="G124" s="1940"/>
      <c r="H124" s="1940"/>
      <c r="I124" s="900"/>
      <c r="J124" s="1940">
        <f>Application!EC649</f>
        <v>1445.2882882882882</v>
      </c>
      <c r="K124" s="1940"/>
      <c r="L124" s="1940"/>
      <c r="M124" s="1940"/>
      <c r="N124" s="900"/>
      <c r="O124" s="1940">
        <f>Application!EH649</f>
        <v>1714.2452830188679</v>
      </c>
      <c r="P124" s="1940"/>
      <c r="Q124" s="1940"/>
      <c r="R124" s="1940"/>
      <c r="S124" s="904"/>
      <c r="T124" s="1940">
        <f>Application!EM649</f>
        <v>0</v>
      </c>
      <c r="U124" s="1940"/>
      <c r="V124" s="1940"/>
      <c r="W124" s="1940"/>
      <c r="X124" s="904"/>
      <c r="Y124" s="1940">
        <f>Application!ER649</f>
        <v>0</v>
      </c>
      <c r="Z124" s="1940"/>
      <c r="AA124" s="1940"/>
      <c r="AB124" s="1940"/>
      <c r="AC124" s="904"/>
      <c r="AD124" s="1940">
        <f>Application!EW649</f>
        <v>0</v>
      </c>
      <c r="AE124" s="1940"/>
      <c r="AF124" s="1940"/>
      <c r="AG124" s="194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32" t="e">
        <f>(E121-E124)/E121</f>
        <v>#DIV/0!</v>
      </c>
      <c r="F127" s="1892"/>
      <c r="G127" s="1892"/>
      <c r="H127" s="2133"/>
      <c r="I127" s="612"/>
      <c r="J127" s="2132">
        <f>(J121-J124)/J121</f>
        <v>0.35593213534390011</v>
      </c>
      <c r="K127" s="1892"/>
      <c r="L127" s="1892"/>
      <c r="M127" s="2133"/>
      <c r="N127" s="612"/>
      <c r="O127" s="2132">
        <f>(O121-O124)/O121</f>
        <v>0.38358673749771022</v>
      </c>
      <c r="P127" s="1892"/>
      <c r="Q127" s="1892"/>
      <c r="R127" s="2133"/>
      <c r="S127" s="612"/>
      <c r="T127" s="2132" t="e">
        <f>(T121-T124)/T121</f>
        <v>#DIV/0!</v>
      </c>
      <c r="U127" s="1892"/>
      <c r="V127" s="1892"/>
      <c r="W127" s="2133"/>
      <c r="X127" s="612"/>
      <c r="Y127" s="2132" t="e">
        <f>(Y121-Y124)/Y121</f>
        <v>#DIV/0!</v>
      </c>
      <c r="Z127" s="1892"/>
      <c r="AA127" s="1892"/>
      <c r="AB127" s="2133"/>
      <c r="AC127" s="612"/>
      <c r="AD127" s="2132" t="e">
        <f>(AD121-AD124)/AD121</f>
        <v>#DIV/0!</v>
      </c>
      <c r="AE127" s="1892"/>
      <c r="AF127" s="1892"/>
      <c r="AG127" s="213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41" t="e">
        <f>IF(((E127-0.1)*AW110)&gt;0,((E127-0.1)*AW110),0)</f>
        <v>#DIV/0!</v>
      </c>
      <c r="F130" s="1942"/>
      <c r="G130" s="1942"/>
      <c r="H130" s="1943"/>
      <c r="I130" s="612"/>
      <c r="J130" s="1941">
        <f>IF(((J127-0.1)*AW111)&gt;0,((J127-0.1)*AW111),0)</f>
        <v>0.17322235989739584</v>
      </c>
      <c r="K130" s="1942"/>
      <c r="L130" s="1942"/>
      <c r="M130" s="1943"/>
      <c r="N130" s="612"/>
      <c r="O130" s="1941">
        <f>IF(((O127-0.1)*AW112)&gt;0,((O127-0.1)*AW112),0)</f>
        <v>9.1646933459625879E-2</v>
      </c>
      <c r="P130" s="1942"/>
      <c r="Q130" s="1942"/>
      <c r="R130" s="1943"/>
      <c r="S130" s="612"/>
      <c r="T130" s="1941" t="e">
        <f>IF(((T127-0.1)*AW113)&gt;0,((T127-0.1)*AW113),0)</f>
        <v>#DIV/0!</v>
      </c>
      <c r="U130" s="1942"/>
      <c r="V130" s="1942"/>
      <c r="W130" s="1943"/>
      <c r="X130" s="612"/>
      <c r="Y130" s="1941" t="e">
        <f>IF(((Y127-0.1)*AW114)&gt;0,((Y127-0.1)*AW114),0)</f>
        <v>#DIV/0!</v>
      </c>
      <c r="Z130" s="1942"/>
      <c r="AA130" s="1942"/>
      <c r="AB130" s="1943"/>
      <c r="AC130" s="612"/>
      <c r="AD130" s="1941" t="e">
        <f>IF(((AD127-0.1)*AW115)&gt;0,((AD127-0.1)*AW115),0)</f>
        <v>#DIV/0!</v>
      </c>
      <c r="AE130" s="1942"/>
      <c r="AF130" s="1942"/>
      <c r="AG130" s="194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32">
        <f>ROUNDDOWN(SUMIF(E130:AG130,"&gt;0"),2)</f>
        <v>0.26</v>
      </c>
      <c r="F132" s="1892"/>
      <c r="G132" s="1892"/>
      <c r="H132" s="2133"/>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25">
        <f>IF((E132*100)&gt;10,10,E132*100)</f>
        <v>10</v>
      </c>
      <c r="F133" s="1926"/>
      <c r="G133" s="1926"/>
      <c r="H133" s="1927"/>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25">
        <f>E133</f>
        <v>10</v>
      </c>
      <c r="AL137" s="1926"/>
      <c r="AM137" s="192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05" t="s">
        <v>1487</v>
      </c>
      <c r="AF140" s="1905"/>
      <c r="AG140" s="1905"/>
      <c r="AH140" s="1905"/>
      <c r="AI140" s="1905"/>
      <c r="AJ140" s="1905"/>
      <c r="AK140" s="190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7" t="s">
        <v>1511</v>
      </c>
      <c r="AG142" s="1937"/>
      <c r="AH142" s="1937"/>
      <c r="AI142" s="1937"/>
      <c r="AJ142" s="1937"/>
      <c r="AK142" s="1937"/>
      <c r="AL142" s="1937"/>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8" t="s">
        <v>2627</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63" t="s">
        <v>1514</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64" t="s">
        <v>601</v>
      </c>
      <c r="AC149" s="196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63" t="s">
        <v>1516</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66">
        <f>IF($AB$149="N/A",VLOOKUP($B$147,$AO$145:$AP$148,2,FALSE),VLOOKUP($B$152,$AO$150:$AP$153,2,FALSE))</f>
        <v>7</v>
      </c>
      <c r="AK155" s="196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7" t="s">
        <v>1525</v>
      </c>
      <c r="AG157" s="1937"/>
      <c r="AH157" s="1937"/>
      <c r="AI157" s="1937"/>
      <c r="AJ157" s="1937"/>
      <c r="AK157" s="1937"/>
      <c r="AL157" s="193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63" t="s">
        <v>1523</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64" t="s">
        <v>601</v>
      </c>
      <c r="AD161" s="1964"/>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63" t="s">
        <v>1516</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38" t="s">
        <v>2687</v>
      </c>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65">
        <f>IF($AC$161="N/A",VLOOKUP($C$159,$AO$159:$AP$162,2,FALSE),VLOOKUP($C$163,$AO$166:$AP$168,2,FALSE))</f>
        <v>3</v>
      </c>
      <c r="AK169" s="196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25">
        <f>$AJ$155+$AJ$169</f>
        <v>10</v>
      </c>
      <c r="AL172" s="1926"/>
      <c r="AM172" s="192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5" t="s">
        <v>1487</v>
      </c>
      <c r="AF175" s="1905"/>
      <c r="AG175" s="1905"/>
      <c r="AH175" s="1905"/>
      <c r="AI175" s="1905"/>
      <c r="AJ175" s="1905"/>
      <c r="AK175" s="1905"/>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61" t="s">
        <v>1540</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1"/>
      <c r="AE177" s="571"/>
      <c r="AF177" s="1937" t="s">
        <v>1536</v>
      </c>
      <c r="AG177" s="1937"/>
      <c r="AH177" s="1937"/>
      <c r="AI177" s="1937"/>
      <c r="AJ177" s="1937"/>
      <c r="AK177" s="1937"/>
      <c r="AL177" s="1937"/>
      <c r="AN177" s="632"/>
      <c r="AP177" s="585" t="s">
        <v>1105</v>
      </c>
      <c r="AQ177" s="585">
        <v>10</v>
      </c>
    </row>
    <row r="178" spans="1:45" s="585" customFormat="1" ht="12.75" customHeight="1">
      <c r="A178" s="571"/>
      <c r="B178" s="1962" t="s">
        <v>1987</v>
      </c>
      <c r="C178" s="1962"/>
      <c r="D178" s="1962"/>
      <c r="E178" s="1962"/>
      <c r="F178" s="1962"/>
      <c r="G178" s="1962"/>
      <c r="H178" s="1962"/>
      <c r="I178" s="1962"/>
      <c r="J178" s="1962"/>
      <c r="K178" s="1962"/>
      <c r="L178" s="1962"/>
      <c r="M178" s="1962"/>
      <c r="N178" s="1962"/>
      <c r="O178" s="1962"/>
      <c r="P178" s="1962"/>
      <c r="Q178" s="1962"/>
      <c r="R178" s="1962"/>
      <c r="S178" s="1962"/>
      <c r="T178" s="1938" t="s">
        <v>601</v>
      </c>
      <c r="U178" s="1938"/>
      <c r="V178" s="1938"/>
      <c r="W178" s="1938"/>
      <c r="X178" s="1938"/>
      <c r="Y178" s="1938"/>
      <c r="Z178" s="1938"/>
      <c r="AA178" s="1938"/>
      <c r="AB178" s="1938"/>
      <c r="AC178" s="1938"/>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70">
        <f>IF(AK78&gt;0,VLOOKUP($B$177,AP174:AQ180,2,FALSE),0)</f>
        <v>10</v>
      </c>
      <c r="AL180" s="1971"/>
      <c r="AM180" s="1972"/>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5" t="s">
        <v>1545</v>
      </c>
      <c r="AF183" s="1905"/>
      <c r="AG183" s="1905"/>
      <c r="AH183" s="1905"/>
      <c r="AI183" s="1905"/>
      <c r="AJ183" s="1905"/>
      <c r="AK183" s="190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9" t="s">
        <v>2701</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2"/>
      <c r="AD188" s="1950">
        <v>5000000</v>
      </c>
      <c r="AE188" s="1950"/>
      <c r="AF188" s="1950"/>
      <c r="AG188" s="1950"/>
      <c r="AH188" s="1950"/>
      <c r="AI188" s="1950"/>
      <c r="AJ188" s="1950"/>
      <c r="AK188" s="645"/>
    </row>
    <row r="189" spans="1:45">
      <c r="A189" s="640"/>
      <c r="B189" s="1949"/>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2"/>
      <c r="AD189" s="1950"/>
      <c r="AE189" s="1950"/>
      <c r="AF189" s="1950"/>
      <c r="AG189" s="1950"/>
      <c r="AH189" s="1950"/>
      <c r="AI189" s="1950"/>
      <c r="AJ189" s="1950"/>
      <c r="AK189" s="645"/>
    </row>
    <row r="190" spans="1:45">
      <c r="A190" s="640"/>
      <c r="B190" s="1949"/>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2"/>
      <c r="AD190" s="1950"/>
      <c r="AE190" s="1950"/>
      <c r="AF190" s="1950"/>
      <c r="AG190" s="1950"/>
      <c r="AH190" s="1950"/>
      <c r="AI190" s="1950"/>
      <c r="AJ190" s="1950"/>
      <c r="AK190" s="645"/>
    </row>
    <row r="191" spans="1:45">
      <c r="A191" s="640"/>
      <c r="B191" s="1949"/>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2"/>
      <c r="AD191" s="1950"/>
      <c r="AE191" s="1950"/>
      <c r="AF191" s="1950"/>
      <c r="AG191" s="1950"/>
      <c r="AH191" s="1950"/>
      <c r="AI191" s="1950"/>
      <c r="AJ191" s="1950"/>
      <c r="AK191" s="645"/>
    </row>
    <row r="192" spans="1:45">
      <c r="A192" s="640"/>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2"/>
      <c r="AD192" s="1950"/>
      <c r="AE192" s="1950"/>
      <c r="AF192" s="1950"/>
      <c r="AG192" s="1950"/>
      <c r="AH192" s="1950"/>
      <c r="AI192" s="1950"/>
      <c r="AJ192" s="1950"/>
      <c r="AK192" s="645"/>
    </row>
    <row r="193" spans="1:37">
      <c r="A193" s="640"/>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2"/>
      <c r="AD193" s="1950"/>
      <c r="AE193" s="1950"/>
      <c r="AF193" s="1950"/>
      <c r="AG193" s="1950"/>
      <c r="AH193" s="1950"/>
      <c r="AI193" s="1950"/>
      <c r="AJ193" s="1950"/>
      <c r="AK193" s="645"/>
    </row>
    <row r="194" spans="1:37">
      <c r="A194" s="640"/>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2"/>
      <c r="AD194" s="1950"/>
      <c r="AE194" s="1950"/>
      <c r="AF194" s="1950"/>
      <c r="AG194" s="1950"/>
      <c r="AH194" s="1950"/>
      <c r="AI194" s="1950"/>
      <c r="AJ194" s="1950"/>
      <c r="AK194" s="645"/>
    </row>
    <row r="195" spans="1:37">
      <c r="A195" s="640"/>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2"/>
      <c r="AD195" s="1950"/>
      <c r="AE195" s="1950"/>
      <c r="AF195" s="1950"/>
      <c r="AG195" s="1950"/>
      <c r="AH195" s="1950"/>
      <c r="AI195" s="1950"/>
      <c r="AJ195" s="1950"/>
      <c r="AK195" s="645"/>
    </row>
    <row r="196" spans="1:37">
      <c r="A196" s="640"/>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2"/>
      <c r="AD196" s="1950"/>
      <c r="AE196" s="1950"/>
      <c r="AF196" s="1950"/>
      <c r="AG196" s="1950"/>
      <c r="AH196" s="1950"/>
      <c r="AI196" s="1950"/>
      <c r="AJ196" s="1950"/>
      <c r="AK196" s="645"/>
    </row>
    <row r="197" spans="1:37">
      <c r="A197" s="640"/>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2"/>
      <c r="AD197" s="1950"/>
      <c r="AE197" s="1950"/>
      <c r="AF197" s="1950"/>
      <c r="AG197" s="1950"/>
      <c r="AH197" s="1950"/>
      <c r="AI197" s="1950"/>
      <c r="AJ197" s="1950"/>
      <c r="AK197" s="645"/>
    </row>
    <row r="198" spans="1:37">
      <c r="A198" s="640"/>
      <c r="B198" s="2109" t="s">
        <v>1805</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1"/>
      <c r="AD198" s="1977">
        <f>AB249</f>
        <v>0</v>
      </c>
      <c r="AE198" s="1977"/>
      <c r="AF198" s="1977"/>
      <c r="AG198" s="1977"/>
      <c r="AH198" s="1977"/>
      <c r="AI198" s="1977"/>
      <c r="AJ198" s="1977"/>
      <c r="AK198" s="645"/>
    </row>
    <row r="199" spans="1:37">
      <c r="A199" s="640"/>
      <c r="B199" s="2107" t="s">
        <v>1768</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2"/>
      <c r="AD199" s="1978">
        <f>'Sources and Uses Budget'!B15</f>
        <v>0</v>
      </c>
      <c r="AE199" s="1978"/>
      <c r="AF199" s="1978"/>
      <c r="AG199" s="1978"/>
      <c r="AH199" s="1978"/>
      <c r="AI199" s="1978"/>
      <c r="AJ199" s="197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82">
        <f>SUM(AD188:AJ198)-AD199</f>
        <v>5000000</v>
      </c>
      <c r="AE200" s="1982"/>
      <c r="AF200" s="1982"/>
      <c r="AG200" s="1982"/>
      <c r="AH200" s="1982"/>
      <c r="AI200" s="1982"/>
      <c r="AJ200" s="198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53" t="s">
        <v>1785</v>
      </c>
      <c r="J211" s="1953"/>
      <c r="K211" s="1953"/>
      <c r="L211" s="571"/>
      <c r="M211" s="571"/>
      <c r="N211" s="571"/>
      <c r="O211" s="571"/>
      <c r="P211" s="571"/>
      <c r="Q211" s="571"/>
      <c r="R211" s="571"/>
      <c r="S211" s="571"/>
      <c r="T211" s="2135" t="s">
        <v>1779</v>
      </c>
      <c r="U211" s="2135"/>
      <c r="V211" s="2135"/>
      <c r="W211" s="2135"/>
      <c r="X211" s="2135"/>
      <c r="Y211" s="2135"/>
      <c r="Z211" s="885"/>
      <c r="AA211" s="524"/>
      <c r="AB211" s="1948" t="s">
        <v>1780</v>
      </c>
      <c r="AC211" s="1948"/>
      <c r="AD211" s="1948"/>
      <c r="AE211" s="1948"/>
      <c r="AF211" s="1948"/>
      <c r="AG211" s="1948"/>
      <c r="AH211" s="863"/>
      <c r="AI211" s="863"/>
      <c r="AJ211" s="863"/>
      <c r="AK211" s="645"/>
    </row>
    <row r="212" spans="1:37">
      <c r="A212" s="640"/>
      <c r="B212" s="1951" t="s">
        <v>1765</v>
      </c>
      <c r="C212" s="1951"/>
      <c r="D212" s="1951"/>
      <c r="E212" s="1951"/>
      <c r="F212" s="1951"/>
      <c r="G212" s="1951"/>
      <c r="I212" s="1952" t="s">
        <v>1786</v>
      </c>
      <c r="J212" s="1952"/>
      <c r="K212" s="1952"/>
      <c r="L212" s="1045"/>
      <c r="N212" s="1958" t="s">
        <v>1781</v>
      </c>
      <c r="O212" s="1958"/>
      <c r="P212" s="1958"/>
      <c r="Q212" s="1958"/>
      <c r="R212" s="1958"/>
      <c r="T212" s="1958" t="s">
        <v>1782</v>
      </c>
      <c r="U212" s="1958"/>
      <c r="V212" s="1958"/>
      <c r="W212" s="1958"/>
      <c r="X212" s="1958"/>
      <c r="Y212" s="1958"/>
      <c r="Z212" s="886"/>
      <c r="AA212" s="524"/>
      <c r="AB212" s="2110" t="s">
        <v>1783</v>
      </c>
      <c r="AC212" s="2110"/>
      <c r="AD212" s="2110"/>
      <c r="AE212" s="2110"/>
      <c r="AF212" s="2110"/>
      <c r="AG212" s="2110"/>
      <c r="AH212" s="863"/>
      <c r="AI212" s="863"/>
      <c r="AJ212" s="863"/>
      <c r="AK212" s="645"/>
    </row>
    <row r="213" spans="1:37">
      <c r="A213" s="640"/>
      <c r="B213" s="1955" t="s">
        <v>1328</v>
      </c>
      <c r="C213" s="1955"/>
      <c r="D213" s="1955"/>
      <c r="E213" s="1955"/>
      <c r="F213" s="1955"/>
      <c r="G213" s="1955"/>
      <c r="H213" s="888"/>
      <c r="I213" s="1954"/>
      <c r="J213" s="1954"/>
      <c r="K213" s="1954"/>
      <c r="L213" s="1045"/>
      <c r="N213" s="1959"/>
      <c r="O213" s="1959"/>
      <c r="P213" s="1959"/>
      <c r="Q213" s="1959"/>
      <c r="R213" s="1959"/>
      <c r="T213" s="2108"/>
      <c r="U213" s="2108"/>
      <c r="V213" s="2108"/>
      <c r="W213" s="2108"/>
      <c r="X213" s="2108"/>
      <c r="Y213" s="2108"/>
      <c r="Z213" s="887"/>
      <c r="AA213" s="887"/>
      <c r="AB213" s="1956">
        <f t="shared" ref="AB213:AB222" si="0">MAX(($T213-$N213)*$I213*12,0)</f>
        <v>0</v>
      </c>
      <c r="AC213" s="1956"/>
      <c r="AD213" s="1956"/>
      <c r="AE213" s="1956"/>
      <c r="AF213" s="1956"/>
      <c r="AG213" s="1956"/>
      <c r="AH213" s="863"/>
      <c r="AI213" s="863"/>
      <c r="AJ213" s="863"/>
      <c r="AK213" s="645"/>
    </row>
    <row r="214" spans="1:37">
      <c r="A214" s="640"/>
      <c r="B214" s="1955" t="s">
        <v>1328</v>
      </c>
      <c r="C214" s="1955"/>
      <c r="D214" s="1955"/>
      <c r="E214" s="1955"/>
      <c r="F214" s="1955"/>
      <c r="G214" s="1955"/>
      <c r="I214" s="1954"/>
      <c r="J214" s="1954"/>
      <c r="K214" s="1954"/>
      <c r="L214" s="1045"/>
      <c r="N214" s="1959"/>
      <c r="O214" s="1959"/>
      <c r="P214" s="1959"/>
      <c r="Q214" s="1959"/>
      <c r="R214" s="1959"/>
      <c r="T214" s="2108"/>
      <c r="U214" s="2108"/>
      <c r="V214" s="2108"/>
      <c r="W214" s="2108"/>
      <c r="X214" s="2108"/>
      <c r="Y214" s="2108"/>
      <c r="Z214" s="887"/>
      <c r="AA214" s="887"/>
      <c r="AB214" s="1956">
        <f t="shared" si="0"/>
        <v>0</v>
      </c>
      <c r="AC214" s="1956"/>
      <c r="AD214" s="1956"/>
      <c r="AE214" s="1956"/>
      <c r="AF214" s="1956"/>
      <c r="AG214" s="1956"/>
      <c r="AH214" s="863"/>
      <c r="AI214" s="863"/>
      <c r="AJ214" s="863"/>
      <c r="AK214" s="645"/>
    </row>
    <row r="215" spans="1:37">
      <c r="A215" s="640"/>
      <c r="B215" s="1955" t="s">
        <v>1328</v>
      </c>
      <c r="C215" s="1955"/>
      <c r="D215" s="1955"/>
      <c r="E215" s="1955"/>
      <c r="F215" s="1955"/>
      <c r="G215" s="1955"/>
      <c r="I215" s="1954"/>
      <c r="J215" s="1954"/>
      <c r="K215" s="1954"/>
      <c r="L215" s="1045"/>
      <c r="N215" s="1959"/>
      <c r="O215" s="1959"/>
      <c r="P215" s="1959"/>
      <c r="Q215" s="1959"/>
      <c r="R215" s="1959"/>
      <c r="T215" s="2108"/>
      <c r="U215" s="2108"/>
      <c r="V215" s="2108"/>
      <c r="W215" s="2108"/>
      <c r="X215" s="2108"/>
      <c r="Y215" s="2108"/>
      <c r="Z215" s="887"/>
      <c r="AA215" s="887"/>
      <c r="AB215" s="1956">
        <f t="shared" si="0"/>
        <v>0</v>
      </c>
      <c r="AC215" s="1956"/>
      <c r="AD215" s="1956"/>
      <c r="AE215" s="1956"/>
      <c r="AF215" s="1956"/>
      <c r="AG215" s="1956"/>
      <c r="AH215" s="863"/>
      <c r="AI215" s="863"/>
      <c r="AJ215" s="863"/>
      <c r="AK215" s="645"/>
    </row>
    <row r="216" spans="1:37">
      <c r="A216" s="640"/>
      <c r="B216" s="1955" t="s">
        <v>1328</v>
      </c>
      <c r="C216" s="1955"/>
      <c r="D216" s="1955"/>
      <c r="E216" s="1955"/>
      <c r="F216" s="1955"/>
      <c r="G216" s="1955"/>
      <c r="I216" s="1954"/>
      <c r="J216" s="1954"/>
      <c r="K216" s="1954"/>
      <c r="L216" s="1045"/>
      <c r="N216" s="1959"/>
      <c r="O216" s="1959"/>
      <c r="P216" s="1959"/>
      <c r="Q216" s="1959"/>
      <c r="R216" s="1959"/>
      <c r="T216" s="2108"/>
      <c r="U216" s="2108"/>
      <c r="V216" s="2108"/>
      <c r="W216" s="2108"/>
      <c r="X216" s="2108"/>
      <c r="Y216" s="2108"/>
      <c r="Z216" s="887"/>
      <c r="AA216" s="887"/>
      <c r="AB216" s="1956">
        <f t="shared" si="0"/>
        <v>0</v>
      </c>
      <c r="AC216" s="1956"/>
      <c r="AD216" s="1956"/>
      <c r="AE216" s="1956"/>
      <c r="AF216" s="1956"/>
      <c r="AG216" s="1956"/>
      <c r="AH216" s="863"/>
      <c r="AI216" s="863"/>
      <c r="AJ216" s="863"/>
      <c r="AK216" s="645"/>
    </row>
    <row r="217" spans="1:37">
      <c r="A217" s="640"/>
      <c r="B217" s="1955" t="s">
        <v>1328</v>
      </c>
      <c r="C217" s="1955"/>
      <c r="D217" s="1955"/>
      <c r="E217" s="1955"/>
      <c r="F217" s="1955"/>
      <c r="G217" s="1955"/>
      <c r="I217" s="1954"/>
      <c r="J217" s="1954"/>
      <c r="K217" s="1954"/>
      <c r="L217" s="1052"/>
      <c r="N217" s="1959"/>
      <c r="O217" s="1959"/>
      <c r="P217" s="1959"/>
      <c r="Q217" s="1959"/>
      <c r="R217" s="1959"/>
      <c r="T217" s="2108"/>
      <c r="U217" s="2108"/>
      <c r="V217" s="2108"/>
      <c r="W217" s="2108"/>
      <c r="X217" s="2108"/>
      <c r="Y217" s="2108"/>
      <c r="Z217" s="887"/>
      <c r="AA217" s="887"/>
      <c r="AB217" s="1956">
        <f t="shared" si="0"/>
        <v>0</v>
      </c>
      <c r="AC217" s="1956"/>
      <c r="AD217" s="1956"/>
      <c r="AE217" s="1956"/>
      <c r="AF217" s="1956"/>
      <c r="AG217" s="1956"/>
      <c r="AH217" s="863"/>
      <c r="AI217" s="863"/>
      <c r="AJ217" s="863"/>
      <c r="AK217" s="645"/>
    </row>
    <row r="218" spans="1:37">
      <c r="A218" s="640"/>
      <c r="B218" s="1955" t="s">
        <v>1328</v>
      </c>
      <c r="C218" s="1955"/>
      <c r="D218" s="1955"/>
      <c r="E218" s="1955"/>
      <c r="F218" s="1955"/>
      <c r="G218" s="1955"/>
      <c r="I218" s="1954"/>
      <c r="J218" s="1954"/>
      <c r="K218" s="1954"/>
      <c r="L218" s="1052"/>
      <c r="N218" s="1959"/>
      <c r="O218" s="1959"/>
      <c r="P218" s="1959"/>
      <c r="Q218" s="1959"/>
      <c r="R218" s="1959"/>
      <c r="T218" s="2108"/>
      <c r="U218" s="2108"/>
      <c r="V218" s="2108"/>
      <c r="W218" s="2108"/>
      <c r="X218" s="2108"/>
      <c r="Y218" s="2108"/>
      <c r="Z218" s="887"/>
      <c r="AA218" s="887"/>
      <c r="AB218" s="1956">
        <f t="shared" si="0"/>
        <v>0</v>
      </c>
      <c r="AC218" s="1956"/>
      <c r="AD218" s="1956"/>
      <c r="AE218" s="1956"/>
      <c r="AF218" s="1956"/>
      <c r="AG218" s="1956"/>
      <c r="AH218" s="863"/>
      <c r="AI218" s="863"/>
      <c r="AJ218" s="863"/>
      <c r="AK218" s="645"/>
    </row>
    <row r="219" spans="1:37">
      <c r="A219" s="640"/>
      <c r="B219" s="1955" t="s">
        <v>1328</v>
      </c>
      <c r="C219" s="1955"/>
      <c r="D219" s="1955"/>
      <c r="E219" s="1955"/>
      <c r="F219" s="1955"/>
      <c r="G219" s="1955"/>
      <c r="I219" s="1954"/>
      <c r="J219" s="1954"/>
      <c r="K219" s="1954"/>
      <c r="L219" s="1052"/>
      <c r="N219" s="1959"/>
      <c r="O219" s="1959"/>
      <c r="P219" s="1959"/>
      <c r="Q219" s="1959"/>
      <c r="R219" s="1959"/>
      <c r="T219" s="2108"/>
      <c r="U219" s="2108"/>
      <c r="V219" s="2108"/>
      <c r="W219" s="2108"/>
      <c r="X219" s="2108"/>
      <c r="Y219" s="2108"/>
      <c r="Z219" s="887"/>
      <c r="AA219" s="887"/>
      <c r="AB219" s="1956">
        <f t="shared" si="0"/>
        <v>0</v>
      </c>
      <c r="AC219" s="1956"/>
      <c r="AD219" s="1956"/>
      <c r="AE219" s="1956"/>
      <c r="AF219" s="1956"/>
      <c r="AG219" s="1956"/>
      <c r="AH219" s="863"/>
      <c r="AI219" s="863"/>
      <c r="AJ219" s="863"/>
      <c r="AK219" s="645"/>
    </row>
    <row r="220" spans="1:37">
      <c r="A220" s="640"/>
      <c r="B220" s="1955" t="s">
        <v>1328</v>
      </c>
      <c r="C220" s="1955"/>
      <c r="D220" s="1955"/>
      <c r="E220" s="1955"/>
      <c r="F220" s="1955"/>
      <c r="G220" s="1955"/>
      <c r="I220" s="1954"/>
      <c r="J220" s="1954"/>
      <c r="K220" s="1954"/>
      <c r="L220" s="1052"/>
      <c r="N220" s="1959"/>
      <c r="O220" s="1959"/>
      <c r="P220" s="1959"/>
      <c r="Q220" s="1959"/>
      <c r="R220" s="1959"/>
      <c r="T220" s="2108"/>
      <c r="U220" s="2108"/>
      <c r="V220" s="2108"/>
      <c r="W220" s="2108"/>
      <c r="X220" s="2108"/>
      <c r="Y220" s="2108"/>
      <c r="Z220" s="887"/>
      <c r="AA220" s="887"/>
      <c r="AB220" s="1956">
        <f t="shared" si="0"/>
        <v>0</v>
      </c>
      <c r="AC220" s="1956"/>
      <c r="AD220" s="1956"/>
      <c r="AE220" s="1956"/>
      <c r="AF220" s="1956"/>
      <c r="AG220" s="1956"/>
      <c r="AH220" s="863"/>
      <c r="AI220" s="863"/>
      <c r="AJ220" s="863"/>
      <c r="AK220" s="645"/>
    </row>
    <row r="221" spans="1:37">
      <c r="A221" s="640"/>
      <c r="B221" s="1955" t="s">
        <v>1328</v>
      </c>
      <c r="C221" s="1955"/>
      <c r="D221" s="1955"/>
      <c r="E221" s="1955"/>
      <c r="F221" s="1955"/>
      <c r="G221" s="1955"/>
      <c r="I221" s="1954"/>
      <c r="J221" s="1954"/>
      <c r="K221" s="1954"/>
      <c r="L221" s="1052"/>
      <c r="N221" s="1959"/>
      <c r="O221" s="1959"/>
      <c r="P221" s="1959"/>
      <c r="Q221" s="1959"/>
      <c r="R221" s="1959"/>
      <c r="T221" s="2108"/>
      <c r="U221" s="2108"/>
      <c r="V221" s="2108"/>
      <c r="W221" s="2108"/>
      <c r="X221" s="2108"/>
      <c r="Y221" s="2108"/>
      <c r="Z221" s="887"/>
      <c r="AA221" s="887"/>
      <c r="AB221" s="1956">
        <f t="shared" si="0"/>
        <v>0</v>
      </c>
      <c r="AC221" s="1956"/>
      <c r="AD221" s="1956"/>
      <c r="AE221" s="1956"/>
      <c r="AF221" s="1956"/>
      <c r="AG221" s="1956"/>
      <c r="AH221" s="863"/>
      <c r="AI221" s="863"/>
      <c r="AJ221" s="863"/>
      <c r="AK221" s="645"/>
    </row>
    <row r="222" spans="1:37">
      <c r="A222" s="640"/>
      <c r="B222" s="1955" t="s">
        <v>1328</v>
      </c>
      <c r="C222" s="1955"/>
      <c r="D222" s="1955"/>
      <c r="E222" s="1955"/>
      <c r="F222" s="1955"/>
      <c r="G222" s="1955"/>
      <c r="I222" s="1957"/>
      <c r="J222" s="1957"/>
      <c r="K222" s="1957"/>
      <c r="L222" s="1052"/>
      <c r="N222" s="1959"/>
      <c r="O222" s="1959"/>
      <c r="P222" s="1959"/>
      <c r="Q222" s="1959"/>
      <c r="R222" s="1959"/>
      <c r="T222" s="2108"/>
      <c r="U222" s="2108"/>
      <c r="V222" s="2108"/>
      <c r="W222" s="2108"/>
      <c r="X222" s="2108"/>
      <c r="Y222" s="2108"/>
      <c r="Z222" s="887"/>
      <c r="AA222" s="887"/>
      <c r="AB222" s="2106">
        <f t="shared" si="0"/>
        <v>0</v>
      </c>
      <c r="AC222" s="2106"/>
      <c r="AD222" s="2106"/>
      <c r="AE222" s="2106"/>
      <c r="AF222" s="2106"/>
      <c r="AG222" s="210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56">
        <f>SUM(AB213:AB222)</f>
        <v>0</v>
      </c>
      <c r="AC223" s="1956"/>
      <c r="AD223" s="1956"/>
      <c r="AE223" s="1956"/>
      <c r="AF223" s="1956"/>
      <c r="AG223" s="195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11"/>
      <c r="AC229" s="2111"/>
      <c r="AD229" s="2111"/>
      <c r="AE229" s="2111"/>
      <c r="AF229" s="2111"/>
      <c r="AG229" s="2111"/>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11"/>
      <c r="AC232" s="2111"/>
      <c r="AD232" s="2111"/>
      <c r="AE232" s="2111"/>
      <c r="AF232" s="2111"/>
      <c r="AG232" s="2111"/>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34"/>
      <c r="AC233" s="2134"/>
      <c r="AD233" s="2134"/>
      <c r="AE233" s="2134"/>
      <c r="AF233" s="2134"/>
      <c r="AG233" s="2134"/>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7">
        <f>IFERROR(AB232/AB233,0)</f>
        <v>0</v>
      </c>
      <c r="AC234" s="2117"/>
      <c r="AD234" s="2117"/>
      <c r="AE234" s="2117"/>
      <c r="AF234" s="2117"/>
      <c r="AG234" s="211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06">
        <f>MAX(AB229,AB234)</f>
        <v>0</v>
      </c>
      <c r="AC236" s="2106"/>
      <c r="AD236" s="2106"/>
      <c r="AE236" s="2106"/>
      <c r="AF236" s="2106"/>
      <c r="AG236" s="210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56">
        <f>AB223+AB236</f>
        <v>0</v>
      </c>
      <c r="AC239" s="1956"/>
      <c r="AD239" s="1956"/>
      <c r="AE239" s="1956"/>
      <c r="AF239" s="1956"/>
      <c r="AG239" s="195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86">
        <v>0.05</v>
      </c>
      <c r="AC240" s="1986"/>
      <c r="AD240" s="1986"/>
      <c r="AE240" s="1986"/>
      <c r="AF240" s="1986"/>
      <c r="AG240" s="1986"/>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7">
        <f>AB239-(AB239*AB240)</f>
        <v>0</v>
      </c>
      <c r="AC241" s="1987"/>
      <c r="AD241" s="1987"/>
      <c r="AE241" s="1987"/>
      <c r="AF241" s="1987"/>
      <c r="AG241" s="1987"/>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56">
        <f>AB241/AB247</f>
        <v>0</v>
      </c>
      <c r="AC243" s="1956"/>
      <c r="AD243" s="1956"/>
      <c r="AE243" s="1956"/>
      <c r="AF243" s="1956"/>
      <c r="AG243" s="195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8">
        <v>15</v>
      </c>
      <c r="AC245" s="1948"/>
      <c r="AD245" s="1948"/>
      <c r="AE245" s="1948"/>
      <c r="AF245" s="1948"/>
      <c r="AG245" s="1948"/>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8">
        <v>0.04</v>
      </c>
      <c r="AC246" s="1988"/>
      <c r="AD246" s="1988"/>
      <c r="AE246" s="1988"/>
      <c r="AF246" s="1988"/>
      <c r="AG246" s="198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60">
        <v>1.1499999999999999</v>
      </c>
      <c r="AC247" s="1960"/>
      <c r="AD247" s="1960"/>
      <c r="AE247" s="1960"/>
      <c r="AF247" s="1960"/>
      <c r="AG247" s="19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9">
        <f>PV(AB246/12,AB245*12,-AB243/12, ,0)</f>
        <v>0</v>
      </c>
      <c r="AC249" s="1980"/>
      <c r="AD249" s="1980"/>
      <c r="AE249" s="1980"/>
      <c r="AF249" s="1980"/>
      <c r="AG249" s="198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83">
        <f>IFERROR(('Sources and Uses Budget'!D105/'Sources and Uses Budget'!B105),0)</f>
        <v>0</v>
      </c>
      <c r="AC255" s="1984"/>
      <c r="AD255" s="1984"/>
      <c r="AE255" s="1984"/>
      <c r="AF255" s="1984"/>
      <c r="AG255" s="198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73">
        <f>AD200*(1-AB255)</f>
        <v>5000000</v>
      </c>
      <c r="AH257" s="1973"/>
      <c r="AI257" s="1973"/>
      <c r="AJ257" s="1973"/>
      <c r="AK257" s="1973"/>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73">
        <f>'Sources and Uses Budget'!C105</f>
        <v>59097552</v>
      </c>
      <c r="AH258" s="1973"/>
      <c r="AI258" s="1973"/>
      <c r="AJ258" s="1973"/>
      <c r="AK258" s="197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74">
        <f>ROUNDDOWN(IF(AND(C281="Yes",AK78=10),((AG257*2)/AG258),AG257/AG258),2)</f>
        <v>0.08</v>
      </c>
      <c r="AH259" s="1974"/>
      <c r="AI259" s="1974"/>
      <c r="AJ259" s="1974"/>
      <c r="AK259" s="1974"/>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75">
        <f>IFERROR(IF(AG259=0,0,IF((AG259*100)&gt;8,8,(AG259*100))),0)</f>
        <v>8</v>
      </c>
      <c r="AL262" s="1975"/>
      <c r="AM262" s="197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67" t="s">
        <v>555</v>
      </c>
      <c r="D267" s="1967"/>
      <c r="E267" s="582"/>
      <c r="F267" s="2120" t="s">
        <v>2423</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5"/>
      <c r="AF267" s="670"/>
      <c r="AG267" s="1968" t="s">
        <v>1536</v>
      </c>
      <c r="AH267" s="1968"/>
      <c r="AI267" s="1968"/>
      <c r="AJ267" s="1968"/>
      <c r="AK267" s="585"/>
      <c r="AL267" s="585"/>
      <c r="AM267" s="585"/>
      <c r="AO267" s="585"/>
    </row>
    <row r="268" spans="1:52" ht="13.7" customHeight="1">
      <c r="A268" s="585"/>
      <c r="B268" s="631"/>
      <c r="C268" s="671"/>
      <c r="D268" s="585"/>
      <c r="E268" s="582"/>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5"/>
      <c r="AF268" s="670"/>
      <c r="AG268" s="670"/>
      <c r="AH268" s="670"/>
      <c r="AI268" s="670"/>
      <c r="AJ268" s="585"/>
      <c r="AK268" s="585"/>
      <c r="AL268" s="585"/>
      <c r="AM268" s="585"/>
      <c r="AO268" s="585"/>
    </row>
    <row r="269" spans="1:52">
      <c r="A269" s="585"/>
      <c r="B269" s="631"/>
      <c r="C269" s="671"/>
      <c r="D269" s="585"/>
      <c r="E269" s="582"/>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5"/>
      <c r="AF269" s="670"/>
      <c r="AG269" s="670"/>
      <c r="AH269" s="670"/>
      <c r="AI269" s="670"/>
      <c r="AJ269" s="585"/>
      <c r="AK269" s="585"/>
      <c r="AL269" s="585"/>
      <c r="AM269" s="585"/>
      <c r="AO269" s="585"/>
      <c r="AP269" s="672"/>
    </row>
    <row r="270" spans="1:52">
      <c r="A270" s="585"/>
      <c r="B270" s="631"/>
      <c r="C270" s="671"/>
      <c r="D270" s="585"/>
      <c r="E270" s="582"/>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5"/>
      <c r="AF270" s="670"/>
      <c r="AG270" s="670"/>
      <c r="AH270" s="670"/>
      <c r="AI270" s="670"/>
      <c r="AJ270" s="585"/>
      <c r="AK270" s="585"/>
      <c r="AL270" s="585"/>
      <c r="AM270" s="585"/>
      <c r="AO270" s="585"/>
      <c r="AP270" s="672"/>
    </row>
    <row r="271" spans="1:52" ht="13.7" customHeight="1">
      <c r="A271" s="585"/>
      <c r="B271" s="631"/>
      <c r="C271" s="1969"/>
      <c r="D271" s="1969"/>
      <c r="E271" s="582"/>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5"/>
      <c r="AF271" s="670"/>
      <c r="AG271" s="1968"/>
      <c r="AH271" s="1968"/>
      <c r="AI271" s="1968"/>
      <c r="AJ271" s="196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75">
        <f>IF($C$267="yes",10,0)</f>
        <v>10</v>
      </c>
      <c r="AL274" s="1975"/>
      <c r="AM274" s="197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3" t="s">
        <v>1555</v>
      </c>
      <c r="B281" s="1653"/>
      <c r="C281" s="1964" t="s">
        <v>601</v>
      </c>
      <c r="D281" s="1967"/>
      <c r="E281" s="582"/>
      <c r="F281" s="1995" t="s">
        <v>1556</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7"/>
      <c r="AF281" s="585"/>
      <c r="AG281" s="1998" t="s">
        <v>2416</v>
      </c>
      <c r="AH281" s="1998"/>
      <c r="AI281" s="1998"/>
      <c r="AJ281" s="1998"/>
      <c r="AK281" s="1998"/>
      <c r="AL281" s="585"/>
      <c r="AM281" s="585"/>
      <c r="AN281" s="73"/>
      <c r="AO281" s="14"/>
      <c r="AP281" s="30"/>
      <c r="AS281" s="605"/>
      <c r="AT281" s="605"/>
      <c r="AU281" s="605"/>
      <c r="AV281" s="32"/>
      <c r="AW281" s="32"/>
    </row>
    <row r="282" spans="1:49">
      <c r="A282" s="675"/>
      <c r="B282" s="631"/>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89" t="s">
        <v>2424</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9" t="s">
        <v>1557</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9" t="s">
        <v>1558</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3" t="s">
        <v>1559</v>
      </c>
      <c r="B291" s="1653"/>
      <c r="C291" s="1967" t="s">
        <v>555</v>
      </c>
      <c r="D291" s="1967"/>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902" t="s">
        <v>2418</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6"/>
      <c r="AF292" s="586"/>
      <c r="AG292" s="586"/>
      <c r="AH292" s="586"/>
      <c r="AI292" s="586"/>
      <c r="AJ292" s="585"/>
      <c r="AK292" s="585"/>
      <c r="AL292" s="585"/>
      <c r="AM292" s="585"/>
      <c r="AR292" s="683"/>
    </row>
    <row r="293" spans="1:49" ht="15" customHeight="1">
      <c r="A293" s="585"/>
      <c r="B293" s="586"/>
      <c r="C293" s="585"/>
      <c r="D293" s="586"/>
      <c r="E293" s="585"/>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6"/>
      <c r="AF293" s="586"/>
      <c r="AG293" s="586"/>
      <c r="AH293" s="586"/>
      <c r="AI293" s="586"/>
      <c r="AJ293" s="585"/>
      <c r="AK293" s="585"/>
      <c r="AL293" s="585"/>
      <c r="AM293" s="585"/>
      <c r="AR293" s="683"/>
    </row>
    <row r="294" spans="1:49">
      <c r="A294" s="585"/>
      <c r="B294" s="586"/>
      <c r="C294" s="585"/>
      <c r="D294" s="586"/>
      <c r="E294" s="585"/>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3" t="s">
        <v>1562</v>
      </c>
      <c r="B299" s="1653"/>
      <c r="C299" s="1967" t="s">
        <v>601</v>
      </c>
      <c r="D299" s="1967"/>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89" t="s">
        <v>2425</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6"/>
      <c r="AF300" s="586"/>
      <c r="AG300" s="574"/>
      <c r="AH300" s="586"/>
      <c r="AI300" s="586"/>
      <c r="AJ300" s="585"/>
      <c r="AK300" s="585"/>
      <c r="AL300" s="585"/>
      <c r="AM300" s="585"/>
      <c r="AN300" s="73"/>
      <c r="AO300" s="14"/>
      <c r="AP300" s="592" t="s">
        <v>1328</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9" t="s">
        <v>1328</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7"/>
      <c r="AF305" s="677"/>
      <c r="AG305" s="677"/>
      <c r="AH305" s="677"/>
      <c r="AI305" s="677"/>
      <c r="AJ305" s="677"/>
      <c r="AK305" s="677"/>
      <c r="AL305" s="585"/>
      <c r="AM305" s="585"/>
      <c r="AN305" s="73"/>
      <c r="AO305" s="14"/>
      <c r="AP305" s="30"/>
    </row>
    <row r="306" spans="1:42" hidden="1">
      <c r="A306" s="585"/>
      <c r="B306" s="586"/>
      <c r="C306" s="765"/>
      <c r="D306" s="765"/>
      <c r="E306" s="582"/>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6"/>
      <c r="AF306" s="586"/>
      <c r="AG306" s="574"/>
      <c r="AH306" s="586"/>
      <c r="AI306" s="586"/>
      <c r="AJ306" s="585"/>
      <c r="AK306" s="585"/>
      <c r="AL306" s="585"/>
      <c r="AM306" s="585"/>
      <c r="AN306" s="73"/>
      <c r="AO306" s="14"/>
      <c r="AP306" s="30"/>
    </row>
    <row r="307" spans="1:42" hidden="1">
      <c r="A307" s="585"/>
      <c r="B307" s="586"/>
      <c r="C307" s="765"/>
      <c r="D307" s="765"/>
      <c r="E307" s="582"/>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6"/>
      <c r="AF307" s="586"/>
      <c r="AG307" s="574"/>
      <c r="AH307" s="586"/>
      <c r="AI307" s="586"/>
      <c r="AJ307" s="585"/>
      <c r="AK307" s="585"/>
      <c r="AL307" s="585"/>
      <c r="AM307" s="585"/>
      <c r="AN307" s="73"/>
      <c r="AO307" s="14"/>
      <c r="AP307" s="30"/>
    </row>
    <row r="308" spans="1:42" hidden="1">
      <c r="A308" s="585"/>
      <c r="B308" s="586"/>
      <c r="C308" s="765"/>
      <c r="D308" s="765"/>
      <c r="E308" s="582"/>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6"/>
      <c r="AF308" s="586"/>
      <c r="AG308" s="574"/>
      <c r="AH308" s="586"/>
      <c r="AI308" s="586"/>
      <c r="AJ308" s="585"/>
      <c r="AK308" s="585"/>
      <c r="AL308" s="585"/>
      <c r="AM308" s="585"/>
      <c r="AN308" s="73"/>
      <c r="AO308" s="14"/>
      <c r="AP308" s="30"/>
    </row>
    <row r="309" spans="1:42" hidden="1">
      <c r="A309" s="585"/>
      <c r="B309" s="586"/>
      <c r="C309" s="765"/>
      <c r="D309" s="765"/>
      <c r="E309" s="582"/>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05" t="s">
        <v>1328</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05" t="s">
        <v>1328</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53" t="s">
        <v>1565</v>
      </c>
      <c r="B322" s="1653"/>
      <c r="C322" s="1967" t="s">
        <v>601</v>
      </c>
      <c r="D322" s="1967"/>
      <c r="E322" s="582"/>
      <c r="F322" s="1896" t="s">
        <v>2426</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6"/>
      <c r="AF323" s="586"/>
      <c r="AG323" s="586"/>
      <c r="AH323" s="586"/>
      <c r="AI323" s="586"/>
      <c r="AJ323" s="585"/>
      <c r="AK323" s="585"/>
      <c r="AL323" s="585"/>
      <c r="AM323" s="585"/>
      <c r="AN323" s="73"/>
      <c r="AO323" s="14"/>
    </row>
    <row r="324" spans="1:44" ht="15" hidden="1" customHeight="1">
      <c r="A324" s="585"/>
      <c r="B324" s="586"/>
      <c r="C324" s="586"/>
      <c r="D324" s="586"/>
      <c r="E324" s="586"/>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70">
        <f>IF(NOT(OR(Application!M354="Yes",Application!M355="Yes")),0,AP284)</f>
        <v>9</v>
      </c>
      <c r="AL327" s="1971"/>
      <c r="AM327" s="197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05" t="s">
        <v>1487</v>
      </c>
      <c r="AF330" s="1905"/>
      <c r="AG330" s="1905"/>
      <c r="AH330" s="1905"/>
      <c r="AI330" s="1905"/>
      <c r="AJ330" s="1905"/>
      <c r="AK330" s="190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9" t="s">
        <v>1627</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8"/>
      <c r="AL332" s="638"/>
      <c r="AM332" s="638"/>
      <c r="AN332" s="632"/>
    </row>
    <row r="333" spans="1:44" s="585" customFormat="1" ht="12.75" customHeight="1">
      <c r="A333" s="638"/>
      <c r="B333" s="646"/>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8"/>
      <c r="AL333" s="638"/>
      <c r="AM333" s="638"/>
      <c r="AN333" s="632"/>
    </row>
    <row r="334" spans="1:44" s="585" customFormat="1" ht="12.75" customHeight="1">
      <c r="A334" s="638"/>
      <c r="B334" s="646"/>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8"/>
      <c r="AL334" s="638"/>
      <c r="AM334" s="638"/>
      <c r="AN334" s="632"/>
      <c r="AQ334" s="605"/>
    </row>
    <row r="335" spans="1:44" s="585" customFormat="1" ht="12.75" customHeight="1">
      <c r="A335" s="638"/>
      <c r="B335" s="646"/>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8"/>
      <c r="AL335" s="638"/>
      <c r="AM335" s="638"/>
      <c r="AN335" s="632"/>
      <c r="AQ335" s="605"/>
    </row>
    <row r="336" spans="1:44" s="585" customFormat="1" ht="12.4" customHeight="1">
      <c r="A336" s="638"/>
      <c r="B336" s="646"/>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8"/>
      <c r="AL336" s="638"/>
      <c r="AM336" s="638"/>
      <c r="AN336" s="632"/>
      <c r="AQ336" s="605"/>
      <c r="AR336" s="605"/>
    </row>
    <row r="337" spans="1:46" s="585" customFormat="1" ht="45.75" customHeight="1">
      <c r="A337" s="638"/>
      <c r="B337" s="646"/>
      <c r="C337" s="2009" t="s">
        <v>2513</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9" t="s">
        <v>2128</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8"/>
      <c r="AL339" s="638"/>
      <c r="AM339" s="638"/>
      <c r="AN339" s="632"/>
      <c r="AQ339" s="605"/>
      <c r="AR339" s="605"/>
    </row>
    <row r="340" spans="1:46" s="585" customFormat="1" ht="30" customHeight="1">
      <c r="A340" s="638"/>
      <c r="B340" s="646"/>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8"/>
      <c r="AL340" s="638"/>
      <c r="AM340" s="638"/>
      <c r="AN340" s="632"/>
      <c r="AR340" s="605"/>
    </row>
    <row r="341" spans="1:46" s="585" customFormat="1" ht="12.75" customHeight="1">
      <c r="A341" s="638"/>
      <c r="B341" s="646"/>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8"/>
      <c r="AL341" s="638"/>
      <c r="AM341" s="638"/>
      <c r="AN341" s="632"/>
      <c r="AR341" s="605"/>
    </row>
    <row r="342" spans="1:46" s="585" customFormat="1" ht="12.75" customHeight="1">
      <c r="A342" s="638"/>
      <c r="B342" s="646"/>
      <c r="C342" s="2009" t="s">
        <v>1628</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8"/>
      <c r="AL342" s="638"/>
      <c r="AM342" s="638"/>
      <c r="AN342" s="632"/>
      <c r="AQ342" s="605"/>
      <c r="AR342" s="605"/>
    </row>
    <row r="343" spans="1:46" s="585" customFormat="1" ht="12.75" customHeight="1">
      <c r="A343" s="638"/>
      <c r="B343" s="646"/>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8"/>
      <c r="AL343" s="638"/>
      <c r="AM343" s="638"/>
      <c r="AN343" s="632"/>
      <c r="AQ343" s="605"/>
      <c r="AR343" s="605"/>
    </row>
    <row r="344" spans="1:46" s="585" customFormat="1" ht="13.15" customHeight="1">
      <c r="A344" s="638"/>
      <c r="B344" s="646"/>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8"/>
      <c r="AL344" s="638"/>
      <c r="AM344" s="638"/>
      <c r="AN344" s="632"/>
      <c r="AQ344" s="605"/>
      <c r="AR344" s="605"/>
    </row>
    <row r="345" spans="1:46" s="585" customFormat="1" ht="12.75" customHeight="1">
      <c r="A345" s="638"/>
      <c r="B345" s="646"/>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8"/>
      <c r="AL345" s="638"/>
      <c r="AM345" s="638"/>
      <c r="AN345" s="632"/>
      <c r="AO345" s="729"/>
      <c r="AP345" s="729"/>
      <c r="AQ345" s="605"/>
    </row>
    <row r="346" spans="1:46" s="585" customFormat="1" ht="11.85" customHeight="1">
      <c r="A346" s="638"/>
      <c r="B346" s="646"/>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8"/>
      <c r="AL346" s="638"/>
      <c r="AM346" s="638"/>
      <c r="AN346" s="632"/>
      <c r="AO346" s="730" t="s">
        <v>113</v>
      </c>
      <c r="AP346" s="731">
        <f>IF(C370="Yes",5,0)</f>
        <v>0</v>
      </c>
      <c r="AS346" s="574" t="s">
        <v>1629</v>
      </c>
    </row>
    <row r="347" spans="1:46" s="585" customFormat="1" ht="12.75" customHeight="1">
      <c r="A347" s="638"/>
      <c r="B347" s="646"/>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8"/>
      <c r="AL347" s="638"/>
      <c r="AM347" s="638"/>
      <c r="AN347" s="632"/>
      <c r="AO347" s="730" t="s">
        <v>114</v>
      </c>
      <c r="AP347" s="731">
        <f>IF(C378="Yes",5,0)</f>
        <v>0</v>
      </c>
      <c r="AS347" s="2026">
        <f>IF(Application!D210="Non-Targeted",(SUM(AQ355+AQ364)),AS351)</f>
        <v>10</v>
      </c>
      <c r="AT347" s="2026"/>
    </row>
    <row r="348" spans="1:46" s="585" customFormat="1" ht="12.75" customHeight="1">
      <c r="A348" s="638"/>
      <c r="B348" s="646"/>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8"/>
      <c r="AL348" s="638"/>
      <c r="AM348" s="638"/>
      <c r="AN348" s="632"/>
      <c r="AO348" s="730" t="s">
        <v>120</v>
      </c>
      <c r="AP348" s="731">
        <f>IF(C386="Yes",7,0)</f>
        <v>7</v>
      </c>
      <c r="AS348" s="574" t="s">
        <v>1630</v>
      </c>
    </row>
    <row r="349" spans="1:46" s="585" customFormat="1" ht="12.75" customHeight="1">
      <c r="A349" s="638"/>
      <c r="B349" s="646"/>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8"/>
      <c r="AL349" s="638"/>
      <c r="AM349" s="638"/>
      <c r="AN349" s="632"/>
      <c r="AO349" s="632"/>
      <c r="AP349" s="731">
        <f>IF(C388="Yes",5,0)</f>
        <v>0</v>
      </c>
      <c r="AS349" s="2026">
        <f>IF(AND(AQ355&gt;0,AQ364&gt;0),(AQ355+AQ364)/2,0)</f>
        <v>0</v>
      </c>
      <c r="AT349" s="2026"/>
    </row>
    <row r="350" spans="1:46" s="585" customFormat="1" ht="12.75" customHeight="1">
      <c r="A350" s="638"/>
      <c r="B350" s="646"/>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8"/>
      <c r="AL350" s="638"/>
      <c r="AM350" s="638"/>
      <c r="AN350" s="632"/>
      <c r="AO350" s="730" t="s">
        <v>591</v>
      </c>
      <c r="AP350" s="731">
        <f>IF(C396="Yes",5,0)</f>
        <v>0</v>
      </c>
      <c r="AS350" s="574" t="s">
        <v>2145</v>
      </c>
    </row>
    <row r="351" spans="1:46" s="585" customFormat="1" ht="12.75" customHeight="1">
      <c r="A351" s="638"/>
      <c r="B351" s="646"/>
      <c r="C351" s="2027" t="s">
        <v>1631</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8"/>
      <c r="AL351" s="638"/>
      <c r="AM351" s="638"/>
      <c r="AN351" s="632"/>
      <c r="AO351" s="632"/>
      <c r="AP351" s="731">
        <f>IF(C398="Yes",3,0)</f>
        <v>3</v>
      </c>
      <c r="AS351" s="2026">
        <f>IF(AQ355=0,AQ364,AQ355)</f>
        <v>10</v>
      </c>
      <c r="AT351" s="2026"/>
    </row>
    <row r="352" spans="1:46" s="585" customFormat="1" ht="12.75" customHeight="1">
      <c r="A352" s="638"/>
      <c r="B352" s="646"/>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8"/>
      <c r="AL352" s="638"/>
      <c r="AM352" s="638"/>
      <c r="AN352" s="632"/>
      <c r="AO352" s="730" t="s">
        <v>788</v>
      </c>
      <c r="AP352" s="731">
        <f>IF(C401="Yes",5,0)</f>
        <v>0</v>
      </c>
    </row>
    <row r="353" spans="1:81" s="585" customFormat="1" ht="12.75" customHeight="1">
      <c r="A353" s="638"/>
      <c r="B353" s="646"/>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8"/>
      <c r="AL353" s="638"/>
      <c r="AM353" s="638"/>
      <c r="AN353" s="632"/>
      <c r="AO353" s="730" t="s">
        <v>594</v>
      </c>
      <c r="AP353" s="731">
        <f>IF(C410="Yes",5,0)</f>
        <v>0</v>
      </c>
    </row>
    <row r="354" spans="1:81" s="585" customFormat="1" ht="11.85" customHeight="1">
      <c r="A354" s="638"/>
      <c r="B354" s="646"/>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8"/>
      <c r="AL354" s="638"/>
      <c r="AM354" s="638"/>
      <c r="AN354" s="632"/>
      <c r="AO354" s="732"/>
      <c r="AP354" s="733">
        <f>IF(C412="Yes",3,0)</f>
        <v>0</v>
      </c>
    </row>
    <row r="355" spans="1:81" s="585" customFormat="1" ht="12.4" customHeight="1">
      <c r="A355" s="638"/>
      <c r="B355" s="646"/>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8"/>
      <c r="AL355" s="638"/>
      <c r="AM355" s="638"/>
      <c r="AN355" s="632"/>
      <c r="AO355" s="734" t="s">
        <v>229</v>
      </c>
      <c r="AP355" s="735">
        <f>SUM(AP346:AP354)</f>
        <v>10</v>
      </c>
      <c r="AQ355" s="2028">
        <f>IF(AP355&gt;0,AP355,0)</f>
        <v>10</v>
      </c>
      <c r="AR355" s="2028"/>
    </row>
    <row r="356" spans="1:81" s="585" customFormat="1" ht="12.75" customHeight="1">
      <c r="A356" s="638"/>
      <c r="B356" s="646"/>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09" t="s">
        <v>1632</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8"/>
      <c r="AL358" s="638"/>
      <c r="AM358" s="638"/>
      <c r="AN358" s="632"/>
      <c r="AO358" s="730" t="s">
        <v>466</v>
      </c>
      <c r="AP358" s="731">
        <f>IF(C431="Yes",5,0)</f>
        <v>0</v>
      </c>
    </row>
    <row r="359" spans="1:81" s="585" customFormat="1" ht="12.75" customHeight="1">
      <c r="A359" s="638"/>
      <c r="B359" s="646"/>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8"/>
      <c r="AL359" s="638"/>
      <c r="AM359" s="638"/>
      <c r="AN359" s="632"/>
      <c r="AO359" s="730" t="s">
        <v>471</v>
      </c>
      <c r="AP359" s="731">
        <f>IF(C438="Yes",5,0)</f>
        <v>0</v>
      </c>
    </row>
    <row r="360" spans="1:81" s="585" customFormat="1" ht="68.099999999999994" customHeight="1">
      <c r="A360" s="638"/>
      <c r="B360" s="646"/>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8"/>
      <c r="AL360" s="638"/>
      <c r="AM360" s="638"/>
      <c r="AN360" s="632"/>
      <c r="AO360" s="730" t="s">
        <v>656</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14">
        <f>Application!CS649-U363</f>
        <v>217</v>
      </c>
      <c r="V362" s="2114"/>
      <c r="W362" s="211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15">
        <f>Application!AG742</f>
        <v>0</v>
      </c>
      <c r="V363" s="2115"/>
      <c r="W363" s="21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28">
        <f>IF(AP364&gt;0,AP364,0)</f>
        <v>0</v>
      </c>
      <c r="AR364" s="2028"/>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13" t="s">
        <v>1637</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10" t="s">
        <v>601</v>
      </c>
      <c r="D370" s="1967"/>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11" t="s">
        <v>1639</v>
      </c>
      <c r="AG370" s="2011"/>
      <c r="AH370" s="2011"/>
      <c r="AI370" s="2011"/>
      <c r="AJ370" s="2011"/>
      <c r="AK370" s="2011"/>
      <c r="AL370" s="201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13" t="s">
        <v>1640</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7"/>
      <c r="AN377" s="632"/>
      <c r="BS377" s="30"/>
      <c r="BT377" s="30"/>
      <c r="BU377" s="14"/>
      <c r="BV377" s="14"/>
      <c r="BW377" s="14"/>
      <c r="BX377" s="14"/>
      <c r="BY377" s="14"/>
      <c r="BZ377" s="14"/>
      <c r="CA377" s="14"/>
      <c r="CB377" s="14"/>
      <c r="CC377" s="14"/>
    </row>
    <row r="378" spans="1:81" s="585" customFormat="1" ht="12.75" customHeight="1">
      <c r="A378" s="571"/>
      <c r="B378" s="14"/>
      <c r="C378" s="2010" t="s">
        <v>601</v>
      </c>
      <c r="D378" s="1967"/>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11" t="s">
        <v>1639</v>
      </c>
      <c r="AG378" s="2011"/>
      <c r="AH378" s="2011"/>
      <c r="AI378" s="2011"/>
      <c r="AJ378" s="2011"/>
      <c r="AK378" s="2011"/>
      <c r="AL378" s="201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13" t="s">
        <v>1642</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10" t="s">
        <v>555</v>
      </c>
      <c r="D386" s="1967"/>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11" t="s">
        <v>1644</v>
      </c>
      <c r="AG386" s="2011"/>
      <c r="AH386" s="2011"/>
      <c r="AI386" s="2011"/>
      <c r="AJ386" s="2011"/>
      <c r="AK386" s="2011"/>
      <c r="AL386" s="201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10" t="s">
        <v>601</v>
      </c>
      <c r="D388" s="1967"/>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11" t="s">
        <v>1639</v>
      </c>
      <c r="AG388" s="2011"/>
      <c r="AH388" s="2011"/>
      <c r="AI388" s="2011"/>
      <c r="AJ388" s="2011"/>
      <c r="AK388" s="2011"/>
      <c r="AL388" s="201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13" t="s">
        <v>1648</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10" t="s">
        <v>601</v>
      </c>
      <c r="D396" s="1967"/>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11" t="s">
        <v>1639</v>
      </c>
      <c r="AG396" s="2011"/>
      <c r="AH396" s="2011"/>
      <c r="AI396" s="2011"/>
      <c r="AJ396" s="2011"/>
      <c r="AK396" s="2011"/>
      <c r="AL396" s="201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10" t="s">
        <v>555</v>
      </c>
      <c r="D398" s="1967"/>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11" t="s">
        <v>1651</v>
      </c>
      <c r="AG398" s="2011"/>
      <c r="AH398" s="2011"/>
      <c r="AI398" s="2011"/>
      <c r="AJ398" s="2011"/>
      <c r="AK398" s="2011"/>
      <c r="AL398" s="201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10" t="s">
        <v>601</v>
      </c>
      <c r="D401" s="1967"/>
      <c r="E401" s="750" t="s">
        <v>1652</v>
      </c>
      <c r="F401" s="2013" t="s">
        <v>1653</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7" t="s">
        <v>1639</v>
      </c>
      <c r="AG402" s="1937"/>
      <c r="AH402" s="1937"/>
      <c r="AI402" s="1937"/>
      <c r="AJ402" s="1937"/>
      <c r="AK402" s="1937"/>
      <c r="AL402" s="2015"/>
      <c r="AM402" s="605"/>
      <c r="AN402" s="632"/>
      <c r="BS402" s="605"/>
      <c r="BT402" s="605"/>
      <c r="BY402" s="605"/>
      <c r="BZ402" s="605"/>
      <c r="CA402" s="605"/>
      <c r="CB402" s="605"/>
      <c r="CC402" s="605"/>
    </row>
    <row r="403" spans="1:81" s="585" customFormat="1" ht="12.75" customHeight="1">
      <c r="A403" s="571"/>
      <c r="B403" s="14"/>
      <c r="C403" s="766"/>
      <c r="D403" s="14"/>
      <c r="E403" s="726"/>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13" t="s">
        <v>1655</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2"/>
      <c r="AG406" s="782"/>
      <c r="AH406" s="782"/>
      <c r="AI406" s="782"/>
      <c r="AJ406" s="782"/>
      <c r="AK406" s="782"/>
      <c r="AL406" s="783"/>
      <c r="AM406" s="605"/>
    </row>
    <row r="407" spans="1:81">
      <c r="A407" s="571"/>
      <c r="C407" s="766"/>
      <c r="E407" s="726"/>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4"/>
      <c r="AG407" s="571"/>
      <c r="AH407" s="585"/>
      <c r="AI407" s="585"/>
      <c r="AJ407" s="585"/>
      <c r="AK407" s="585"/>
      <c r="AL407" s="767"/>
      <c r="AM407" s="605"/>
    </row>
    <row r="408" spans="1:81" s="585" customFormat="1" ht="12.75" customHeight="1">
      <c r="A408" s="571"/>
      <c r="B408" s="14"/>
      <c r="C408" s="766"/>
      <c r="D408" s="14"/>
      <c r="E408" s="726"/>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7"/>
      <c r="AM408" s="605"/>
      <c r="AN408" s="632"/>
    </row>
    <row r="409" spans="1:81" s="585" customFormat="1" ht="12.75" customHeight="1">
      <c r="A409" s="571"/>
      <c r="B409" s="14"/>
      <c r="C409" s="774"/>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7"/>
      <c r="AM409" s="605"/>
      <c r="AN409" s="632"/>
    </row>
    <row r="410" spans="1:81" s="585" customFormat="1" ht="12.75" customHeight="1">
      <c r="A410" s="571"/>
      <c r="B410" s="14"/>
      <c r="C410" s="2010" t="s">
        <v>601</v>
      </c>
      <c r="D410" s="1967"/>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7" t="s">
        <v>1639</v>
      </c>
      <c r="AG410" s="1937"/>
      <c r="AH410" s="1937"/>
      <c r="AI410" s="1937"/>
      <c r="AJ410" s="1937"/>
      <c r="AK410" s="1937"/>
      <c r="AL410" s="2015"/>
      <c r="AM410" s="605"/>
      <c r="AN410" s="632"/>
    </row>
    <row r="411" spans="1:81" s="585" customFormat="1" ht="12.75" customHeight="1">
      <c r="A411" s="571"/>
      <c r="B411" s="14"/>
      <c r="C411" s="774"/>
      <c r="AL411" s="767"/>
      <c r="AM411" s="605"/>
      <c r="AN411" s="632"/>
    </row>
    <row r="412" spans="1:81" s="585" customFormat="1" ht="12.75" customHeight="1">
      <c r="A412" s="571"/>
      <c r="B412" s="14"/>
      <c r="C412" s="2010" t="s">
        <v>601</v>
      </c>
      <c r="D412" s="1967"/>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7" t="s">
        <v>1651</v>
      </c>
      <c r="AG412" s="1937"/>
      <c r="AH412" s="1937"/>
      <c r="AI412" s="1937"/>
      <c r="AJ412" s="1937"/>
      <c r="AK412" s="1937"/>
      <c r="AL412" s="201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13" t="s">
        <v>1660</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9"/>
      <c r="AG416" s="749"/>
      <c r="AH416" s="749"/>
      <c r="AI416" s="749"/>
      <c r="AJ416" s="749"/>
      <c r="AK416" s="749"/>
      <c r="AL416" s="780"/>
      <c r="AM416" s="605"/>
      <c r="AN416" s="632"/>
    </row>
    <row r="417" spans="1:60" s="585" customFormat="1" ht="12.75" customHeight="1">
      <c r="A417" s="571"/>
      <c r="B417" s="14"/>
      <c r="C417" s="766"/>
      <c r="D417" s="14"/>
      <c r="E417" s="726"/>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4"/>
      <c r="AG417" s="571"/>
      <c r="AL417" s="767"/>
      <c r="AM417" s="605"/>
      <c r="AN417" s="632"/>
    </row>
    <row r="418" spans="1:60" s="585" customFormat="1" ht="12.4" customHeight="1">
      <c r="A418" s="571"/>
      <c r="B418" s="14"/>
      <c r="C418" s="766"/>
      <c r="D418" s="14"/>
      <c r="E418" s="726"/>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7"/>
      <c r="AM418" s="605"/>
      <c r="AN418" s="632"/>
    </row>
    <row r="419" spans="1:60" s="585" customFormat="1" ht="12.75" customHeight="1">
      <c r="A419" s="571"/>
      <c r="B419" s="14"/>
      <c r="C419" s="2010" t="s">
        <v>601</v>
      </c>
      <c r="D419" s="1967"/>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7" t="s">
        <v>1639</v>
      </c>
      <c r="AG419" s="1937"/>
      <c r="AH419" s="1937"/>
      <c r="AI419" s="1937"/>
      <c r="AJ419" s="1937"/>
      <c r="AK419" s="1937"/>
      <c r="AL419" s="201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2013" t="s">
        <v>1663</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2"/>
      <c r="AG422" s="782"/>
      <c r="AH422" s="782"/>
      <c r="AI422" s="782"/>
      <c r="AJ422" s="782"/>
      <c r="AK422" s="782"/>
      <c r="AL422" s="783"/>
      <c r="AM422" s="605"/>
      <c r="AO422" s="585"/>
      <c r="AP422" s="585"/>
      <c r="BD422" s="14"/>
      <c r="BE422" s="14"/>
      <c r="BF422" s="14"/>
      <c r="BG422" s="14"/>
      <c r="BH422" s="14"/>
    </row>
    <row r="423" spans="1:60">
      <c r="A423" s="571"/>
      <c r="C423" s="766"/>
      <c r="E423" s="726"/>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9"/>
      <c r="AG423" s="629"/>
      <c r="AH423" s="629"/>
      <c r="AI423" s="629"/>
      <c r="AJ423" s="629"/>
      <c r="AK423" s="629"/>
      <c r="AL423" s="786"/>
      <c r="AM423" s="605"/>
      <c r="AO423" s="585"/>
      <c r="AP423" s="585"/>
    </row>
    <row r="424" spans="1:60" s="585" customFormat="1" ht="12.75" customHeight="1">
      <c r="A424" s="571"/>
      <c r="B424" s="14"/>
      <c r="C424" s="766"/>
      <c r="D424" s="14"/>
      <c r="E424" s="726"/>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9"/>
      <c r="AG424" s="629"/>
      <c r="AH424" s="629"/>
      <c r="AI424" s="629"/>
      <c r="AJ424" s="629"/>
      <c r="AK424" s="629"/>
      <c r="AL424" s="786"/>
      <c r="AM424" s="605"/>
      <c r="AN424" s="632"/>
    </row>
    <row r="425" spans="1:60" s="585" customFormat="1" ht="12.75" customHeight="1">
      <c r="A425" s="571"/>
      <c r="B425" s="14"/>
      <c r="C425" s="787"/>
      <c r="D425" s="765"/>
      <c r="E425" s="754"/>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9"/>
      <c r="AG426" s="629"/>
      <c r="AH426" s="629"/>
      <c r="AI426" s="629"/>
      <c r="AJ426" s="629"/>
      <c r="AK426" s="629"/>
      <c r="AL426" s="786"/>
      <c r="AM426" s="605"/>
      <c r="AN426" s="632"/>
    </row>
    <row r="427" spans="1:60" s="585" customFormat="1" ht="12.75" customHeight="1">
      <c r="A427" s="571"/>
      <c r="B427" s="14"/>
      <c r="C427" s="787"/>
      <c r="D427" s="765"/>
      <c r="E427" s="754"/>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9"/>
      <c r="AG427" s="629"/>
      <c r="AH427" s="629"/>
      <c r="AI427" s="629"/>
      <c r="AJ427" s="629"/>
      <c r="AK427" s="629"/>
      <c r="AL427" s="786"/>
      <c r="AM427" s="605"/>
      <c r="AN427" s="632"/>
    </row>
    <row r="428" spans="1:60" s="585" customFormat="1" ht="12.75" customHeight="1">
      <c r="A428" s="571"/>
      <c r="B428" s="14"/>
      <c r="C428" s="787"/>
      <c r="D428" s="765"/>
      <c r="E428" s="754"/>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9"/>
      <c r="AG428" s="629"/>
      <c r="AH428" s="629"/>
      <c r="AI428" s="629"/>
      <c r="AJ428" s="629"/>
      <c r="AK428" s="629"/>
      <c r="AL428" s="786"/>
      <c r="AM428" s="605"/>
      <c r="AN428" s="632"/>
    </row>
    <row r="429" spans="1:60" s="585" customFormat="1" ht="12.75" customHeight="1">
      <c r="A429" s="571"/>
      <c r="B429" s="14"/>
      <c r="C429" s="787"/>
      <c r="D429" s="765"/>
      <c r="E429" s="754"/>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9"/>
      <c r="AG429" s="629"/>
      <c r="AH429" s="629"/>
      <c r="AI429" s="629"/>
      <c r="AJ429" s="629"/>
      <c r="AK429" s="629"/>
      <c r="AL429" s="786"/>
      <c r="AM429" s="605"/>
      <c r="AN429" s="632"/>
    </row>
    <row r="430" spans="1:60" s="585" customFormat="1" ht="17.25" customHeight="1">
      <c r="A430" s="571"/>
      <c r="B430" s="14"/>
      <c r="C430" s="787"/>
      <c r="D430" s="765"/>
      <c r="E430" s="754"/>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7"/>
      <c r="AM430" s="605"/>
      <c r="AN430" s="632"/>
    </row>
    <row r="431" spans="1:60" s="585" customFormat="1" ht="12.75" customHeight="1">
      <c r="A431" s="571"/>
      <c r="B431" s="14"/>
      <c r="C431" s="2010" t="s">
        <v>601</v>
      </c>
      <c r="D431" s="1967"/>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7" t="s">
        <v>1639</v>
      </c>
      <c r="AG431" s="1937"/>
      <c r="AH431" s="1937"/>
      <c r="AI431" s="1937"/>
      <c r="AJ431" s="1937"/>
      <c r="AK431" s="1937"/>
      <c r="AL431" s="201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13" t="s">
        <v>1666</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7"/>
      <c r="AM437" s="605"/>
      <c r="AN437" s="632"/>
      <c r="AO437" s="585" t="s">
        <v>1669</v>
      </c>
      <c r="AP437" s="585">
        <v>5</v>
      </c>
      <c r="AQ437" s="571"/>
    </row>
    <row r="438" spans="1:54" s="585" customFormat="1" ht="12.75" customHeight="1">
      <c r="A438" s="571"/>
      <c r="B438" s="14"/>
      <c r="C438" s="2010" t="s">
        <v>601</v>
      </c>
      <c r="D438" s="1967"/>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7" t="s">
        <v>1639</v>
      </c>
      <c r="AG438" s="1937"/>
      <c r="AH438" s="1937"/>
      <c r="AI438" s="1937"/>
      <c r="AJ438" s="1937"/>
      <c r="AK438" s="1937"/>
      <c r="AL438" s="2015"/>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16" t="s">
        <v>601</v>
      </c>
      <c r="D442" s="2017"/>
      <c r="E442" s="750" t="s">
        <v>1675</v>
      </c>
      <c r="F442" s="2013" t="s">
        <v>1676</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0" t="s">
        <v>1639</v>
      </c>
      <c r="AG442" s="2030"/>
      <c r="AH442" s="2030"/>
      <c r="AI442" s="2030"/>
      <c r="AJ442" s="2030"/>
      <c r="AK442" s="2030"/>
      <c r="AL442" s="2031"/>
      <c r="AM442" s="605"/>
      <c r="AN442" s="789"/>
      <c r="AO442" s="585" t="s">
        <v>1677</v>
      </c>
      <c r="AP442" s="585">
        <v>1</v>
      </c>
    </row>
    <row r="443" spans="1:54" s="585" customFormat="1" ht="12.75" customHeight="1">
      <c r="A443" s="571"/>
      <c r="B443" s="14"/>
      <c r="C443" s="787"/>
      <c r="D443" s="765"/>
      <c r="E443" s="75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2010" t="s">
        <v>601</v>
      </c>
      <c r="D446" s="1967"/>
      <c r="E446" s="750" t="s">
        <v>1681</v>
      </c>
      <c r="F446" s="2013" t="s">
        <v>1682</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0" t="s">
        <v>1639</v>
      </c>
      <c r="AG446" s="2030"/>
      <c r="AH446" s="2030"/>
      <c r="AI446" s="2030"/>
      <c r="AJ446" s="2030"/>
      <c r="AK446" s="2030"/>
      <c r="AL446" s="2031"/>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13" t="s">
        <v>1685</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9"/>
      <c r="AH451" s="749"/>
      <c r="AI451" s="749"/>
      <c r="AJ451" s="749"/>
      <c r="AK451" s="749"/>
      <c r="AL451" s="780"/>
      <c r="AM451" s="605"/>
      <c r="AN451" s="632"/>
    </row>
    <row r="452" spans="1:49" s="585" customFormat="1" ht="12.75" customHeight="1">
      <c r="A452" s="571"/>
      <c r="B452" s="14"/>
      <c r="C452" s="766"/>
      <c r="D452" s="14"/>
      <c r="E452" s="726"/>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7"/>
      <c r="AM452" s="605"/>
      <c r="AN452" s="632"/>
    </row>
    <row r="453" spans="1:49" s="585" customFormat="1" ht="12.75" customHeight="1">
      <c r="A453" s="571"/>
      <c r="B453" s="14"/>
      <c r="C453" s="774"/>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7"/>
      <c r="AM453" s="605"/>
      <c r="AN453" s="632"/>
    </row>
    <row r="454" spans="1:49" s="585" customFormat="1" ht="12.75" customHeight="1">
      <c r="A454" s="571"/>
      <c r="B454" s="14"/>
      <c r="C454" s="774"/>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7"/>
      <c r="AM454" s="605"/>
      <c r="AN454" s="632"/>
    </row>
    <row r="455" spans="1:49" s="585" customFormat="1" ht="12.75" customHeight="1">
      <c r="A455" s="571"/>
      <c r="B455" s="14"/>
      <c r="C455" s="2010" t="s">
        <v>601</v>
      </c>
      <c r="D455" s="1967"/>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11" t="s">
        <v>1639</v>
      </c>
      <c r="AG455" s="2011"/>
      <c r="AH455" s="2011"/>
      <c r="AI455" s="2011"/>
      <c r="AJ455" s="2011"/>
      <c r="AK455" s="2011"/>
      <c r="AL455" s="201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70">
        <f>IF(Application!D213="N/A",AS347,AS349)</f>
        <v>10</v>
      </c>
      <c r="AL458" s="1971"/>
      <c r="AM458" s="197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2011" t="s">
        <v>1689</v>
      </c>
      <c r="AF461" s="2011"/>
      <c r="AG461" s="2011"/>
      <c r="AH461" s="2011"/>
      <c r="AI461" s="2011"/>
      <c r="AJ461" s="2011"/>
      <c r="AK461" s="2011"/>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32" t="s">
        <v>601</v>
      </c>
      <c r="D467" s="2033"/>
      <c r="E467" s="797" t="s">
        <v>517</v>
      </c>
      <c r="F467" s="2034" t="s">
        <v>1695</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6"/>
      <c r="AH468" s="586"/>
      <c r="AI468" s="586"/>
      <c r="AJ468" s="586"/>
      <c r="AK468" s="767"/>
      <c r="AN468" s="632"/>
      <c r="AO468" s="585" t="s">
        <v>1677</v>
      </c>
      <c r="AP468" s="585">
        <v>1</v>
      </c>
    </row>
    <row r="469" spans="1:50" s="585" customFormat="1" ht="12.75" hidden="1" customHeight="1">
      <c r="C469" s="800"/>
      <c r="D469" s="762"/>
      <c r="E469" s="801"/>
      <c r="F469" s="2036" t="s">
        <v>601</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37" t="s">
        <v>555</v>
      </c>
      <c r="D471" s="2038"/>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44" t="s">
        <v>601</v>
      </c>
      <c r="W474" s="2044"/>
      <c r="X474" s="2044"/>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44" t="s">
        <v>601</v>
      </c>
      <c r="W476" s="2044"/>
      <c r="X476" s="2044"/>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44" t="s">
        <v>601</v>
      </c>
      <c r="W481" s="2044"/>
      <c r="X481" s="2044"/>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43"/>
      <c r="E484" s="2043"/>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44" t="s">
        <v>601</v>
      </c>
      <c r="W485" s="2044"/>
      <c r="X485" s="2044"/>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44" t="s">
        <v>601</v>
      </c>
      <c r="W487" s="2044"/>
      <c r="X487" s="2044"/>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32" t="s">
        <v>601</v>
      </c>
      <c r="D490" s="2033"/>
      <c r="E490" s="797" t="s">
        <v>517</v>
      </c>
      <c r="F490" s="2034" t="s">
        <v>1695</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9" t="s">
        <v>601</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32" t="s">
        <v>601</v>
      </c>
      <c r="D494" s="2033"/>
      <c r="E494" s="797" t="s">
        <v>770</v>
      </c>
      <c r="F494" s="2040" t="s">
        <v>1717</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42" t="s">
        <v>601</v>
      </c>
      <c r="G497" s="2042"/>
      <c r="H497" s="204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32" t="s">
        <v>601</v>
      </c>
      <c r="D499" s="2033"/>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55"/>
      <c r="D501" s="2043"/>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56" t="s">
        <v>601</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7" t="s">
        <v>601</v>
      </c>
      <c r="D504" s="2058"/>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7" t="s">
        <v>601</v>
      </c>
      <c r="D508" s="2058"/>
      <c r="F508" s="831" t="s">
        <v>1725</v>
      </c>
      <c r="G508" s="2014" t="s">
        <v>1726</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5" t="s">
        <v>601</v>
      </c>
      <c r="D512" s="2046"/>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7" t="s">
        <v>601</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70">
        <f>SUM(AG468:AG513)</f>
        <v>0</v>
      </c>
      <c r="AL524" s="1971"/>
      <c r="AM524" s="197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5" t="s">
        <v>1738</v>
      </c>
      <c r="AF527" s="1905"/>
      <c r="AG527" s="1905"/>
      <c r="AH527" s="1905"/>
      <c r="AI527" s="1905"/>
      <c r="AJ527" s="1905"/>
      <c r="AK527" s="1905"/>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7" t="s">
        <v>555</v>
      </c>
      <c r="D530" s="1967"/>
      <c r="E530" s="586"/>
      <c r="F530" s="2049" t="s">
        <v>1739</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30"/>
      <c r="AN530" s="632"/>
    </row>
    <row r="531" spans="1:49" s="585" customFormat="1" ht="12.75" customHeight="1">
      <c r="A531" s="574"/>
      <c r="B531" s="574"/>
      <c r="C531" s="586"/>
      <c r="D531" s="586"/>
      <c r="E531" s="586"/>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7" t="s">
        <v>601</v>
      </c>
      <c r="D533" s="1967"/>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9" t="s">
        <v>1741</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30"/>
      <c r="AN534" s="632"/>
      <c r="AS534" s="906"/>
      <c r="AT534" s="906"/>
      <c r="AU534" s="906"/>
      <c r="AV534" s="906"/>
      <c r="AW534" s="906"/>
    </row>
    <row r="535" spans="1:49" s="585" customFormat="1" ht="12.75" customHeight="1">
      <c r="B535" s="842"/>
      <c r="C535" s="842"/>
      <c r="D535" s="842"/>
      <c r="E535" s="842"/>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9" t="s">
        <v>1742</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9"/>
      <c r="AM537" s="630"/>
      <c r="AN537" s="632"/>
    </row>
    <row r="538" spans="1:49" s="585" customFormat="1" ht="12.75" customHeight="1">
      <c r="B538" s="842"/>
      <c r="C538" s="842"/>
      <c r="D538" s="842"/>
      <c r="E538" s="842"/>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13">
        <f>Application!AJ961</f>
        <v>81154488</v>
      </c>
      <c r="AQ539" s="2113"/>
      <c r="AR539" s="2113"/>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73">
        <f>'Sources and Uses Budget'!S107+'Sources and Uses Budget'!T107</f>
        <v>55007468</v>
      </c>
      <c r="AG540" s="1973"/>
      <c r="AH540" s="1973"/>
      <c r="AI540" s="1973"/>
      <c r="AJ540" s="1973"/>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8">
        <f>IFERROR(AP548,0)</f>
        <v>124780239.31999999</v>
      </c>
      <c r="AG541" s="2118"/>
      <c r="AH541" s="2118"/>
      <c r="AI541" s="2118"/>
      <c r="AJ541" s="2118"/>
      <c r="AK541" s="630"/>
      <c r="AL541" s="630"/>
      <c r="AM541" s="630"/>
      <c r="AN541" s="632"/>
      <c r="AP541" s="2113">
        <f>Application!AJ1010</f>
        <v>15419352.720000001</v>
      </c>
      <c r="AQ541" s="2113"/>
      <c r="AR541" s="211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9">
        <f>IFERROR(ROUNDDOWN(IF(C533="YES",((1-(AF540/AF541))*2),(1-(AF540/AF541))),2),0)</f>
        <v>0.55000000000000004</v>
      </c>
      <c r="AG542" s="2119"/>
      <c r="AH542" s="2119"/>
      <c r="AI542" s="2119"/>
      <c r="AJ542" s="2119"/>
      <c r="AK542" s="630"/>
      <c r="AL542" s="630"/>
      <c r="AM542" s="630"/>
      <c r="AN542" s="632"/>
      <c r="AP542" s="2116">
        <f>Application!AJ1014</f>
        <v>16230897.600000001</v>
      </c>
      <c r="AQ542" s="2116"/>
      <c r="AR542" s="211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12">
        <f>IF(((AP541+AP542)/AP539)&gt;0.8,0.8,((AP541+AP542)/AP539))</f>
        <v>0.39</v>
      </c>
      <c r="AQ543" s="2112"/>
      <c r="AR543" s="2112"/>
    </row>
    <row r="544" spans="1:49" s="585" customFormat="1" ht="12.75" customHeight="1">
      <c r="A544" s="659"/>
      <c r="B544" s="2065" t="s">
        <v>2430</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30"/>
      <c r="AL544" s="630"/>
      <c r="AM544" s="630"/>
      <c r="AN544" s="632"/>
    </row>
    <row r="545" spans="1:44" s="585" customFormat="1" ht="12.75" customHeight="1">
      <c r="A545" s="659"/>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30"/>
      <c r="AL545" s="630"/>
      <c r="AM545" s="630"/>
      <c r="AN545" s="632"/>
      <c r="AP545" s="2113">
        <f>AP546-AP541-AP542</f>
        <v>93129989</v>
      </c>
      <c r="AQ545" s="2022"/>
      <c r="AR545" s="2022"/>
    </row>
    <row r="546" spans="1:44" s="585" customFormat="1" ht="12.75" customHeight="1">
      <c r="A546" s="659"/>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30"/>
      <c r="AL546" s="630"/>
      <c r="AM546" s="630"/>
      <c r="AN546" s="632"/>
      <c r="AP546" s="2113">
        <f>Application!AJ1018</f>
        <v>124780239.31999999</v>
      </c>
      <c r="AQ546" s="2113"/>
      <c r="AR546" s="211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74">
        <f>IFERROR(IF(AND(C530="N/A",C533="N/A"),0,IF(AF542=0,0,IF((AF542*100)&gt;12,12,(AF542*100)))),0)</f>
        <v>12</v>
      </c>
      <c r="AL548" s="2074"/>
      <c r="AM548" s="2075"/>
      <c r="AN548" s="632"/>
      <c r="AP548" s="2129">
        <f>AP545+(AP539*AP543)</f>
        <v>124780239.31999999</v>
      </c>
      <c r="AQ548" s="2130"/>
      <c r="AR548" s="213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5" t="s">
        <v>1487</v>
      </c>
      <c r="AF551" s="1905"/>
      <c r="AG551" s="1905"/>
      <c r="AH551" s="1905"/>
      <c r="AI551" s="1905"/>
      <c r="AJ551" s="1905"/>
      <c r="AK551" s="190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90" t="s">
        <v>2421</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7"/>
      <c r="AL553" s="608"/>
      <c r="AM553" s="638"/>
      <c r="AN553" s="632"/>
    </row>
    <row r="554" spans="1:44" s="585" customFormat="1" ht="12.75" customHeight="1">
      <c r="A554" s="638"/>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7"/>
      <c r="AL554" s="608"/>
      <c r="AM554" s="638"/>
      <c r="AN554" s="632"/>
    </row>
    <row r="555" spans="1:44" s="585" customFormat="1" ht="12.75" customHeight="1">
      <c r="A555" s="638"/>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7"/>
      <c r="AL555" s="608"/>
      <c r="AM555" s="638"/>
      <c r="AN555" s="632"/>
    </row>
    <row r="556" spans="1:44" s="585" customFormat="1" ht="12.75" customHeight="1">
      <c r="A556" s="638"/>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7"/>
      <c r="AL556" s="608"/>
      <c r="AM556" s="638"/>
      <c r="AN556" s="632"/>
    </row>
    <row r="557" spans="1:44" s="585" customFormat="1" ht="12.75" customHeight="1">
      <c r="A557" s="638"/>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7"/>
      <c r="AL557" s="608"/>
      <c r="AM557" s="638"/>
      <c r="AN557" s="632"/>
    </row>
    <row r="558" spans="1:44" s="585" customFormat="1" ht="12.75" customHeight="1">
      <c r="A558" s="638"/>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7"/>
      <c r="AL558" s="608"/>
      <c r="AM558" s="638"/>
      <c r="AN558" s="632"/>
    </row>
    <row r="559" spans="1:44" s="585" customFormat="1" ht="12.75" customHeight="1">
      <c r="A559" s="638"/>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7"/>
      <c r="AL559" s="608"/>
      <c r="AM559" s="638"/>
      <c r="AN559" s="632"/>
    </row>
    <row r="560" spans="1:44" ht="12.75" customHeight="1">
      <c r="A560" s="638"/>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7"/>
      <c r="AL560" s="608"/>
      <c r="AM560" s="638"/>
    </row>
    <row r="561" spans="1:42" s="585" customFormat="1" ht="12.75"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7" t="s">
        <v>1511</v>
      </c>
      <c r="AG567" s="1937"/>
      <c r="AH567" s="1937"/>
      <c r="AI567" s="1937"/>
      <c r="AJ567" s="1937"/>
      <c r="AK567" s="1937"/>
      <c r="AL567" s="193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37" t="s">
        <v>1569</v>
      </c>
      <c r="AG574" s="1937"/>
      <c r="AH574" s="1937"/>
      <c r="AI574" s="1937"/>
      <c r="AJ574" s="1937"/>
      <c r="AK574" s="1937"/>
      <c r="AL574" s="193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37" t="s">
        <v>1551</v>
      </c>
      <c r="AG580" s="1937"/>
      <c r="AH580" s="1937"/>
      <c r="AI580" s="1937"/>
      <c r="AJ580" s="1937"/>
      <c r="AK580" s="1937"/>
      <c r="AL580" s="193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37" t="s">
        <v>1572</v>
      </c>
      <c r="AG586" s="1937"/>
      <c r="AH586" s="1937"/>
      <c r="AI586" s="1937"/>
      <c r="AJ586" s="1937"/>
      <c r="AK586" s="1937"/>
      <c r="AL586" s="193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21" t="s">
        <v>1328</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37" t="s">
        <v>1525</v>
      </c>
      <c r="AG592" s="1937"/>
      <c r="AH592" s="1937"/>
      <c r="AI592" s="1937"/>
      <c r="AJ592" s="1937"/>
      <c r="AK592" s="1937"/>
      <c r="AL592" s="193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19" t="s">
        <v>1570</v>
      </c>
      <c r="I595" s="201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20" t="s">
        <v>601</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64" t="s">
        <v>601</v>
      </c>
      <c r="C605" s="1964"/>
      <c r="D605" s="677"/>
      <c r="E605" s="1990" t="s">
        <v>1576</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7"/>
      <c r="AI605" s="677"/>
      <c r="AJ605" s="677"/>
      <c r="AK605" s="677"/>
      <c r="AL605" s="677"/>
      <c r="AN605" s="632"/>
    </row>
    <row r="606" spans="2:47" s="585" customFormat="1" ht="12.75" customHeight="1">
      <c r="B606" s="571"/>
      <c r="C606" s="970"/>
      <c r="D606" s="677"/>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7"/>
      <c r="AI606" s="677"/>
      <c r="AJ606" s="677"/>
      <c r="AK606" s="677"/>
      <c r="AL606" s="677"/>
      <c r="AN606" s="632"/>
    </row>
    <row r="607" spans="2:47" s="585" customFormat="1" ht="12.75" customHeight="1">
      <c r="B607" s="571"/>
      <c r="C607" s="970"/>
      <c r="D607" s="677"/>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7"/>
      <c r="AI607" s="677"/>
      <c r="AJ607" s="677"/>
      <c r="AK607" s="677"/>
      <c r="AL607" s="677"/>
      <c r="AN607" s="632"/>
    </row>
    <row r="608" spans="2:47" s="585" customFormat="1" ht="12.75" customHeight="1">
      <c r="B608" s="571"/>
      <c r="C608" s="970"/>
      <c r="D608" s="677"/>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70">
        <f>VLOOKUP($H$595,$AO$575:$AP$580,2,FALSE)+VLOOKUP($I$603,$AO$602:$AP$604,2,FALSE)</f>
        <v>4</v>
      </c>
      <c r="AK610" s="197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8" t="s">
        <v>1955</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4"/>
      <c r="AF614" s="1937" t="s">
        <v>1525</v>
      </c>
      <c r="AG614" s="1937"/>
      <c r="AH614" s="1937"/>
      <c r="AI614" s="1937"/>
      <c r="AJ614" s="1937"/>
      <c r="AK614" s="1937"/>
      <c r="AL614" s="1937"/>
      <c r="AM614" s="585"/>
      <c r="AN614" s="713"/>
    </row>
    <row r="615" spans="1:42" s="585" customFormat="1" ht="12.75" customHeight="1">
      <c r="A615" s="714"/>
      <c r="B615" s="571"/>
      <c r="C615" s="970"/>
      <c r="D615" s="698"/>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1"/>
      <c r="AF615" s="571"/>
      <c r="AG615" s="571"/>
      <c r="AH615" s="571"/>
      <c r="AI615" s="571"/>
      <c r="AJ615" s="571"/>
      <c r="AK615" s="571"/>
      <c r="AL615" s="571"/>
      <c r="AN615" s="632"/>
    </row>
    <row r="616" spans="1:42" s="585" customFormat="1" ht="12.75" customHeight="1">
      <c r="B616" s="571"/>
      <c r="C616" s="968"/>
      <c r="D616" s="698"/>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1"/>
      <c r="AF616" s="571"/>
      <c r="AG616" s="571"/>
      <c r="AH616" s="571"/>
      <c r="AI616" s="571"/>
      <c r="AJ616" s="571"/>
      <c r="AK616" s="571"/>
      <c r="AL616" s="571"/>
      <c r="AN616" s="632"/>
    </row>
    <row r="617" spans="1:42" s="585" customFormat="1" ht="12.75" customHeight="1">
      <c r="B617" s="571"/>
      <c r="C617" s="968"/>
      <c r="D617" s="698"/>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1"/>
      <c r="AF617" s="571"/>
      <c r="AG617" s="571"/>
      <c r="AH617" s="571"/>
      <c r="AI617" s="571"/>
      <c r="AJ617" s="571"/>
      <c r="AK617" s="571"/>
      <c r="AL617" s="571"/>
      <c r="AN617" s="632"/>
    </row>
    <row r="618" spans="1:42" s="585" customFormat="1" ht="12.75" customHeight="1">
      <c r="B618" s="571"/>
      <c r="C618" s="968"/>
      <c r="D618" s="698"/>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1"/>
      <c r="AF618" s="571"/>
      <c r="AG618" s="571"/>
      <c r="AH618" s="571"/>
      <c r="AI618" s="571"/>
      <c r="AJ618" s="571"/>
      <c r="AK618" s="571"/>
      <c r="AL618" s="571"/>
      <c r="AN618" s="632"/>
    </row>
    <row r="619" spans="1:42" s="585" customFormat="1" ht="12.75" customHeight="1">
      <c r="B619" s="571"/>
      <c r="C619" s="968"/>
      <c r="D619" s="698"/>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1"/>
      <c r="AF619" s="571"/>
      <c r="AG619" s="571"/>
      <c r="AH619" s="571"/>
      <c r="AI619" s="571"/>
      <c r="AJ619" s="571"/>
      <c r="AK619" s="571"/>
      <c r="AL619" s="571"/>
      <c r="AN619" s="632"/>
    </row>
    <row r="620" spans="1:42" s="585" customFormat="1" ht="12.75" customHeight="1">
      <c r="A620" s="672"/>
      <c r="B620" s="651"/>
      <c r="C620" s="977"/>
      <c r="D620" s="698"/>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1"/>
      <c r="AF620" s="651"/>
      <c r="AG620" s="651"/>
      <c r="AH620" s="651"/>
      <c r="AI620" s="651"/>
      <c r="AJ620" s="651"/>
      <c r="AK620" s="571"/>
      <c r="AL620" s="571"/>
      <c r="AN620" s="632"/>
    </row>
    <row r="621" spans="1:42" s="585" customFormat="1" ht="12.75" customHeight="1">
      <c r="B621" s="651"/>
      <c r="C621" s="977"/>
      <c r="D621" s="698"/>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64" t="s">
        <v>601</v>
      </c>
      <c r="Y623" s="196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37" t="s">
        <v>1581</v>
      </c>
      <c r="AG625" s="1937"/>
      <c r="AH625" s="1937"/>
      <c r="AI625" s="1937"/>
      <c r="AJ625" s="1937"/>
      <c r="AK625" s="1937"/>
      <c r="AL625" s="193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19" t="s">
        <v>601</v>
      </c>
      <c r="I627" s="201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70">
        <f>VLOOKUP($H$627,$AO$594:$AP$596,2,FALSE)</f>
        <v>0</v>
      </c>
      <c r="AK629" s="1972"/>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90" t="s">
        <v>2521</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1"/>
      <c r="AF633" s="1937" t="s">
        <v>1525</v>
      </c>
      <c r="AG633" s="1937"/>
      <c r="AH633" s="1937"/>
      <c r="AI633" s="1937"/>
      <c r="AJ633" s="1937"/>
      <c r="AK633" s="1937"/>
      <c r="AL633" s="1937"/>
      <c r="AN633" s="632"/>
    </row>
    <row r="634" spans="1:42" s="585" customFormat="1" ht="12.75" customHeight="1">
      <c r="B634" s="571"/>
      <c r="C634" s="571"/>
      <c r="D634" s="698"/>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7" t="s">
        <v>1581</v>
      </c>
      <c r="AG636" s="1937"/>
      <c r="AH636" s="1937"/>
      <c r="AI636" s="1937"/>
      <c r="AJ636" s="1937"/>
      <c r="AK636" s="1937"/>
      <c r="AL636" s="193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19" t="s">
        <v>601</v>
      </c>
      <c r="I639" s="201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70">
        <f>VLOOKUP(H639,AT594:AU596,2,FALSE)</f>
        <v>0</v>
      </c>
      <c r="AK641" s="1972"/>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90" t="s">
        <v>1591</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1"/>
      <c r="AE646" s="571"/>
      <c r="AF646" s="1937" t="s">
        <v>1551</v>
      </c>
      <c r="AG646" s="1937"/>
      <c r="AH646" s="1937"/>
      <c r="AI646" s="1937"/>
      <c r="AJ646" s="1937"/>
      <c r="AK646" s="1937"/>
      <c r="AL646" s="1937"/>
      <c r="AN646" s="632"/>
    </row>
    <row r="647" spans="1:42" s="585" customFormat="1" ht="12.75" customHeight="1">
      <c r="B647" s="571"/>
      <c r="C647" s="574"/>
      <c r="D647" s="571"/>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1"/>
      <c r="AE647" s="571"/>
      <c r="AF647" s="571"/>
      <c r="AG647" s="571"/>
      <c r="AH647" s="571"/>
      <c r="AI647" s="571"/>
      <c r="AJ647" s="571"/>
      <c r="AK647" s="571"/>
      <c r="AL647" s="571"/>
      <c r="AN647" s="632"/>
    </row>
    <row r="648" spans="1:42" s="585" customFormat="1" ht="12.75" customHeight="1">
      <c r="B648" s="571"/>
      <c r="C648" s="574"/>
      <c r="D648" s="698"/>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90" t="s">
        <v>1592</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1"/>
      <c r="AE650" s="571"/>
      <c r="AF650" s="1937" t="s">
        <v>1572</v>
      </c>
      <c r="AG650" s="1937"/>
      <c r="AH650" s="1937"/>
      <c r="AI650" s="1937"/>
      <c r="AJ650" s="1937"/>
      <c r="AK650" s="1937"/>
      <c r="AL650" s="1937"/>
      <c r="AN650" s="632"/>
    </row>
    <row r="651" spans="1:42" s="585" customFormat="1" ht="12.75" customHeight="1">
      <c r="B651" s="571"/>
      <c r="C651" s="574"/>
      <c r="D651" s="571"/>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1"/>
      <c r="AE651" s="571"/>
      <c r="AF651" s="571"/>
      <c r="AG651" s="571"/>
      <c r="AH651" s="571"/>
      <c r="AI651" s="571"/>
      <c r="AJ651" s="571"/>
      <c r="AK651" s="571"/>
      <c r="AL651" s="571"/>
      <c r="AN651" s="632"/>
    </row>
    <row r="652" spans="1:42" s="585" customFormat="1" ht="15" customHeight="1">
      <c r="B652" s="571"/>
      <c r="C652" s="574"/>
      <c r="D652" s="698"/>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90" t="s">
        <v>1593</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1"/>
      <c r="AE654" s="571"/>
      <c r="AF654" s="1937" t="s">
        <v>1525</v>
      </c>
      <c r="AG654" s="1937"/>
      <c r="AH654" s="1937"/>
      <c r="AI654" s="1937"/>
      <c r="AJ654" s="1937"/>
      <c r="AK654" s="1937"/>
      <c r="AL654" s="1937"/>
      <c r="AN654" s="632"/>
    </row>
    <row r="655" spans="1:42" s="585" customFormat="1" ht="12.75" customHeight="1">
      <c r="B655" s="571"/>
      <c r="C655" s="968"/>
      <c r="D655" s="571"/>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1"/>
      <c r="AE655" s="1937"/>
      <c r="AF655" s="1937"/>
      <c r="AG655" s="1937"/>
      <c r="AH655" s="1937"/>
      <c r="AI655" s="1937"/>
      <c r="AJ655" s="1937"/>
      <c r="AK655" s="1937"/>
      <c r="AL655" s="629"/>
      <c r="AN655" s="632"/>
      <c r="AO655" s="585" t="s">
        <v>601</v>
      </c>
      <c r="AP655" s="708">
        <v>0</v>
      </c>
    </row>
    <row r="656" spans="1:42" s="585" customFormat="1" ht="12.75" customHeight="1">
      <c r="A656" s="714"/>
      <c r="B656" s="571"/>
      <c r="C656" s="571"/>
      <c r="D656" s="698"/>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90" t="s">
        <v>1594</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1"/>
      <c r="AE658" s="571"/>
      <c r="AF658" s="1937" t="s">
        <v>1572</v>
      </c>
      <c r="AG658" s="1937"/>
      <c r="AH658" s="1937"/>
      <c r="AI658" s="1937"/>
      <c r="AJ658" s="1937"/>
      <c r="AK658" s="1937"/>
      <c r="AL658" s="1937"/>
      <c r="AN658" s="632"/>
    </row>
    <row r="659" spans="1:42" s="585" customFormat="1" ht="12.75" customHeight="1">
      <c r="A659" s="705"/>
      <c r="B659" s="571"/>
      <c r="C659" s="984"/>
      <c r="D659" s="698"/>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90" t="s">
        <v>1595</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1"/>
      <c r="AE662" s="571"/>
      <c r="AF662" s="1937" t="s">
        <v>1525</v>
      </c>
      <c r="AG662" s="1937"/>
      <c r="AH662" s="1937"/>
      <c r="AI662" s="1937"/>
      <c r="AJ662" s="1937"/>
      <c r="AK662" s="1937"/>
      <c r="AL662" s="1937"/>
      <c r="AM662" s="631"/>
      <c r="AN662" s="632"/>
    </row>
    <row r="663" spans="1:42" s="585" customFormat="1" ht="12.75" customHeight="1">
      <c r="B663" s="571"/>
      <c r="C663" s="968"/>
      <c r="D663" s="698"/>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1"/>
      <c r="AE663" s="571"/>
      <c r="AF663" s="571"/>
      <c r="AG663" s="571"/>
      <c r="AH663" s="571"/>
      <c r="AI663" s="571"/>
      <c r="AJ663" s="571"/>
      <c r="AK663" s="571"/>
      <c r="AL663" s="571"/>
      <c r="AM663" s="631"/>
      <c r="AN663" s="632"/>
    </row>
    <row r="664" spans="1:42" s="585" customFormat="1" ht="12.75" customHeight="1">
      <c r="B664" s="571"/>
      <c r="C664" s="968"/>
      <c r="D664" s="698"/>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90" t="s">
        <v>1596</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1"/>
      <c r="AE666" s="571"/>
      <c r="AF666" s="1937" t="s">
        <v>1581</v>
      </c>
      <c r="AG666" s="1937"/>
      <c r="AH666" s="1937"/>
      <c r="AI666" s="1937"/>
      <c r="AJ666" s="1937"/>
      <c r="AK666" s="1937"/>
      <c r="AL666" s="1937"/>
      <c r="AM666" s="631"/>
      <c r="AN666" s="632"/>
    </row>
    <row r="667" spans="1:42" s="585" customFormat="1" ht="12.75" customHeight="1">
      <c r="A667" s="714"/>
      <c r="B667" s="571"/>
      <c r="C667" s="968"/>
      <c r="D667" s="698"/>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90" t="s">
        <v>1597</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1"/>
      <c r="AE670" s="571"/>
      <c r="AF670" s="1937" t="s">
        <v>1598</v>
      </c>
      <c r="AG670" s="1937"/>
      <c r="AH670" s="1937"/>
      <c r="AI670" s="1937"/>
      <c r="AJ670" s="1937"/>
      <c r="AK670" s="1937"/>
      <c r="AL670" s="1937"/>
      <c r="AM670" s="631"/>
      <c r="AN670" s="632"/>
      <c r="AO670" s="646" t="s">
        <v>698</v>
      </c>
      <c r="AP670" s="585">
        <v>3</v>
      </c>
    </row>
    <row r="671" spans="1:42" s="585" customFormat="1" ht="12.75" customHeight="1">
      <c r="A671" s="714"/>
      <c r="B671" s="571"/>
      <c r="C671" s="968"/>
      <c r="D671" s="698"/>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19" t="s">
        <v>280</v>
      </c>
      <c r="I674" s="201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70">
        <f>VLOOKUP($H$674,$AO$622:$AP$629,2,FALSE)</f>
        <v>3</v>
      </c>
      <c r="AK676" s="197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90" t="s">
        <v>2558</v>
      </c>
      <c r="F680" s="1990"/>
      <c r="G680" s="1990"/>
      <c r="H680" s="1990"/>
      <c r="I680" s="1990"/>
      <c r="J680" s="1990"/>
      <c r="K680" s="1990"/>
      <c r="L680" s="1990"/>
      <c r="M680" s="1990"/>
      <c r="N680" s="1990"/>
      <c r="O680" s="1990"/>
      <c r="P680" s="1990"/>
      <c r="Q680" s="1990"/>
      <c r="R680" s="1990"/>
      <c r="S680" s="1990"/>
      <c r="T680" s="1990"/>
      <c r="U680" s="1990"/>
      <c r="V680" s="1990"/>
      <c r="W680" s="1990"/>
      <c r="X680" s="1990"/>
      <c r="Y680" s="1990"/>
      <c r="Z680" s="1990"/>
      <c r="AA680" s="1990"/>
      <c r="AB680" s="1990"/>
      <c r="AC680" s="571"/>
      <c r="AD680" s="571"/>
      <c r="AE680" s="571"/>
      <c r="AF680" s="1937" t="s">
        <v>1525</v>
      </c>
      <c r="AG680" s="1937"/>
      <c r="AH680" s="1937"/>
      <c r="AI680" s="1937"/>
      <c r="AJ680" s="1937"/>
      <c r="AK680" s="1937"/>
      <c r="AL680" s="1937"/>
      <c r="AN680" s="632"/>
    </row>
    <row r="681" spans="1:42" s="585" customFormat="1" ht="12.75" customHeight="1">
      <c r="B681" s="571"/>
      <c r="C681" s="977"/>
      <c r="D681" s="698"/>
      <c r="E681" s="1990"/>
      <c r="F681" s="1990"/>
      <c r="G681" s="1990"/>
      <c r="H681" s="1990"/>
      <c r="I681" s="1990"/>
      <c r="J681" s="1990"/>
      <c r="K681" s="1990"/>
      <c r="L681" s="1990"/>
      <c r="M681" s="1990"/>
      <c r="N681" s="1990"/>
      <c r="O681" s="1990"/>
      <c r="P681" s="1990"/>
      <c r="Q681" s="1990"/>
      <c r="R681" s="1990"/>
      <c r="S681" s="1990"/>
      <c r="T681" s="1990"/>
      <c r="U681" s="1990"/>
      <c r="V681" s="1990"/>
      <c r="W681" s="1990"/>
      <c r="X681" s="1990"/>
      <c r="Y681" s="1990"/>
      <c r="Z681" s="1990"/>
      <c r="AA681" s="1990"/>
      <c r="AB681" s="1990"/>
      <c r="AC681" s="571"/>
      <c r="AD681" s="571"/>
      <c r="AE681" s="651"/>
      <c r="AF681" s="571"/>
      <c r="AG681" s="571"/>
      <c r="AH681" s="571"/>
      <c r="AI681" s="571"/>
      <c r="AJ681" s="571"/>
      <c r="AK681" s="571"/>
      <c r="AL681" s="571"/>
      <c r="AN681" s="632"/>
      <c r="AO681" s="2022"/>
      <c r="AP681" s="2022"/>
    </row>
    <row r="682" spans="1:42" s="585" customFormat="1" ht="12.75" customHeight="1">
      <c r="B682" s="571"/>
      <c r="C682" s="977"/>
      <c r="D682" s="698"/>
      <c r="E682" s="1990"/>
      <c r="F682" s="1990"/>
      <c r="G682" s="1990"/>
      <c r="H682" s="1990"/>
      <c r="I682" s="1990"/>
      <c r="J682" s="1990"/>
      <c r="K682" s="1990"/>
      <c r="L682" s="1990"/>
      <c r="M682" s="1990"/>
      <c r="N682" s="1990"/>
      <c r="O682" s="1990"/>
      <c r="P682" s="1990"/>
      <c r="Q682" s="1990"/>
      <c r="R682" s="1990"/>
      <c r="S682" s="1990"/>
      <c r="T682" s="1990"/>
      <c r="U682" s="1990"/>
      <c r="V682" s="1990"/>
      <c r="W682" s="1990"/>
      <c r="X682" s="1990"/>
      <c r="Y682" s="1990"/>
      <c r="Z682" s="1990"/>
      <c r="AA682" s="1990"/>
      <c r="AB682" s="1990"/>
      <c r="AC682" s="571"/>
      <c r="AD682" s="571"/>
      <c r="AE682" s="651"/>
      <c r="AF682" s="651"/>
      <c r="AG682" s="651"/>
      <c r="AH682" s="651"/>
      <c r="AI682" s="651"/>
      <c r="AJ682" s="651"/>
      <c r="AK682" s="651"/>
      <c r="AL682" s="651"/>
      <c r="AN682" s="632"/>
    </row>
    <row r="683" spans="1:42" s="585" customFormat="1" ht="28.5" customHeight="1">
      <c r="B683" s="571"/>
      <c r="C683" s="977"/>
      <c r="D683" s="698"/>
      <c r="E683" s="1990"/>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90" t="s">
        <v>2559</v>
      </c>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1"/>
      <c r="AD685" s="571"/>
      <c r="AE685" s="571"/>
      <c r="AF685" s="1937" t="s">
        <v>1581</v>
      </c>
      <c r="AG685" s="1937"/>
      <c r="AH685" s="1937"/>
      <c r="AI685" s="1937"/>
      <c r="AJ685" s="1937"/>
      <c r="AK685" s="1937"/>
      <c r="AL685" s="1937"/>
      <c r="AN685" s="632"/>
      <c r="AO685" s="646" t="s">
        <v>519</v>
      </c>
      <c r="AP685" s="585">
        <v>1</v>
      </c>
    </row>
    <row r="686" spans="1:42" s="585" customFormat="1" ht="12" customHeight="1">
      <c r="B686" s="571"/>
      <c r="C686" s="968"/>
      <c r="D686" s="571"/>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1"/>
      <c r="AD686" s="571"/>
      <c r="AE686" s="651"/>
      <c r="AF686" s="571"/>
      <c r="AG686" s="571"/>
      <c r="AH686" s="571"/>
      <c r="AI686" s="571"/>
      <c r="AJ686" s="571"/>
      <c r="AK686" s="571"/>
      <c r="AL686" s="571"/>
      <c r="AN686" s="632"/>
    </row>
    <row r="687" spans="1:42" s="585" customFormat="1" ht="12" customHeight="1">
      <c r="B687" s="571"/>
      <c r="C687" s="968"/>
      <c r="D687" s="571"/>
      <c r="E687" s="1990"/>
      <c r="F687" s="1990"/>
      <c r="G687" s="1990"/>
      <c r="H687" s="1990"/>
      <c r="I687" s="1990"/>
      <c r="J687" s="1990"/>
      <c r="K687" s="1990"/>
      <c r="L687" s="1990"/>
      <c r="M687" s="1990"/>
      <c r="N687" s="1990"/>
      <c r="O687" s="1990"/>
      <c r="P687" s="1990"/>
      <c r="Q687" s="1990"/>
      <c r="R687" s="1990"/>
      <c r="S687" s="1990"/>
      <c r="T687" s="1990"/>
      <c r="U687" s="1990"/>
      <c r="V687" s="1990"/>
      <c r="W687" s="1990"/>
      <c r="X687" s="1990"/>
      <c r="Y687" s="1990"/>
      <c r="Z687" s="1990"/>
      <c r="AA687" s="1990"/>
      <c r="AB687" s="199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90"/>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90" t="s">
        <v>1954</v>
      </c>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19" t="s">
        <v>601</v>
      </c>
      <c r="I694" s="201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2561</v>
      </c>
      <c r="AJ696" s="1970">
        <f>VLOOKUP($H$694,$AO$641:$AP$643,2,FALSE)</f>
        <v>0</v>
      </c>
      <c r="AK696" s="1972"/>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23" t="s">
        <v>1956</v>
      </c>
      <c r="F700" s="2023"/>
      <c r="G700" s="2023"/>
      <c r="H700" s="2023"/>
      <c r="I700" s="2023"/>
      <c r="J700" s="2023"/>
      <c r="K700" s="2023"/>
      <c r="L700" s="2023"/>
      <c r="M700" s="2023"/>
      <c r="N700" s="2023"/>
      <c r="O700" s="2023"/>
      <c r="P700" s="2023"/>
      <c r="Q700" s="2023"/>
      <c r="R700" s="2023"/>
      <c r="S700" s="2023"/>
      <c r="T700" s="2023"/>
      <c r="U700" s="2023"/>
      <c r="V700" s="2023"/>
      <c r="W700" s="2023"/>
      <c r="X700" s="2023"/>
      <c r="Y700" s="2023"/>
      <c r="Z700" s="2023"/>
      <c r="AA700" s="2023"/>
      <c r="AB700" s="2023"/>
      <c r="AC700" s="571"/>
      <c r="AD700" s="571"/>
      <c r="AE700" s="571"/>
      <c r="AF700" s="1937" t="s">
        <v>1525</v>
      </c>
      <c r="AG700" s="1937"/>
      <c r="AH700" s="1937"/>
      <c r="AI700" s="1937"/>
      <c r="AJ700" s="1937"/>
      <c r="AK700" s="1937"/>
      <c r="AL700" s="1937"/>
      <c r="AM700" s="585"/>
      <c r="AN700" s="719"/>
      <c r="AP700" s="605" t="s">
        <v>1605</v>
      </c>
    </row>
    <row r="701" spans="1:42" s="605" customFormat="1" ht="11.85" customHeight="1">
      <c r="A701" s="585"/>
      <c r="B701" s="571"/>
      <c r="C701" s="970"/>
      <c r="D701" s="698"/>
      <c r="E701" s="2023"/>
      <c r="F701" s="2023"/>
      <c r="G701" s="2023"/>
      <c r="H701" s="2023"/>
      <c r="I701" s="2023"/>
      <c r="J701" s="2023"/>
      <c r="K701" s="2023"/>
      <c r="L701" s="2023"/>
      <c r="M701" s="2023"/>
      <c r="N701" s="2023"/>
      <c r="O701" s="2023"/>
      <c r="P701" s="2023"/>
      <c r="Q701" s="2023"/>
      <c r="R701" s="2023"/>
      <c r="S701" s="2023"/>
      <c r="T701" s="2023"/>
      <c r="U701" s="2023"/>
      <c r="V701" s="2023"/>
      <c r="W701" s="2023"/>
      <c r="X701" s="2023"/>
      <c r="Y701" s="2023"/>
      <c r="Z701" s="2023"/>
      <c r="AA701" s="2023"/>
      <c r="AB701" s="2023"/>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23"/>
      <c r="F702" s="2023"/>
      <c r="G702" s="2023"/>
      <c r="H702" s="2023"/>
      <c r="I702" s="2023"/>
      <c r="J702" s="2023"/>
      <c r="K702" s="2023"/>
      <c r="L702" s="2023"/>
      <c r="M702" s="2023"/>
      <c r="N702" s="2023"/>
      <c r="O702" s="2023"/>
      <c r="P702" s="2023"/>
      <c r="Q702" s="2023"/>
      <c r="R702" s="2023"/>
      <c r="S702" s="2023"/>
      <c r="T702" s="2023"/>
      <c r="U702" s="2023"/>
      <c r="V702" s="2023"/>
      <c r="W702" s="2023"/>
      <c r="X702" s="2023"/>
      <c r="Y702" s="2023"/>
      <c r="Z702" s="2023"/>
      <c r="AA702" s="2023"/>
      <c r="AB702" s="2023"/>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519</v>
      </c>
      <c r="E704" s="2024" t="s">
        <v>1608</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1"/>
      <c r="AD704" s="571"/>
      <c r="AE704" s="571"/>
      <c r="AF704" s="1937" t="s">
        <v>1581</v>
      </c>
      <c r="AG704" s="1937"/>
      <c r="AH704" s="1937"/>
      <c r="AI704" s="1937"/>
      <c r="AJ704" s="1937"/>
      <c r="AK704" s="1937"/>
      <c r="AL704" s="1937"/>
      <c r="AM704" s="585"/>
      <c r="AN704" s="720"/>
    </row>
    <row r="705" spans="1:52" s="605" customFormat="1" ht="12.75" customHeight="1">
      <c r="A705" s="585"/>
      <c r="B705" s="571"/>
      <c r="C705" s="970"/>
      <c r="D705" s="571"/>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1573</v>
      </c>
      <c r="E708" s="973"/>
      <c r="F708" s="973"/>
      <c r="G708" s="973"/>
      <c r="H708" s="2019" t="s">
        <v>601</v>
      </c>
      <c r="I708" s="201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70">
        <f>VLOOKUP($H$708,$AO$641:$AP$643,2,FALSE)</f>
        <v>0</v>
      </c>
      <c r="AK710" s="1972"/>
      <c r="AL710" s="630"/>
      <c r="AM710" s="585"/>
      <c r="AN710" s="719"/>
      <c r="AP710" s="1970"/>
      <c r="AQ710" s="197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90" t="s">
        <v>1957</v>
      </c>
      <c r="F714" s="1990"/>
      <c r="G714" s="1990"/>
      <c r="H714" s="1990"/>
      <c r="I714" s="1990"/>
      <c r="J714" s="1990"/>
      <c r="K714" s="1990"/>
      <c r="L714" s="1990"/>
      <c r="M714" s="1990"/>
      <c r="N714" s="1990"/>
      <c r="O714" s="1990"/>
      <c r="P714" s="1990"/>
      <c r="Q714" s="1990"/>
      <c r="R714" s="1990"/>
      <c r="S714" s="1990"/>
      <c r="T714" s="1990"/>
      <c r="U714" s="1990"/>
      <c r="V714" s="1990"/>
      <c r="W714" s="1990"/>
      <c r="X714" s="1990"/>
      <c r="Y714" s="1990"/>
      <c r="Z714" s="1990"/>
      <c r="AA714" s="1990"/>
      <c r="AB714" s="1990"/>
      <c r="AC714" s="571"/>
      <c r="AD714" s="571"/>
      <c r="AE714" s="571"/>
      <c r="AF714" s="1937" t="s">
        <v>1525</v>
      </c>
      <c r="AG714" s="1937"/>
      <c r="AH714" s="1937"/>
      <c r="AI714" s="1937"/>
      <c r="AJ714" s="1937"/>
      <c r="AK714" s="1937"/>
      <c r="AL714" s="1937"/>
      <c r="AM714" s="585"/>
      <c r="AN714" s="719"/>
      <c r="AT714" s="14"/>
      <c r="AU714" s="14"/>
      <c r="AV714" s="14"/>
      <c r="AW714" s="14"/>
      <c r="AX714" s="14"/>
      <c r="AY714" s="14"/>
      <c r="AZ714" s="14"/>
    </row>
    <row r="715" spans="1:52" s="605" customFormat="1">
      <c r="A715" s="585"/>
      <c r="B715" s="571"/>
      <c r="C715" s="970"/>
      <c r="D715" s="698"/>
      <c r="E715" s="1990"/>
      <c r="F715" s="1990"/>
      <c r="G715" s="1990"/>
      <c r="H715" s="1990"/>
      <c r="I715" s="1990"/>
      <c r="J715" s="1990"/>
      <c r="K715" s="1990"/>
      <c r="L715" s="1990"/>
      <c r="M715" s="1990"/>
      <c r="N715" s="1990"/>
      <c r="O715" s="1990"/>
      <c r="P715" s="1990"/>
      <c r="Q715" s="1990"/>
      <c r="R715" s="1990"/>
      <c r="S715" s="1990"/>
      <c r="T715" s="1990"/>
      <c r="U715" s="1990"/>
      <c r="V715" s="1990"/>
      <c r="W715" s="1990"/>
      <c r="X715" s="1990"/>
      <c r="Y715" s="1990"/>
      <c r="Z715" s="1990"/>
      <c r="AA715" s="1990"/>
      <c r="AB715" s="199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90" t="s">
        <v>1612</v>
      </c>
      <c r="F717" s="1990"/>
      <c r="G717" s="1990"/>
      <c r="H717" s="1990"/>
      <c r="I717" s="1990"/>
      <c r="J717" s="1990"/>
      <c r="K717" s="1990"/>
      <c r="L717" s="1990"/>
      <c r="M717" s="1990"/>
      <c r="N717" s="1990"/>
      <c r="O717" s="1990"/>
      <c r="P717" s="1990"/>
      <c r="Q717" s="1990"/>
      <c r="R717" s="1990"/>
      <c r="S717" s="1990"/>
      <c r="T717" s="1990"/>
      <c r="U717" s="1990"/>
      <c r="V717" s="1990"/>
      <c r="W717" s="1990"/>
      <c r="X717" s="1990"/>
      <c r="Y717" s="1990"/>
      <c r="Z717" s="1990"/>
      <c r="AA717" s="1990"/>
      <c r="AB717" s="1990"/>
      <c r="AC717" s="571"/>
      <c r="AD717" s="571"/>
      <c r="AE717" s="571"/>
      <c r="AF717" s="1937" t="s">
        <v>1581</v>
      </c>
      <c r="AG717" s="1937"/>
      <c r="AH717" s="1937"/>
      <c r="AI717" s="1937"/>
      <c r="AJ717" s="1937"/>
      <c r="AK717" s="1937"/>
      <c r="AL717" s="1937"/>
      <c r="AM717" s="585"/>
      <c r="AN717" s="719"/>
      <c r="AT717" s="14"/>
      <c r="AU717" s="14"/>
      <c r="AV717" s="14"/>
      <c r="AW717" s="14"/>
      <c r="AX717" s="14"/>
      <c r="AY717" s="14"/>
      <c r="AZ717" s="14"/>
    </row>
    <row r="718" spans="1:52" s="605" customFormat="1">
      <c r="A718" s="585"/>
      <c r="B718" s="571"/>
      <c r="C718" s="970"/>
      <c r="D718" s="571"/>
      <c r="E718" s="1990"/>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19" t="s">
        <v>601</v>
      </c>
      <c r="I720" s="201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70">
        <f>VLOOKUP($H$720,$AO$655:$AP$657,2,FALSE)</f>
        <v>0</v>
      </c>
      <c r="AK722" s="197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90" t="s">
        <v>1615</v>
      </c>
      <c r="F726" s="1990"/>
      <c r="G726" s="1990"/>
      <c r="H726" s="1990"/>
      <c r="I726" s="1990"/>
      <c r="J726" s="1990"/>
      <c r="K726" s="1990"/>
      <c r="L726" s="1990"/>
      <c r="M726" s="1990"/>
      <c r="N726" s="1990"/>
      <c r="O726" s="1990"/>
      <c r="P726" s="1990"/>
      <c r="Q726" s="1990"/>
      <c r="R726" s="1990"/>
      <c r="S726" s="1990"/>
      <c r="T726" s="1990"/>
      <c r="U726" s="1990"/>
      <c r="V726" s="1990"/>
      <c r="W726" s="1990"/>
      <c r="X726" s="1990"/>
      <c r="Y726" s="1990"/>
      <c r="Z726" s="1990"/>
      <c r="AA726" s="1990"/>
      <c r="AB726" s="1990"/>
      <c r="AC726" s="571"/>
      <c r="AD726" s="571"/>
      <c r="AE726" s="571"/>
      <c r="AF726" s="1937" t="s">
        <v>1525</v>
      </c>
      <c r="AG726" s="1937"/>
      <c r="AH726" s="1937"/>
      <c r="AI726" s="1937"/>
      <c r="AJ726" s="1937"/>
      <c r="AK726" s="1937"/>
      <c r="AL726" s="1937"/>
      <c r="AM726" s="585"/>
      <c r="AN726" s="719"/>
      <c r="AT726" s="14"/>
      <c r="AU726" s="14"/>
      <c r="AV726" s="14"/>
      <c r="AW726" s="14"/>
      <c r="AX726" s="14"/>
      <c r="AY726" s="14"/>
      <c r="AZ726" s="14"/>
    </row>
    <row r="727" spans="1:81" s="605" customFormat="1">
      <c r="A727" s="585"/>
      <c r="B727" s="571"/>
      <c r="C727" s="968"/>
      <c r="D727" s="698"/>
      <c r="E727" s="1990"/>
      <c r="F727" s="1990"/>
      <c r="G727" s="1990"/>
      <c r="H727" s="1990"/>
      <c r="I727" s="1990"/>
      <c r="J727" s="1990"/>
      <c r="K727" s="1990"/>
      <c r="L727" s="1990"/>
      <c r="M727" s="1990"/>
      <c r="N727" s="1990"/>
      <c r="O727" s="1990"/>
      <c r="P727" s="1990"/>
      <c r="Q727" s="1990"/>
      <c r="R727" s="1990"/>
      <c r="S727" s="1990"/>
      <c r="T727" s="1990"/>
      <c r="U727" s="1990"/>
      <c r="V727" s="1990"/>
      <c r="W727" s="1990"/>
      <c r="X727" s="1990"/>
      <c r="Y727" s="1990"/>
      <c r="Z727" s="1990"/>
      <c r="AA727" s="1990"/>
      <c r="AB727" s="199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90"/>
      <c r="F728" s="1990"/>
      <c r="G728" s="1990"/>
      <c r="H728" s="1990"/>
      <c r="I728" s="1990"/>
      <c r="J728" s="1990"/>
      <c r="K728" s="1990"/>
      <c r="L728" s="1990"/>
      <c r="M728" s="1990"/>
      <c r="N728" s="1990"/>
      <c r="O728" s="1990"/>
      <c r="P728" s="1990"/>
      <c r="Q728" s="1990"/>
      <c r="R728" s="1990"/>
      <c r="S728" s="1990"/>
      <c r="T728" s="1990"/>
      <c r="U728" s="1990"/>
      <c r="V728" s="1990"/>
      <c r="W728" s="1990"/>
      <c r="X728" s="1990"/>
      <c r="Y728" s="1990"/>
      <c r="Z728" s="1990"/>
      <c r="AA728" s="1990"/>
      <c r="AB728" s="199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90"/>
      <c r="F729" s="1990"/>
      <c r="G729" s="1990"/>
      <c r="H729" s="1990"/>
      <c r="I729" s="1990"/>
      <c r="J729" s="1990"/>
      <c r="K729" s="1990"/>
      <c r="L729" s="1990"/>
      <c r="M729" s="1990"/>
      <c r="N729" s="1990"/>
      <c r="O729" s="1990"/>
      <c r="P729" s="1990"/>
      <c r="Q729" s="1990"/>
      <c r="R729" s="1990"/>
      <c r="S729" s="1990"/>
      <c r="T729" s="1990"/>
      <c r="U729" s="1990"/>
      <c r="V729" s="1990"/>
      <c r="W729" s="1990"/>
      <c r="X729" s="1990"/>
      <c r="Y729" s="1990"/>
      <c r="Z729" s="1990"/>
      <c r="AA729" s="1990"/>
      <c r="AB729" s="199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90" t="s">
        <v>1616</v>
      </c>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610"/>
      <c r="AC731" s="571"/>
      <c r="AD731" s="571"/>
      <c r="AE731" s="571"/>
      <c r="AF731" s="1937" t="s">
        <v>1581</v>
      </c>
      <c r="AG731" s="1937"/>
      <c r="AH731" s="1937"/>
      <c r="AI731" s="1937"/>
      <c r="AJ731" s="1937"/>
      <c r="AK731" s="1937"/>
      <c r="AL731" s="1937"/>
      <c r="AM731" s="585"/>
      <c r="AN731" s="719"/>
      <c r="AO731" s="30"/>
      <c r="AP731" s="14"/>
    </row>
    <row r="732" spans="1:81" s="605" customFormat="1">
      <c r="A732" s="585"/>
      <c r="B732" s="571"/>
      <c r="C732" s="968"/>
      <c r="D732" s="698"/>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90"/>
      <c r="F734" s="1990"/>
      <c r="G734" s="1990"/>
      <c r="H734" s="1990"/>
      <c r="I734" s="1990"/>
      <c r="J734" s="1990"/>
      <c r="K734" s="1990"/>
      <c r="L734" s="1990"/>
      <c r="M734" s="1990"/>
      <c r="N734" s="1990"/>
      <c r="O734" s="1990"/>
      <c r="P734" s="1990"/>
      <c r="Q734" s="1990"/>
      <c r="R734" s="1990"/>
      <c r="S734" s="1990"/>
      <c r="T734" s="1990"/>
      <c r="U734" s="1990"/>
      <c r="V734" s="1990"/>
      <c r="W734" s="1990"/>
      <c r="X734" s="1990"/>
      <c r="Y734" s="1990"/>
      <c r="Z734" s="1990"/>
      <c r="AA734" s="199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19" t="s">
        <v>698</v>
      </c>
      <c r="I736" s="201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70">
        <f>VLOOKUP($H$736,$AO$669:$AP$671,2,FALSE)</f>
        <v>3</v>
      </c>
      <c r="AK738" s="197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90" t="s">
        <v>1618</v>
      </c>
      <c r="F742" s="1990"/>
      <c r="G742" s="1990"/>
      <c r="H742" s="1990"/>
      <c r="I742" s="1990"/>
      <c r="J742" s="1990"/>
      <c r="K742" s="1990"/>
      <c r="L742" s="1990"/>
      <c r="M742" s="1990"/>
      <c r="N742" s="1990"/>
      <c r="O742" s="1990"/>
      <c r="P742" s="1990"/>
      <c r="Q742" s="1990"/>
      <c r="R742" s="1990"/>
      <c r="S742" s="1990"/>
      <c r="T742" s="1990"/>
      <c r="U742" s="1990"/>
      <c r="V742" s="1990"/>
      <c r="W742" s="1990"/>
      <c r="X742" s="1990"/>
      <c r="Y742" s="1990"/>
      <c r="Z742" s="1990"/>
      <c r="AA742" s="1990"/>
      <c r="AB742" s="1990"/>
      <c r="AC742" s="571"/>
      <c r="AD742" s="571"/>
      <c r="AE742" s="571"/>
      <c r="AF742" s="1937" t="s">
        <v>1581</v>
      </c>
      <c r="AG742" s="1937"/>
      <c r="AH742" s="1937"/>
      <c r="AI742" s="1937"/>
      <c r="AJ742" s="1937"/>
      <c r="AK742" s="1937"/>
      <c r="AL742" s="193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90"/>
      <c r="F743" s="1990"/>
      <c r="G743" s="1990"/>
      <c r="H743" s="1990"/>
      <c r="I743" s="1990"/>
      <c r="J743" s="1990"/>
      <c r="K743" s="1990"/>
      <c r="L743" s="1990"/>
      <c r="M743" s="1990"/>
      <c r="N743" s="1990"/>
      <c r="O743" s="1990"/>
      <c r="P743" s="1990"/>
      <c r="Q743" s="1990"/>
      <c r="R743" s="1990"/>
      <c r="S743" s="1990"/>
      <c r="T743" s="1990"/>
      <c r="U743" s="1990"/>
      <c r="V743" s="1990"/>
      <c r="W743" s="1990"/>
      <c r="X743" s="1990"/>
      <c r="Y743" s="1990"/>
      <c r="Z743" s="1990"/>
      <c r="AA743" s="1990"/>
      <c r="AB743" s="199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90" t="s">
        <v>1619</v>
      </c>
      <c r="F745" s="1990"/>
      <c r="G745" s="1990"/>
      <c r="H745" s="1990"/>
      <c r="I745" s="1990"/>
      <c r="J745" s="1990"/>
      <c r="K745" s="1990"/>
      <c r="L745" s="1990"/>
      <c r="M745" s="1990"/>
      <c r="N745" s="1990"/>
      <c r="O745" s="1990"/>
      <c r="P745" s="1990"/>
      <c r="Q745" s="1990"/>
      <c r="R745" s="1990"/>
      <c r="S745" s="1990"/>
      <c r="T745" s="1990"/>
      <c r="U745" s="1990"/>
      <c r="V745" s="1990"/>
      <c r="W745" s="1990"/>
      <c r="X745" s="1990"/>
      <c r="Y745" s="1990"/>
      <c r="Z745" s="1990"/>
      <c r="AA745" s="1990"/>
      <c r="AB745" s="1990"/>
      <c r="AC745" s="571"/>
      <c r="AD745" s="571"/>
      <c r="AE745" s="571"/>
      <c r="AF745" s="1937" t="s">
        <v>1598</v>
      </c>
      <c r="AG745" s="1937"/>
      <c r="AH745" s="1937"/>
      <c r="AI745" s="1937"/>
      <c r="AJ745" s="1937"/>
      <c r="AK745" s="1937"/>
      <c r="AL745" s="193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90"/>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19" t="s">
        <v>698</v>
      </c>
      <c r="I748" s="201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70">
        <f>VLOOKUP($H$748,$AO$683:$AP$685,2,FALSE)</f>
        <v>2</v>
      </c>
      <c r="AK750" s="197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90" t="s">
        <v>1953</v>
      </c>
      <c r="F754" s="1990"/>
      <c r="G754" s="1990"/>
      <c r="H754" s="1990"/>
      <c r="I754" s="1990"/>
      <c r="J754" s="1990"/>
      <c r="K754" s="1990"/>
      <c r="L754" s="1990"/>
      <c r="M754" s="1990"/>
      <c r="N754" s="1990"/>
      <c r="O754" s="1990"/>
      <c r="P754" s="1990"/>
      <c r="Q754" s="1990"/>
      <c r="R754" s="1990"/>
      <c r="S754" s="1990"/>
      <c r="T754" s="1990"/>
      <c r="U754" s="1990"/>
      <c r="V754" s="1990"/>
      <c r="W754" s="1990"/>
      <c r="X754" s="1990"/>
      <c r="Y754" s="1990"/>
      <c r="Z754" s="1990"/>
      <c r="AA754" s="1990"/>
      <c r="AB754" s="1990"/>
      <c r="AC754" s="1990"/>
      <c r="AD754" s="1990"/>
      <c r="AE754" s="571"/>
      <c r="AF754" s="1937" t="s">
        <v>1581</v>
      </c>
      <c r="AG754" s="1937"/>
      <c r="AH754" s="1937"/>
      <c r="AI754" s="1937"/>
      <c r="AJ754" s="1937"/>
      <c r="AK754" s="1937"/>
      <c r="AL754" s="1937"/>
      <c r="AM754" s="648"/>
      <c r="AN754" s="719"/>
    </row>
    <row r="755" spans="1:81" s="605" customFormat="1" ht="13.7" customHeight="1">
      <c r="A755" s="585"/>
      <c r="B755" s="651"/>
      <c r="C755" s="977"/>
      <c r="D755" s="698"/>
      <c r="E755" s="1990"/>
      <c r="F755" s="1990"/>
      <c r="G755" s="1990"/>
      <c r="H755" s="1990"/>
      <c r="I755" s="1990"/>
      <c r="J755" s="1990"/>
      <c r="K755" s="1990"/>
      <c r="L755" s="1990"/>
      <c r="M755" s="1990"/>
      <c r="N755" s="1990"/>
      <c r="O755" s="1990"/>
      <c r="P755" s="1990"/>
      <c r="Q755" s="1990"/>
      <c r="R755" s="1990"/>
      <c r="S755" s="1990"/>
      <c r="T755" s="1990"/>
      <c r="U755" s="1990"/>
      <c r="V755" s="1990"/>
      <c r="W755" s="1990"/>
      <c r="X755" s="1990"/>
      <c r="Y755" s="1990"/>
      <c r="Z755" s="1990"/>
      <c r="AA755" s="1990"/>
      <c r="AB755" s="1990"/>
      <c r="AC755" s="1990"/>
      <c r="AD755" s="1990"/>
      <c r="AE755" s="571"/>
      <c r="AF755" s="629"/>
      <c r="AG755" s="629"/>
      <c r="AH755" s="629"/>
      <c r="AI755" s="629"/>
      <c r="AJ755" s="629"/>
      <c r="AK755" s="629"/>
      <c r="AL755" s="629"/>
      <c r="AM755" s="648"/>
      <c r="AN755" s="719"/>
    </row>
    <row r="756" spans="1:81" s="605" customFormat="1">
      <c r="A756" s="585"/>
      <c r="B756" s="651"/>
      <c r="C756" s="977"/>
      <c r="D756" s="698"/>
      <c r="E756" s="1990"/>
      <c r="F756" s="1990"/>
      <c r="G756" s="1990"/>
      <c r="H756" s="1990"/>
      <c r="I756" s="1990"/>
      <c r="J756" s="1990"/>
      <c r="K756" s="1990"/>
      <c r="L756" s="1990"/>
      <c r="M756" s="1990"/>
      <c r="N756" s="1990"/>
      <c r="O756" s="1990"/>
      <c r="P756" s="1990"/>
      <c r="Q756" s="1990"/>
      <c r="R756" s="1990"/>
      <c r="S756" s="1990"/>
      <c r="T756" s="1990"/>
      <c r="U756" s="1990"/>
      <c r="V756" s="1990"/>
      <c r="W756" s="1990"/>
      <c r="X756" s="1990"/>
      <c r="Y756" s="1990"/>
      <c r="Z756" s="1990"/>
      <c r="AA756" s="1990"/>
      <c r="AB756" s="1990"/>
      <c r="AC756" s="1990"/>
      <c r="AD756" s="199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90"/>
      <c r="F757" s="1990"/>
      <c r="G757" s="1990"/>
      <c r="H757" s="1990"/>
      <c r="I757" s="1990"/>
      <c r="J757" s="1990"/>
      <c r="K757" s="1990"/>
      <c r="L757" s="1990"/>
      <c r="M757" s="1990"/>
      <c r="N757" s="1990"/>
      <c r="O757" s="1990"/>
      <c r="P757" s="1990"/>
      <c r="Q757" s="1990"/>
      <c r="R757" s="1990"/>
      <c r="S757" s="1990"/>
      <c r="T757" s="1990"/>
      <c r="U757" s="1990"/>
      <c r="V757" s="1990"/>
      <c r="W757" s="1990"/>
      <c r="X757" s="1990"/>
      <c r="Y757" s="1990"/>
      <c r="Z757" s="1990"/>
      <c r="AA757" s="1990"/>
      <c r="AB757" s="1990"/>
      <c r="AC757" s="1990"/>
      <c r="AD757" s="199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5" t="s">
        <v>1958</v>
      </c>
      <c r="F759" s="2025"/>
      <c r="G759" s="2025"/>
      <c r="H759" s="2025"/>
      <c r="I759" s="2025"/>
      <c r="J759" s="2025"/>
      <c r="K759" s="2025"/>
      <c r="L759" s="2025"/>
      <c r="M759" s="2025"/>
      <c r="N759" s="2025"/>
      <c r="O759" s="2025"/>
      <c r="P759" s="2025"/>
      <c r="Q759" s="2025"/>
      <c r="R759" s="2025"/>
      <c r="S759" s="2025"/>
      <c r="T759" s="2025"/>
      <c r="U759" s="2025"/>
      <c r="V759" s="2025"/>
      <c r="W759" s="2025"/>
      <c r="X759" s="2025"/>
      <c r="Y759" s="2025"/>
      <c r="Z759" s="2025"/>
      <c r="AA759" s="2025"/>
      <c r="AB759" s="2025"/>
      <c r="AC759" s="2025"/>
      <c r="AD759" s="2025"/>
      <c r="AE759" s="571"/>
      <c r="AF759" s="1937" t="s">
        <v>1525</v>
      </c>
      <c r="AG759" s="1937"/>
      <c r="AH759" s="1937"/>
      <c r="AI759" s="1937"/>
      <c r="AJ759" s="1937"/>
      <c r="AK759" s="1937"/>
      <c r="AL759" s="1937"/>
      <c r="AM759" s="648"/>
      <c r="AN759" s="632"/>
    </row>
    <row r="760" spans="1:81" s="585" customFormat="1" ht="12.75" customHeight="1">
      <c r="B760" s="651"/>
      <c r="C760" s="977"/>
      <c r="D760" s="698"/>
      <c r="E760" s="2025"/>
      <c r="F760" s="2025"/>
      <c r="G760" s="2025"/>
      <c r="H760" s="2025"/>
      <c r="I760" s="2025"/>
      <c r="J760" s="2025"/>
      <c r="K760" s="2025"/>
      <c r="L760" s="2025"/>
      <c r="M760" s="2025"/>
      <c r="N760" s="2025"/>
      <c r="O760" s="2025"/>
      <c r="P760" s="2025"/>
      <c r="Q760" s="2025"/>
      <c r="R760" s="2025"/>
      <c r="S760" s="2025"/>
      <c r="T760" s="2025"/>
      <c r="U760" s="2025"/>
      <c r="V760" s="2025"/>
      <c r="W760" s="2025"/>
      <c r="X760" s="2025"/>
      <c r="Y760" s="2025"/>
      <c r="Z760" s="2025"/>
      <c r="AA760" s="2025"/>
      <c r="AB760" s="2025"/>
      <c r="AC760" s="2025"/>
      <c r="AD760" s="2025"/>
      <c r="AE760" s="629"/>
      <c r="AF760" s="629"/>
      <c r="AG760" s="629"/>
      <c r="AH760" s="629"/>
      <c r="AI760" s="629"/>
      <c r="AJ760" s="629"/>
      <c r="AK760" s="629"/>
      <c r="AL760" s="629"/>
      <c r="AM760" s="648"/>
      <c r="AN760" s="632"/>
    </row>
    <row r="761" spans="1:81" s="585" customFormat="1" ht="12.75" customHeight="1">
      <c r="B761" s="651"/>
      <c r="C761" s="977"/>
      <c r="D761" s="698"/>
      <c r="E761" s="2025"/>
      <c r="F761" s="2025"/>
      <c r="G761" s="2025"/>
      <c r="H761" s="2025"/>
      <c r="I761" s="2025"/>
      <c r="J761" s="2025"/>
      <c r="K761" s="2025"/>
      <c r="L761" s="2025"/>
      <c r="M761" s="2025"/>
      <c r="N761" s="2025"/>
      <c r="O761" s="2025"/>
      <c r="P761" s="2025"/>
      <c r="Q761" s="2025"/>
      <c r="R761" s="2025"/>
      <c r="S761" s="2025"/>
      <c r="T761" s="2025"/>
      <c r="U761" s="2025"/>
      <c r="V761" s="2025"/>
      <c r="W761" s="2025"/>
      <c r="X761" s="2025"/>
      <c r="Y761" s="2025"/>
      <c r="Z761" s="2025"/>
      <c r="AA761" s="2025"/>
      <c r="AB761" s="2025"/>
      <c r="AC761" s="2025"/>
      <c r="AD761" s="2025"/>
      <c r="AE761" s="629"/>
      <c r="AF761" s="629"/>
      <c r="AG761" s="629"/>
      <c r="AH761" s="629"/>
      <c r="AI761" s="629"/>
      <c r="AJ761" s="629"/>
      <c r="AK761" s="629"/>
      <c r="AL761" s="629"/>
      <c r="AM761" s="648"/>
      <c r="AN761" s="632"/>
    </row>
    <row r="762" spans="1:81" s="585" customFormat="1" ht="12.75" customHeight="1">
      <c r="B762" s="651"/>
      <c r="C762" s="977"/>
      <c r="D762" s="698"/>
      <c r="E762" s="2025"/>
      <c r="F762" s="2025"/>
      <c r="G762" s="2025"/>
      <c r="H762" s="2025"/>
      <c r="I762" s="2025"/>
      <c r="J762" s="2025"/>
      <c r="K762" s="2025"/>
      <c r="L762" s="2025"/>
      <c r="M762" s="2025"/>
      <c r="N762" s="2025"/>
      <c r="O762" s="2025"/>
      <c r="P762" s="2025"/>
      <c r="Q762" s="2025"/>
      <c r="R762" s="2025"/>
      <c r="S762" s="2025"/>
      <c r="T762" s="2025"/>
      <c r="U762" s="2025"/>
      <c r="V762" s="2025"/>
      <c r="W762" s="2025"/>
      <c r="X762" s="2025"/>
      <c r="Y762" s="2025"/>
      <c r="Z762" s="2025"/>
      <c r="AA762" s="2025"/>
      <c r="AB762" s="2025"/>
      <c r="AC762" s="2025"/>
      <c r="AD762" s="202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19" t="s">
        <v>601</v>
      </c>
      <c r="I764" s="201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70">
        <f>VLOOKUP($H$764,$AP$705:$AQ$707,2,FALSE)</f>
        <v>0</v>
      </c>
      <c r="AK766" s="197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90" t="s">
        <v>2431</v>
      </c>
      <c r="F770" s="1990"/>
      <c r="G770" s="1990"/>
      <c r="H770" s="1990"/>
      <c r="I770" s="1990"/>
      <c r="J770" s="1990"/>
      <c r="K770" s="1990"/>
      <c r="L770" s="1990"/>
      <c r="M770" s="1990"/>
      <c r="N770" s="1990"/>
      <c r="O770" s="1990"/>
      <c r="P770" s="1990"/>
      <c r="Q770" s="1990"/>
      <c r="R770" s="1990"/>
      <c r="S770" s="1990"/>
      <c r="T770" s="1990"/>
      <c r="U770" s="1990"/>
      <c r="V770" s="1990"/>
      <c r="W770" s="1990"/>
      <c r="X770" s="1990"/>
      <c r="Y770" s="1990"/>
      <c r="Z770" s="1990"/>
      <c r="AA770" s="1990"/>
      <c r="AB770" s="1990"/>
      <c r="AC770" s="1990"/>
      <c r="AD770" s="1990"/>
      <c r="AE770" s="571"/>
      <c r="AF770" s="1937" t="s">
        <v>1525</v>
      </c>
      <c r="AG770" s="1937"/>
      <c r="AH770" s="1937"/>
      <c r="AI770" s="1937"/>
      <c r="AJ770" s="1937"/>
      <c r="AK770" s="1937"/>
      <c r="AL770" s="1937"/>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90"/>
      <c r="F771" s="1990"/>
      <c r="G771" s="1990"/>
      <c r="H771" s="1990"/>
      <c r="I771" s="1990"/>
      <c r="J771" s="1990"/>
      <c r="K771" s="1990"/>
      <c r="L771" s="1990"/>
      <c r="M771" s="1990"/>
      <c r="N771" s="1990"/>
      <c r="O771" s="1990"/>
      <c r="P771" s="1990"/>
      <c r="Q771" s="1990"/>
      <c r="R771" s="1990"/>
      <c r="S771" s="1990"/>
      <c r="T771" s="1990"/>
      <c r="U771" s="1990"/>
      <c r="V771" s="1990"/>
      <c r="W771" s="1990"/>
      <c r="X771" s="1990"/>
      <c r="Y771" s="1990"/>
      <c r="Z771" s="1990"/>
      <c r="AA771" s="1990"/>
      <c r="AB771" s="1990"/>
      <c r="AC771" s="1990"/>
      <c r="AD771" s="199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90"/>
      <c r="F772" s="1990"/>
      <c r="G772" s="1990"/>
      <c r="H772" s="1990"/>
      <c r="I772" s="1990"/>
      <c r="J772" s="1990"/>
      <c r="K772" s="1990"/>
      <c r="L772" s="1990"/>
      <c r="M772" s="1990"/>
      <c r="N772" s="1990"/>
      <c r="O772" s="1990"/>
      <c r="P772" s="1990"/>
      <c r="Q772" s="1990"/>
      <c r="R772" s="1990"/>
      <c r="S772" s="1990"/>
      <c r="T772" s="1990"/>
      <c r="U772" s="1990"/>
      <c r="V772" s="1990"/>
      <c r="W772" s="1990"/>
      <c r="X772" s="1990"/>
      <c r="Y772" s="1990"/>
      <c r="Z772" s="1990"/>
      <c r="AA772" s="1990"/>
      <c r="AB772" s="1990"/>
      <c r="AC772" s="1990"/>
      <c r="AD772" s="199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90"/>
      <c r="F773" s="1990"/>
      <c r="G773" s="1990"/>
      <c r="H773" s="1990"/>
      <c r="I773" s="1990"/>
      <c r="J773" s="1990"/>
      <c r="K773" s="1990"/>
      <c r="L773" s="1990"/>
      <c r="M773" s="1990"/>
      <c r="N773" s="1990"/>
      <c r="O773" s="1990"/>
      <c r="P773" s="1990"/>
      <c r="Q773" s="1990"/>
      <c r="R773" s="1990"/>
      <c r="S773" s="1990"/>
      <c r="T773" s="1990"/>
      <c r="U773" s="1990"/>
      <c r="V773" s="1990"/>
      <c r="W773" s="1990"/>
      <c r="X773" s="1990"/>
      <c r="Y773" s="1990"/>
      <c r="Z773" s="1990"/>
      <c r="AA773" s="1990"/>
      <c r="AB773" s="1990"/>
      <c r="AC773" s="1990"/>
      <c r="AD773" s="199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19" t="s">
        <v>601</v>
      </c>
      <c r="I775" s="201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70">
        <f>VLOOKUP($H$775,$AO$769:$AP$770,2,FALSE)</f>
        <v>0</v>
      </c>
      <c r="AK777" s="197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70">
        <f>IF(($AJ$610+$AJ$629+$AJ$641+$AJ$676+$AJ$696+$AJ$710+$AJ$722+$AJ$738+$AJ$750+$AJ$766+AJ777)&gt;10,10,($AJ$610+$AJ$629+$AJ$641+$AJ$676+$AJ$696+$AJ$710+$AJ$722+$AJ$738+$AJ$750+$AJ$766+AJ777))</f>
        <v>10</v>
      </c>
      <c r="AL779" s="1971"/>
      <c r="AM779" s="197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76" t="s">
        <v>1746</v>
      </c>
      <c r="B782" s="2077"/>
      <c r="C782" s="2077"/>
      <c r="D782" s="2077"/>
      <c r="E782" s="2077"/>
      <c r="F782" s="2077"/>
      <c r="G782" s="2077"/>
      <c r="H782" s="2077"/>
      <c r="I782" s="2077"/>
      <c r="J782" s="2077"/>
      <c r="K782" s="2077"/>
      <c r="L782" s="2077"/>
      <c r="M782" s="2077"/>
      <c r="N782" s="2077"/>
      <c r="O782" s="2077"/>
      <c r="P782" s="2077"/>
      <c r="Q782" s="2077"/>
      <c r="R782" s="2077"/>
      <c r="S782" s="2077"/>
      <c r="T782" s="2077"/>
      <c r="U782" s="2077"/>
      <c r="V782" s="2077"/>
      <c r="W782" s="2077"/>
      <c r="X782" s="2077"/>
      <c r="Y782" s="2077"/>
      <c r="Z782" s="2077"/>
      <c r="AA782" s="2077"/>
      <c r="AB782" s="2077"/>
      <c r="AC782" s="2077"/>
      <c r="AD782" s="2077"/>
      <c r="AE782" s="2077"/>
      <c r="AF782" s="2077"/>
      <c r="AG782" s="2077"/>
      <c r="AH782" s="2077"/>
      <c r="AI782" s="2077"/>
      <c r="AJ782" s="2077"/>
      <c r="AK782" s="2077"/>
      <c r="AL782" s="2077"/>
      <c r="AM782" s="2077"/>
    </row>
    <row r="783" spans="1:81">
      <c r="A783" s="2078"/>
      <c r="B783" s="2078"/>
      <c r="C783" s="2078"/>
      <c r="D783" s="2078"/>
      <c r="E783" s="2078"/>
      <c r="F783" s="2078"/>
      <c r="G783" s="2078"/>
      <c r="H783" s="2078"/>
      <c r="I783" s="2078"/>
      <c r="J783" s="2078"/>
      <c r="K783" s="2078"/>
      <c r="L783" s="2078"/>
      <c r="M783" s="2078"/>
      <c r="N783" s="2078"/>
      <c r="O783" s="2078"/>
      <c r="P783" s="2078"/>
      <c r="Q783" s="2078"/>
      <c r="R783" s="2078"/>
      <c r="S783" s="2078"/>
      <c r="T783" s="2078"/>
      <c r="U783" s="2078"/>
      <c r="V783" s="2078"/>
      <c r="W783" s="2078"/>
      <c r="X783" s="2078"/>
      <c r="Y783" s="2078"/>
      <c r="Z783" s="2078"/>
      <c r="AA783" s="2078"/>
      <c r="AB783" s="2078"/>
      <c r="AC783" s="2078"/>
      <c r="AD783" s="2078"/>
      <c r="AE783" s="2078"/>
      <c r="AF783" s="2078"/>
      <c r="AG783" s="2078"/>
      <c r="AH783" s="2078"/>
      <c r="AI783" s="2078"/>
      <c r="AJ783" s="2078"/>
      <c r="AK783" s="2078"/>
      <c r="AL783" s="2078"/>
      <c r="AM783" s="207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11"/>
      <c r="B785" s="2011"/>
      <c r="C785" s="2011"/>
      <c r="D785" s="2011"/>
      <c r="E785" s="2011"/>
      <c r="F785" s="2011"/>
      <c r="G785" s="2011"/>
      <c r="H785" s="2011"/>
      <c r="I785" s="2011"/>
      <c r="J785" s="2011"/>
      <c r="K785" s="2011"/>
      <c r="L785" s="2011"/>
      <c r="M785" s="2011"/>
      <c r="N785" s="2011"/>
      <c r="O785" s="2011"/>
      <c r="P785" s="2011"/>
      <c r="Q785" s="2011"/>
      <c r="R785" s="2011"/>
      <c r="S785" s="2011"/>
      <c r="T785" s="2011"/>
      <c r="U785" s="2011"/>
      <c r="V785" s="2011"/>
      <c r="W785" s="2011"/>
      <c r="X785" s="2011"/>
      <c r="Y785" s="2011"/>
      <c r="Z785" s="2011"/>
      <c r="AA785" s="2011"/>
      <c r="AB785" s="2011"/>
      <c r="AC785" s="2011"/>
      <c r="AD785" s="2011"/>
      <c r="AE785" s="2011"/>
      <c r="AF785" s="2011"/>
      <c r="AG785" s="2011"/>
      <c r="AH785" s="2011"/>
      <c r="AI785" s="2011"/>
      <c r="AJ785" s="2011"/>
      <c r="AK785" s="2011"/>
      <c r="AL785" s="2011"/>
      <c r="AM785" s="2011"/>
      <c r="AP785" s="852"/>
      <c r="AQ785" s="852"/>
    </row>
    <row r="786" spans="1:81">
      <c r="A786" s="2011"/>
      <c r="B786" s="2011"/>
      <c r="C786" s="2011"/>
      <c r="D786" s="2011"/>
      <c r="E786" s="2011"/>
      <c r="F786" s="2011"/>
      <c r="G786" s="2011"/>
      <c r="H786" s="2011"/>
      <c r="I786" s="2011"/>
      <c r="J786" s="2011"/>
      <c r="K786" s="2011"/>
      <c r="L786" s="2011"/>
      <c r="M786" s="2011"/>
      <c r="N786" s="2011"/>
      <c r="O786" s="2011"/>
      <c r="P786" s="2011"/>
      <c r="Q786" s="2011"/>
      <c r="R786" s="2011"/>
      <c r="S786" s="2011"/>
      <c r="T786" s="2011"/>
      <c r="U786" s="2011"/>
      <c r="V786" s="2011"/>
      <c r="W786" s="2011"/>
      <c r="X786" s="2011"/>
      <c r="Y786" s="2011"/>
      <c r="Z786" s="2011"/>
      <c r="AA786" s="2011"/>
      <c r="AB786" s="2011"/>
      <c r="AC786" s="2011"/>
      <c r="AD786" s="2011"/>
      <c r="AE786" s="2011"/>
      <c r="AF786" s="2011"/>
      <c r="AG786" s="2011"/>
      <c r="AH786" s="2011"/>
      <c r="AI786" s="2011"/>
      <c r="AJ786" s="2011"/>
      <c r="AK786" s="2011"/>
      <c r="AL786" s="2011"/>
      <c r="AM786" s="201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9" t="s">
        <v>1747</v>
      </c>
      <c r="U787" s="2080"/>
      <c r="V787" s="2080"/>
      <c r="W787" s="2080"/>
      <c r="X787" s="2080"/>
      <c r="Y787" s="2081"/>
      <c r="Z787" s="2079" t="s">
        <v>1748</v>
      </c>
      <c r="AA787" s="2080"/>
      <c r="AB787" s="2080"/>
      <c r="AC787" s="2080"/>
      <c r="AD787" s="2080"/>
      <c r="AE787" s="2081"/>
      <c r="AF787" s="2079" t="s">
        <v>1749</v>
      </c>
      <c r="AG787" s="2080"/>
      <c r="AH787" s="2080"/>
      <c r="AI787" s="2080"/>
      <c r="AJ787" s="2080"/>
      <c r="AK787" s="208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82"/>
      <c r="U788" s="2083"/>
      <c r="V788" s="2083"/>
      <c r="W788" s="2083"/>
      <c r="X788" s="2083"/>
      <c r="Y788" s="2084"/>
      <c r="Z788" s="2082"/>
      <c r="AA788" s="2083"/>
      <c r="AB788" s="2083"/>
      <c r="AC788" s="2083"/>
      <c r="AD788" s="2083"/>
      <c r="AE788" s="2084"/>
      <c r="AF788" s="2082"/>
      <c r="AG788" s="2083"/>
      <c r="AH788" s="2083"/>
      <c r="AI788" s="2083"/>
      <c r="AJ788" s="2083"/>
      <c r="AK788" s="2084"/>
      <c r="AL788" s="854"/>
      <c r="AM788" s="631"/>
      <c r="AO788" s="852"/>
      <c r="AP788" s="852"/>
      <c r="AQ788" s="852"/>
    </row>
    <row r="789" spans="1:81">
      <c r="A789" s="855" t="s">
        <v>770</v>
      </c>
      <c r="B789" s="2059" t="s">
        <v>1477</v>
      </c>
      <c r="C789" s="2059"/>
      <c r="D789" s="2059"/>
      <c r="E789" s="2059"/>
      <c r="F789" s="2059"/>
      <c r="G789" s="2059"/>
      <c r="H789" s="2059"/>
      <c r="I789" s="2059"/>
      <c r="J789" s="2059"/>
      <c r="K789" s="2059"/>
      <c r="L789" s="2059"/>
      <c r="M789" s="2059"/>
      <c r="N789" s="2059"/>
      <c r="O789" s="2059"/>
      <c r="P789" s="2059"/>
      <c r="Q789" s="2059"/>
      <c r="R789" s="2059"/>
      <c r="S789" s="2060"/>
      <c r="T789" s="2061">
        <f>AK56</f>
        <v>0</v>
      </c>
      <c r="U789" s="2062"/>
      <c r="V789" s="2062"/>
      <c r="W789" s="2062"/>
      <c r="X789" s="2062"/>
      <c r="Y789" s="2063"/>
      <c r="Z789" s="2064">
        <v>20</v>
      </c>
      <c r="AA789" s="2062"/>
      <c r="AB789" s="2062"/>
      <c r="AC789" s="2062"/>
      <c r="AD789" s="2062"/>
      <c r="AE789" s="2063"/>
      <c r="AF789" s="2028">
        <f>IF(T789&gt;Z789,Z789,T789)</f>
        <v>0</v>
      </c>
      <c r="AG789" s="2028"/>
      <c r="AH789" s="2028"/>
      <c r="AI789" s="2028"/>
      <c r="AJ789" s="2028"/>
      <c r="AK789" s="2028"/>
      <c r="AL789" s="854"/>
      <c r="AM789" s="631"/>
      <c r="AO789" s="852"/>
      <c r="AP789" s="852"/>
      <c r="AQ789" s="852"/>
    </row>
    <row r="790" spans="1:81">
      <c r="A790" s="855" t="s">
        <v>1719</v>
      </c>
      <c r="B790" s="2059" t="s">
        <v>1486</v>
      </c>
      <c r="C790" s="2059"/>
      <c r="D790" s="2059"/>
      <c r="E790" s="2059"/>
      <c r="F790" s="2059"/>
      <c r="G790" s="2059"/>
      <c r="H790" s="2059"/>
      <c r="I790" s="2059"/>
      <c r="J790" s="2059"/>
      <c r="K790" s="2059"/>
      <c r="L790" s="2059"/>
      <c r="M790" s="2059"/>
      <c r="N790" s="2059"/>
      <c r="O790" s="2059"/>
      <c r="P790" s="2059"/>
      <c r="Q790" s="2059"/>
      <c r="R790" s="2059"/>
      <c r="S790" s="2060"/>
      <c r="T790" s="2061">
        <f>AK78</f>
        <v>10</v>
      </c>
      <c r="U790" s="2062"/>
      <c r="V790" s="2062"/>
      <c r="W790" s="2062"/>
      <c r="X790" s="2062"/>
      <c r="Y790" s="2063"/>
      <c r="Z790" s="2064">
        <v>10</v>
      </c>
      <c r="AA790" s="2062"/>
      <c r="AB790" s="2062"/>
      <c r="AC790" s="2062"/>
      <c r="AD790" s="2062"/>
      <c r="AE790" s="2063"/>
      <c r="AF790" s="2028">
        <f>IF(T790&gt;Z790,Z790,T790)</f>
        <v>10</v>
      </c>
      <c r="AG790" s="2028"/>
      <c r="AH790" s="2028"/>
      <c r="AI790" s="2028"/>
      <c r="AJ790" s="2028"/>
      <c r="AK790" s="2028"/>
      <c r="AL790" s="854"/>
      <c r="AM790" s="631"/>
      <c r="AO790" s="852"/>
      <c r="AP790" s="852"/>
      <c r="AQ790" s="852"/>
    </row>
    <row r="791" spans="1:81">
      <c r="A791" s="855" t="s">
        <v>1728</v>
      </c>
      <c r="B791" s="2059" t="s">
        <v>1496</v>
      </c>
      <c r="C791" s="2059"/>
      <c r="D791" s="2059"/>
      <c r="E791" s="2059"/>
      <c r="F791" s="2059"/>
      <c r="G791" s="2059"/>
      <c r="H791" s="2059"/>
      <c r="I791" s="2059"/>
      <c r="J791" s="2059"/>
      <c r="K791" s="2059"/>
      <c r="L791" s="2059"/>
      <c r="M791" s="2059"/>
      <c r="N791" s="2059"/>
      <c r="O791" s="2059"/>
      <c r="P791" s="2059"/>
      <c r="Q791" s="2059"/>
      <c r="R791" s="2059"/>
      <c r="S791" s="2060"/>
      <c r="T791" s="2061">
        <f ca="1">AK103</f>
        <v>20</v>
      </c>
      <c r="U791" s="2062"/>
      <c r="V791" s="2062"/>
      <c r="W791" s="2062"/>
      <c r="X791" s="2062"/>
      <c r="Y791" s="2063"/>
      <c r="Z791" s="2064">
        <v>20</v>
      </c>
      <c r="AA791" s="2062"/>
      <c r="AB791" s="2062"/>
      <c r="AC791" s="2062"/>
      <c r="AD791" s="2062"/>
      <c r="AE791" s="2063"/>
      <c r="AF791" s="2028">
        <f ca="1">IF(T791&gt;Z791,Z791,T791)</f>
        <v>20</v>
      </c>
      <c r="AG791" s="2028"/>
      <c r="AH791" s="2028"/>
      <c r="AI791" s="2028"/>
      <c r="AJ791" s="2028"/>
      <c r="AK791" s="2028"/>
      <c r="AL791" s="854"/>
      <c r="AM791" s="631"/>
      <c r="AO791" s="852"/>
      <c r="AP791" s="852"/>
      <c r="AQ791" s="852"/>
    </row>
    <row r="792" spans="1:81">
      <c r="A792" s="855" t="s">
        <v>1750</v>
      </c>
      <c r="B792" s="2059" t="s">
        <v>1506</v>
      </c>
      <c r="C792" s="2059"/>
      <c r="D792" s="2059"/>
      <c r="E792" s="2059"/>
      <c r="F792" s="2059"/>
      <c r="G792" s="2059"/>
      <c r="H792" s="2059"/>
      <c r="I792" s="2059"/>
      <c r="J792" s="2059"/>
      <c r="K792" s="2059"/>
      <c r="L792" s="2059"/>
      <c r="M792" s="2059"/>
      <c r="N792" s="2059"/>
      <c r="O792" s="2059"/>
      <c r="P792" s="2059"/>
      <c r="Q792" s="2059"/>
      <c r="R792" s="2059"/>
      <c r="S792" s="2060"/>
      <c r="T792" s="2061">
        <f>AK137</f>
        <v>10</v>
      </c>
      <c r="U792" s="2062"/>
      <c r="V792" s="2062"/>
      <c r="W792" s="2062"/>
      <c r="X792" s="2062"/>
      <c r="Y792" s="2063"/>
      <c r="Z792" s="2064">
        <v>10</v>
      </c>
      <c r="AA792" s="2062"/>
      <c r="AB792" s="2062"/>
      <c r="AC792" s="2062"/>
      <c r="AD792" s="2062"/>
      <c r="AE792" s="2063"/>
      <c r="AF792" s="2028">
        <f>IF(T792&gt;Z792,Z792,T792)</f>
        <v>10</v>
      </c>
      <c r="AG792" s="2028"/>
      <c r="AH792" s="2028"/>
      <c r="AI792" s="2028"/>
      <c r="AJ792" s="2028"/>
      <c r="AK792" s="2028"/>
      <c r="AL792" s="854"/>
      <c r="AM792" s="631"/>
      <c r="AO792" s="852"/>
      <c r="AP792" s="852"/>
      <c r="AQ792" s="852"/>
    </row>
    <row r="793" spans="1:81">
      <c r="A793" s="856" t="s">
        <v>1751</v>
      </c>
      <c r="B793" s="2059" t="s">
        <v>1752</v>
      </c>
      <c r="C793" s="2059"/>
      <c r="D793" s="2059"/>
      <c r="E793" s="2059"/>
      <c r="F793" s="2059"/>
      <c r="G793" s="2059"/>
      <c r="H793" s="2059"/>
      <c r="I793" s="2059"/>
      <c r="J793" s="2059"/>
      <c r="K793" s="2059"/>
      <c r="L793" s="2059"/>
      <c r="M793" s="2059"/>
      <c r="N793" s="2059"/>
      <c r="O793" s="2059"/>
      <c r="P793" s="2059"/>
      <c r="Q793" s="2059"/>
      <c r="R793" s="2059"/>
      <c r="S793" s="2060"/>
      <c r="T793" s="2085">
        <f>SUM(T794:Y795)</f>
        <v>10</v>
      </c>
      <c r="U793" s="2085"/>
      <c r="V793" s="2085"/>
      <c r="W793" s="2085"/>
      <c r="X793" s="2085"/>
      <c r="Y793" s="2085"/>
      <c r="Z793" s="2028">
        <v>10</v>
      </c>
      <c r="AA793" s="2028"/>
      <c r="AB793" s="2028"/>
      <c r="AC793" s="2028"/>
      <c r="AD793" s="2028"/>
      <c r="AE793" s="2028"/>
      <c r="AF793" s="2028">
        <f>IF(T793&gt;Z793,Z793,T793)</f>
        <v>10</v>
      </c>
      <c r="AG793" s="2028"/>
      <c r="AH793" s="2028"/>
      <c r="AI793" s="2028"/>
      <c r="AJ793" s="2028"/>
      <c r="AK793" s="2028"/>
      <c r="AL793" s="854"/>
      <c r="AM793" s="631"/>
    </row>
    <row r="794" spans="1:81">
      <c r="A794" s="570"/>
      <c r="B794" s="636"/>
      <c r="C794" s="2086" t="s">
        <v>1753</v>
      </c>
      <c r="D794" s="2086"/>
      <c r="E794" s="2086"/>
      <c r="F794" s="2086"/>
      <c r="G794" s="2086"/>
      <c r="H794" s="2086"/>
      <c r="I794" s="2086"/>
      <c r="J794" s="2086"/>
      <c r="K794" s="2086"/>
      <c r="L794" s="2086"/>
      <c r="M794" s="2086"/>
      <c r="N794" s="2086"/>
      <c r="O794" s="2086"/>
      <c r="P794" s="2086"/>
      <c r="Q794" s="2086"/>
      <c r="R794" s="2086"/>
      <c r="S794" s="2087"/>
      <c r="T794" s="1965">
        <f>AJ155</f>
        <v>7</v>
      </c>
      <c r="U794" s="1965"/>
      <c r="V794" s="1965"/>
      <c r="W794" s="1965"/>
      <c r="X794" s="1965"/>
      <c r="Y794" s="1965"/>
      <c r="Z794" s="1966">
        <v>7</v>
      </c>
      <c r="AA794" s="1966"/>
      <c r="AB794" s="1966"/>
      <c r="AC794" s="1966"/>
      <c r="AD794" s="1966"/>
      <c r="AE794" s="1966"/>
      <c r="AF794" s="2088"/>
      <c r="AG794" s="2088"/>
      <c r="AH794" s="2088"/>
      <c r="AI794" s="2088"/>
      <c r="AJ794" s="2088"/>
      <c r="AK794" s="2088"/>
      <c r="AL794" s="854"/>
      <c r="AM794" s="631"/>
    </row>
    <row r="795" spans="1:81">
      <c r="A795" s="635"/>
      <c r="B795" s="636"/>
      <c r="C795" s="2086" t="s">
        <v>1754</v>
      </c>
      <c r="D795" s="2086"/>
      <c r="E795" s="2086"/>
      <c r="F795" s="2086"/>
      <c r="G795" s="2086"/>
      <c r="H795" s="2086"/>
      <c r="I795" s="2086"/>
      <c r="J795" s="2086"/>
      <c r="K795" s="2086"/>
      <c r="L795" s="2086"/>
      <c r="M795" s="2086"/>
      <c r="N795" s="2086"/>
      <c r="O795" s="2086"/>
      <c r="P795" s="2086"/>
      <c r="Q795" s="2086"/>
      <c r="R795" s="2086"/>
      <c r="S795" s="2087"/>
      <c r="T795" s="1965">
        <f>AJ169</f>
        <v>3</v>
      </c>
      <c r="U795" s="1965"/>
      <c r="V795" s="1965"/>
      <c r="W795" s="1965"/>
      <c r="X795" s="1965"/>
      <c r="Y795" s="1965"/>
      <c r="Z795" s="1966">
        <v>3</v>
      </c>
      <c r="AA795" s="1966"/>
      <c r="AB795" s="1966"/>
      <c r="AC795" s="1966"/>
      <c r="AD795" s="1966"/>
      <c r="AE795" s="1966"/>
      <c r="AF795" s="2088"/>
      <c r="AG795" s="2088"/>
      <c r="AH795" s="2088"/>
      <c r="AI795" s="2088"/>
      <c r="AJ795" s="2088"/>
      <c r="AK795" s="2088"/>
      <c r="AL795" s="854"/>
      <c r="AM795" s="631"/>
      <c r="AO795" s="585"/>
    </row>
    <row r="796" spans="1:81">
      <c r="A796" s="856" t="s">
        <v>1534</v>
      </c>
      <c r="B796" s="2059" t="s">
        <v>1755</v>
      </c>
      <c r="C796" s="2059"/>
      <c r="D796" s="2059"/>
      <c r="E796" s="2059"/>
      <c r="F796" s="2059"/>
      <c r="G796" s="2059"/>
      <c r="H796" s="2059"/>
      <c r="I796" s="2059"/>
      <c r="J796" s="2059"/>
      <c r="K796" s="2059"/>
      <c r="L796" s="2059"/>
      <c r="M796" s="2059"/>
      <c r="N796" s="2059"/>
      <c r="O796" s="2059"/>
      <c r="P796" s="2059"/>
      <c r="Q796" s="2059"/>
      <c r="R796" s="2059"/>
      <c r="S796" s="2060"/>
      <c r="T796" s="2085">
        <f>AK180</f>
        <v>10</v>
      </c>
      <c r="U796" s="2085"/>
      <c r="V796" s="2085"/>
      <c r="W796" s="2085"/>
      <c r="X796" s="2085"/>
      <c r="Y796" s="2085"/>
      <c r="Z796" s="2028">
        <v>10</v>
      </c>
      <c r="AA796" s="2028"/>
      <c r="AB796" s="2028"/>
      <c r="AC796" s="2028"/>
      <c r="AD796" s="2028"/>
      <c r="AE796" s="2028"/>
      <c r="AF796" s="2028">
        <f>IF(T796&gt;Z796,Z796,T796)</f>
        <v>10</v>
      </c>
      <c r="AG796" s="2028"/>
      <c r="AH796" s="2028"/>
      <c r="AI796" s="2028"/>
      <c r="AJ796" s="2028"/>
      <c r="AK796" s="2028"/>
      <c r="AL796" s="854"/>
      <c r="AM796" s="631"/>
    </row>
    <row r="797" spans="1:81">
      <c r="A797" s="855" t="s">
        <v>1543</v>
      </c>
      <c r="B797" s="2059" t="s">
        <v>1544</v>
      </c>
      <c r="C797" s="2059"/>
      <c r="D797" s="2059"/>
      <c r="E797" s="2059"/>
      <c r="F797" s="2059"/>
      <c r="G797" s="2059"/>
      <c r="H797" s="2059"/>
      <c r="I797" s="2059"/>
      <c r="J797" s="2059"/>
      <c r="K797" s="2059"/>
      <c r="L797" s="2059"/>
      <c r="M797" s="2059"/>
      <c r="N797" s="2059"/>
      <c r="O797" s="2059"/>
      <c r="P797" s="2059"/>
      <c r="Q797" s="2059"/>
      <c r="R797" s="2059"/>
      <c r="S797" s="2060"/>
      <c r="T797" s="2085">
        <f>AK262</f>
        <v>8</v>
      </c>
      <c r="U797" s="2085"/>
      <c r="V797" s="2085"/>
      <c r="W797" s="2085"/>
      <c r="X797" s="2085"/>
      <c r="Y797" s="2085"/>
      <c r="Z797" s="2064">
        <v>8</v>
      </c>
      <c r="AA797" s="2062"/>
      <c r="AB797" s="2062"/>
      <c r="AC797" s="2062"/>
      <c r="AD797" s="2062"/>
      <c r="AE797" s="2063"/>
      <c r="AF797" s="2028">
        <f>IF(T797&gt;Z797,Z797,T797)</f>
        <v>8</v>
      </c>
      <c r="AG797" s="2028"/>
      <c r="AH797" s="2028"/>
      <c r="AI797" s="2028"/>
      <c r="AJ797" s="2028"/>
      <c r="AK797" s="2028"/>
      <c r="AL797" s="854"/>
      <c r="AM797" s="631"/>
    </row>
    <row r="798" spans="1:81" s="569" customFormat="1" hidden="1">
      <c r="A798" s="856" t="s">
        <v>599</v>
      </c>
      <c r="B798" s="2059" t="s">
        <v>1756</v>
      </c>
      <c r="C798" s="2059"/>
      <c r="D798" s="2059"/>
      <c r="E798" s="2059"/>
      <c r="F798" s="2059"/>
      <c r="G798" s="2059"/>
      <c r="H798" s="2059"/>
      <c r="I798" s="2059"/>
      <c r="J798" s="2059"/>
      <c r="K798" s="2059"/>
      <c r="L798" s="2059"/>
      <c r="M798" s="2059"/>
      <c r="N798" s="2059"/>
      <c r="O798" s="2059"/>
      <c r="P798" s="2059"/>
      <c r="Q798" s="2059"/>
      <c r="R798" s="2059"/>
      <c r="S798" s="2060"/>
      <c r="T798" s="2085">
        <f>IF(AK524&gt;5,5,AK524)</f>
        <v>0</v>
      </c>
      <c r="U798" s="2085"/>
      <c r="V798" s="2085"/>
      <c r="W798" s="2085"/>
      <c r="X798" s="2085"/>
      <c r="Y798" s="2085"/>
      <c r="Z798" s="2028">
        <v>5</v>
      </c>
      <c r="AA798" s="2028"/>
      <c r="AB798" s="2028"/>
      <c r="AC798" s="2028"/>
      <c r="AD798" s="2028"/>
      <c r="AE798" s="2028"/>
      <c r="AF798" s="2028">
        <f>IF(T798&gt;Z798,5,T798)</f>
        <v>0</v>
      </c>
      <c r="AG798" s="2028"/>
      <c r="AH798" s="2028"/>
      <c r="AI798" s="2028"/>
      <c r="AJ798" s="2028"/>
      <c r="AK798" s="202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59" t="s">
        <v>1757</v>
      </c>
      <c r="C799" s="2059"/>
      <c r="D799" s="2059"/>
      <c r="E799" s="2059"/>
      <c r="F799" s="2059"/>
      <c r="G799" s="2059"/>
      <c r="H799" s="2059"/>
      <c r="I799" s="2059"/>
      <c r="J799" s="2059"/>
      <c r="K799" s="2059"/>
      <c r="L799" s="2059"/>
      <c r="M799" s="2059"/>
      <c r="N799" s="2059"/>
      <c r="O799" s="2059"/>
      <c r="P799" s="2059"/>
      <c r="Q799" s="2059"/>
      <c r="R799" s="2059"/>
      <c r="S799" s="2060"/>
      <c r="T799" s="2085">
        <f>AK274</f>
        <v>10</v>
      </c>
      <c r="U799" s="2085"/>
      <c r="V799" s="2085"/>
      <c r="W799" s="2085"/>
      <c r="X799" s="2085"/>
      <c r="Y799" s="2085"/>
      <c r="Z799" s="2028">
        <v>10</v>
      </c>
      <c r="AA799" s="2028"/>
      <c r="AB799" s="2028"/>
      <c r="AC799" s="2028"/>
      <c r="AD799" s="2028"/>
      <c r="AE799" s="2028"/>
      <c r="AF799" s="2091">
        <f>IF(T799&gt;Z799,Z799,T799)</f>
        <v>10</v>
      </c>
      <c r="AG799" s="2092"/>
      <c r="AH799" s="2092"/>
      <c r="AI799" s="2092"/>
      <c r="AJ799" s="2092"/>
      <c r="AK799" s="209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59" t="s">
        <v>1554</v>
      </c>
      <c r="C800" s="2059"/>
      <c r="D800" s="2059"/>
      <c r="E800" s="2059"/>
      <c r="F800" s="2059"/>
      <c r="G800" s="2059"/>
      <c r="H800" s="2059"/>
      <c r="I800" s="2059"/>
      <c r="J800" s="2059"/>
      <c r="K800" s="2059"/>
      <c r="L800" s="2059"/>
      <c r="M800" s="2059"/>
      <c r="N800" s="2059"/>
      <c r="O800" s="2059"/>
      <c r="P800" s="2059"/>
      <c r="Q800" s="2059"/>
      <c r="R800" s="2059"/>
      <c r="S800" s="2060"/>
      <c r="T800" s="2085">
        <f>AK327</f>
        <v>9</v>
      </c>
      <c r="U800" s="2085"/>
      <c r="V800" s="2085"/>
      <c r="W800" s="2085"/>
      <c r="X800" s="2085"/>
      <c r="Y800" s="2085"/>
      <c r="Z800" s="2091">
        <v>10</v>
      </c>
      <c r="AA800" s="2092"/>
      <c r="AB800" s="2092"/>
      <c r="AC800" s="2092"/>
      <c r="AD800" s="2092"/>
      <c r="AE800" s="2093"/>
      <c r="AF800" s="2091">
        <f>IF(T800&gt;Z800,Z800,T800)</f>
        <v>9</v>
      </c>
      <c r="AG800" s="2092"/>
      <c r="AH800" s="2092"/>
      <c r="AI800" s="2092"/>
      <c r="AJ800" s="2092"/>
      <c r="AK800" s="209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65">
        <f>AK327</f>
        <v>9</v>
      </c>
      <c r="U801" s="1965"/>
      <c r="V801" s="1965"/>
      <c r="W801" s="1965"/>
      <c r="X801" s="1965"/>
      <c r="Y801" s="1965"/>
      <c r="Z801" s="1970">
        <v>20</v>
      </c>
      <c r="AA801" s="1971"/>
      <c r="AB801" s="1971"/>
      <c r="AC801" s="1971"/>
      <c r="AD801" s="1971"/>
      <c r="AE801" s="1972"/>
      <c r="AF801" s="2088"/>
      <c r="AG801" s="2088"/>
      <c r="AH801" s="2088"/>
      <c r="AI801" s="2088"/>
      <c r="AJ801" s="2088"/>
      <c r="AK801" s="208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59" t="s">
        <v>874</v>
      </c>
      <c r="C802" s="2059"/>
      <c r="D802" s="2059"/>
      <c r="E802" s="2059"/>
      <c r="F802" s="2059"/>
      <c r="G802" s="2059"/>
      <c r="H802" s="2059"/>
      <c r="I802" s="2059"/>
      <c r="J802" s="2059"/>
      <c r="K802" s="2059"/>
      <c r="L802" s="2059"/>
      <c r="M802" s="2059"/>
      <c r="N802" s="2059"/>
      <c r="O802" s="2059"/>
      <c r="P802" s="2059"/>
      <c r="Q802" s="2059"/>
      <c r="R802" s="2059"/>
      <c r="S802" s="2060"/>
      <c r="T802" s="2085">
        <f>AK458</f>
        <v>10</v>
      </c>
      <c r="U802" s="2085"/>
      <c r="V802" s="2085"/>
      <c r="W802" s="2085"/>
      <c r="X802" s="2085"/>
      <c r="Y802" s="2085"/>
      <c r="Z802" s="2091">
        <v>10</v>
      </c>
      <c r="AA802" s="2092"/>
      <c r="AB802" s="2092"/>
      <c r="AC802" s="2092"/>
      <c r="AD802" s="2092"/>
      <c r="AE802" s="2093"/>
      <c r="AF802" s="2028">
        <f>IF(T802&gt;Z802,Z802,T802)</f>
        <v>10</v>
      </c>
      <c r="AG802" s="2028"/>
      <c r="AH802" s="2028"/>
      <c r="AI802" s="2028"/>
      <c r="AJ802" s="2028"/>
      <c r="AK802" s="202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59" t="s">
        <v>1737</v>
      </c>
      <c r="C803" s="2059"/>
      <c r="D803" s="2059"/>
      <c r="E803" s="2059"/>
      <c r="F803" s="2059"/>
      <c r="G803" s="2059"/>
      <c r="H803" s="2059"/>
      <c r="I803" s="2059"/>
      <c r="J803" s="2059"/>
      <c r="K803" s="2059"/>
      <c r="L803" s="2059"/>
      <c r="M803" s="2059"/>
      <c r="N803" s="2059"/>
      <c r="O803" s="2059"/>
      <c r="P803" s="2059"/>
      <c r="Q803" s="2059"/>
      <c r="R803" s="2059"/>
      <c r="S803" s="2060"/>
      <c r="T803" s="2085">
        <f>AK548</f>
        <v>12</v>
      </c>
      <c r="U803" s="2085"/>
      <c r="V803" s="2085"/>
      <c r="W803" s="2085"/>
      <c r="X803" s="2085"/>
      <c r="Y803" s="2085"/>
      <c r="Z803" s="2091">
        <v>12</v>
      </c>
      <c r="AA803" s="2092"/>
      <c r="AB803" s="2092"/>
      <c r="AC803" s="2092"/>
      <c r="AD803" s="2092"/>
      <c r="AE803" s="2093"/>
      <c r="AF803" s="2028">
        <f>IF(T803&gt;Z803,Z803,T803)</f>
        <v>12</v>
      </c>
      <c r="AG803" s="2028"/>
      <c r="AH803" s="2028"/>
      <c r="AI803" s="2028"/>
      <c r="AJ803" s="2028"/>
      <c r="AK803" s="202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59" t="s">
        <v>1759</v>
      </c>
      <c r="C804" s="2059"/>
      <c r="D804" s="2059"/>
      <c r="E804" s="2059"/>
      <c r="F804" s="2059"/>
      <c r="G804" s="2059"/>
      <c r="H804" s="2059"/>
      <c r="I804" s="2059"/>
      <c r="J804" s="2059"/>
      <c r="K804" s="2059"/>
      <c r="L804" s="2059"/>
      <c r="M804" s="2059"/>
      <c r="N804" s="2059"/>
      <c r="O804" s="2059"/>
      <c r="P804" s="2059"/>
      <c r="Q804" s="2059"/>
      <c r="R804" s="2059"/>
      <c r="S804" s="2060"/>
      <c r="T804" s="2085">
        <f>AK779</f>
        <v>10</v>
      </c>
      <c r="U804" s="2085"/>
      <c r="V804" s="2085"/>
      <c r="W804" s="2085"/>
      <c r="X804" s="2085"/>
      <c r="Y804" s="2085"/>
      <c r="Z804" s="2091">
        <v>10</v>
      </c>
      <c r="AA804" s="2092"/>
      <c r="AB804" s="2092"/>
      <c r="AC804" s="2092"/>
      <c r="AD804" s="2092"/>
      <c r="AE804" s="2093"/>
      <c r="AF804" s="2028">
        <f>IF(T804&gt;Z804,Z804,T804)</f>
        <v>10</v>
      </c>
      <c r="AG804" s="2028"/>
      <c r="AH804" s="2028"/>
      <c r="AI804" s="2028"/>
      <c r="AJ804" s="2028"/>
      <c r="AK804" s="202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9" t="s">
        <v>1760</v>
      </c>
      <c r="B805" s="2059"/>
      <c r="C805" s="2059"/>
      <c r="D805" s="2059"/>
      <c r="E805" s="2059"/>
      <c r="F805" s="2059"/>
      <c r="G805" s="2059"/>
      <c r="H805" s="2059"/>
      <c r="I805" s="2059"/>
      <c r="J805" s="2059"/>
      <c r="K805" s="2059"/>
      <c r="L805" s="2059"/>
      <c r="M805" s="2059"/>
      <c r="N805" s="2059"/>
      <c r="O805" s="2059"/>
      <c r="P805" s="2059"/>
      <c r="Q805" s="2059"/>
      <c r="R805" s="2059"/>
      <c r="S805" s="2060"/>
      <c r="T805" s="2090"/>
      <c r="U805" s="2090"/>
      <c r="V805" s="2090"/>
      <c r="W805" s="2090"/>
      <c r="X805" s="2090"/>
      <c r="Y805" s="2090"/>
      <c r="Z805" s="1966" t="s">
        <v>1761</v>
      </c>
      <c r="AA805" s="1966"/>
      <c r="AB805" s="1966"/>
      <c r="AC805" s="1966"/>
      <c r="AD805" s="1966"/>
      <c r="AE805" s="1966"/>
      <c r="AF805" s="2091">
        <f>IF(T805&gt;0,T805,0)</f>
        <v>0</v>
      </c>
      <c r="AG805" s="2092"/>
      <c r="AH805" s="2092"/>
      <c r="AI805" s="2092"/>
      <c r="AJ805" s="2092"/>
      <c r="AK805" s="209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94" t="s">
        <v>1762</v>
      </c>
      <c r="B806" s="2095"/>
      <c r="C806" s="2095"/>
      <c r="D806" s="2095"/>
      <c r="E806" s="2095"/>
      <c r="F806" s="2095"/>
      <c r="G806" s="2095"/>
      <c r="H806" s="2095"/>
      <c r="I806" s="2095"/>
      <c r="J806" s="2095"/>
      <c r="K806" s="2095"/>
      <c r="L806" s="2095"/>
      <c r="M806" s="2095"/>
      <c r="N806" s="2095"/>
      <c r="O806" s="2095"/>
      <c r="P806" s="2095"/>
      <c r="Q806" s="2095"/>
      <c r="R806" s="2095"/>
      <c r="S806" s="2095"/>
      <c r="T806" s="2095"/>
      <c r="U806" s="2095"/>
      <c r="V806" s="2095"/>
      <c r="W806" s="2095"/>
      <c r="X806" s="2095"/>
      <c r="Y806" s="2095"/>
      <c r="Z806" s="2095"/>
      <c r="AA806" s="2095"/>
      <c r="AB806" s="2095"/>
      <c r="AC806" s="2095"/>
      <c r="AD806" s="2095"/>
      <c r="AE806" s="2096"/>
      <c r="AF806" s="2100">
        <f ca="1">SUM(AF789:AK804)-AF805</f>
        <v>119</v>
      </c>
      <c r="AG806" s="2101"/>
      <c r="AH806" s="2101"/>
      <c r="AI806" s="2101"/>
      <c r="AJ806" s="2101"/>
      <c r="AK806" s="210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97"/>
      <c r="B807" s="2098"/>
      <c r="C807" s="2098"/>
      <c r="D807" s="2098"/>
      <c r="E807" s="2098"/>
      <c r="F807" s="2098"/>
      <c r="G807" s="2098"/>
      <c r="H807" s="2098"/>
      <c r="I807" s="2098"/>
      <c r="J807" s="2098"/>
      <c r="K807" s="2098"/>
      <c r="L807" s="2098"/>
      <c r="M807" s="2098"/>
      <c r="N807" s="2098"/>
      <c r="O807" s="2098"/>
      <c r="P807" s="2098"/>
      <c r="Q807" s="2098"/>
      <c r="R807" s="2098"/>
      <c r="S807" s="2098"/>
      <c r="T807" s="2098"/>
      <c r="U807" s="2098"/>
      <c r="V807" s="2098"/>
      <c r="W807" s="2098"/>
      <c r="X807" s="2098"/>
      <c r="Y807" s="2098"/>
      <c r="Z807" s="2098"/>
      <c r="AA807" s="2098"/>
      <c r="AB807" s="2098"/>
      <c r="AC807" s="2098"/>
      <c r="AD807" s="2098"/>
      <c r="AE807" s="2099"/>
      <c r="AF807" s="2103"/>
      <c r="AG807" s="2104"/>
      <c r="AH807" s="2104"/>
      <c r="AI807" s="2104"/>
      <c r="AJ807" s="2104"/>
      <c r="AK807" s="210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5" sqref="H5"/>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0" t="s">
        <v>1763</v>
      </c>
      <c r="B1" s="2150"/>
      <c r="C1" s="2150"/>
      <c r="D1" s="2150"/>
      <c r="E1" s="2150"/>
      <c r="F1" s="2150"/>
      <c r="G1" s="2150"/>
      <c r="H1" s="2150"/>
      <c r="I1" s="2150"/>
      <c r="J1" s="2150"/>
    </row>
    <row r="2" spans="1:13" ht="15" customHeight="1" thickBot="1">
      <c r="A2" s="1090"/>
      <c r="B2" s="1090"/>
      <c r="I2" s="1091"/>
      <c r="K2" s="1092"/>
    </row>
    <row r="3" spans="1:13" s="1095" customFormat="1" ht="20.100000000000001" customHeight="1">
      <c r="A3" s="1149"/>
      <c r="B3" s="1150"/>
      <c r="C3" s="1151"/>
      <c r="D3" s="1156"/>
      <c r="E3" s="1151"/>
      <c r="F3" s="1152" t="s">
        <v>2384</v>
      </c>
      <c r="G3" s="1151"/>
      <c r="H3" s="1153">
        <f>E16</f>
        <v>25790820</v>
      </c>
      <c r="I3" s="1154"/>
    </row>
    <row r="4" spans="1:13" s="1095" customFormat="1" ht="20.100000000000001" customHeight="1">
      <c r="B4" s="1143"/>
      <c r="D4" s="1157"/>
      <c r="F4" s="1141" t="s">
        <v>2386</v>
      </c>
      <c r="G4" s="1140" t="s">
        <v>2385</v>
      </c>
      <c r="H4" s="1142">
        <f>I16</f>
        <v>29044117.647058822</v>
      </c>
      <c r="I4" s="1144"/>
      <c r="K4" s="1099"/>
    </row>
    <row r="5" spans="1:13" s="1095" customFormat="1" ht="20.100000000000001" customHeight="1" thickBot="1">
      <c r="B5" s="1145"/>
      <c r="C5" s="1146"/>
      <c r="D5" s="1158"/>
      <c r="E5" s="1147"/>
      <c r="F5" s="1158" t="s">
        <v>2326</v>
      </c>
      <c r="G5" s="1159"/>
      <c r="H5" s="1155">
        <f>H3/H4</f>
        <v>0.88798772658227854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2" t="s">
        <v>2324</v>
      </c>
      <c r="C8" s="2153"/>
      <c r="D8" s="2153"/>
      <c r="E8" s="2154"/>
      <c r="G8" s="2155" t="s">
        <v>2325</v>
      </c>
      <c r="H8" s="2156"/>
      <c r="I8" s="2157"/>
      <c r="K8" s="1101"/>
    </row>
    <row r="9" spans="1:13" ht="15" customHeight="1">
      <c r="A9" s="1090"/>
      <c r="B9" s="2151" t="s">
        <v>2363</v>
      </c>
      <c r="C9" s="2151"/>
      <c r="D9" s="2151"/>
      <c r="E9" s="1103">
        <f>G31</f>
        <v>8862500</v>
      </c>
      <c r="G9" s="2160" t="s">
        <v>2361</v>
      </c>
      <c r="H9" s="2160"/>
      <c r="I9" s="1104">
        <f>Application!AM550</f>
        <v>30000000</v>
      </c>
      <c r="K9" s="1105"/>
      <c r="M9" s="1106"/>
    </row>
    <row r="10" spans="1:13" ht="15" customHeight="1" thickBot="1">
      <c r="A10" s="1090"/>
      <c r="B10" s="2151" t="s">
        <v>2364</v>
      </c>
      <c r="C10" s="2151"/>
      <c r="D10" s="2151"/>
      <c r="E10" s="1104">
        <f>G40</f>
        <v>12334320</v>
      </c>
      <c r="G10" s="2160" t="s">
        <v>2327</v>
      </c>
      <c r="H10" s="2160"/>
      <c r="I10" s="1191">
        <f>'Basis &amp; Credits'!AB77</f>
        <v>0</v>
      </c>
      <c r="M10" s="1106"/>
    </row>
    <row r="11" spans="1:13" ht="15" customHeight="1">
      <c r="A11" s="1107"/>
      <c r="B11" s="2151" t="s">
        <v>2365</v>
      </c>
      <c r="C11" s="2151"/>
      <c r="D11" s="2151"/>
      <c r="E11" s="1104">
        <f>G49</f>
        <v>0</v>
      </c>
      <c r="G11" s="2160" t="s">
        <v>2376</v>
      </c>
      <c r="H11" s="2160"/>
      <c r="I11" s="1190">
        <f>I9+I10</f>
        <v>30000000</v>
      </c>
      <c r="M11" s="1106"/>
    </row>
    <row r="12" spans="1:13" ht="15" customHeight="1">
      <c r="A12" s="1093"/>
      <c r="B12" s="2151" t="s">
        <v>2366</v>
      </c>
      <c r="C12" s="2151"/>
      <c r="D12" s="2151"/>
      <c r="E12" s="1104">
        <f>G58</f>
        <v>340000</v>
      </c>
      <c r="G12" s="1192" t="s">
        <v>2401</v>
      </c>
      <c r="H12" s="1193"/>
      <c r="M12" s="1106"/>
    </row>
    <row r="13" spans="1:13" ht="15" customHeight="1">
      <c r="A13" s="1090"/>
      <c r="B13" s="2151" t="s">
        <v>2367</v>
      </c>
      <c r="C13" s="2151"/>
      <c r="D13" s="2151"/>
      <c r="E13" s="1109">
        <f>G83</f>
        <v>4254000</v>
      </c>
      <c r="G13" s="2161" t="s">
        <v>140</v>
      </c>
      <c r="H13" s="2161"/>
      <c r="I13" s="1108">
        <f>15%*(Application!AJ963&gt;0)</f>
        <v>0</v>
      </c>
      <c r="M13" s="1106"/>
    </row>
    <row r="14" spans="1:13" ht="15" customHeight="1">
      <c r="A14" s="1090"/>
      <c r="B14" s="2151" t="s">
        <v>2368</v>
      </c>
      <c r="C14" s="2151"/>
      <c r="D14" s="2151"/>
      <c r="E14" s="1104">
        <f>IF(G96&gt;G106,G96,0)</f>
        <v>0</v>
      </c>
      <c r="G14" s="1188" t="s">
        <v>2377</v>
      </c>
      <c r="H14" s="1188"/>
      <c r="I14" s="1108">
        <f>IF(Application!AJ997&gt;0,10%,IF(Application!AJ1001&gt;0,5%,0))</f>
        <v>0</v>
      </c>
      <c r="M14" s="1106"/>
    </row>
    <row r="15" spans="1:13" ht="15" customHeight="1" thickBot="1">
      <c r="A15" s="1090"/>
      <c r="B15" s="2158" t="s">
        <v>2387</v>
      </c>
      <c r="C15" s="2158"/>
      <c r="D15" s="2158"/>
      <c r="E15" s="1160">
        <f>IF(E14&gt;0,0,G106)</f>
        <v>0</v>
      </c>
      <c r="G15" s="2164" t="s">
        <v>2378</v>
      </c>
      <c r="H15" s="2165"/>
      <c r="I15" s="1162">
        <f>G114</f>
        <v>3.1862745098039214E-2</v>
      </c>
      <c r="M15" s="1106"/>
    </row>
    <row r="16" spans="1:13" ht="15" customHeight="1">
      <c r="A16" s="1090"/>
      <c r="B16" s="2159" t="s">
        <v>2323</v>
      </c>
      <c r="C16" s="2159"/>
      <c r="D16" s="2159"/>
      <c r="E16" s="1161">
        <f>SUM(E9:E15)</f>
        <v>25790820</v>
      </c>
      <c r="G16" s="1189" t="s">
        <v>2362</v>
      </c>
      <c r="H16" s="1189"/>
      <c r="I16" s="1163">
        <f>I11-((I11*I13)+(I11*I14)+(I11*I15))</f>
        <v>29044117.647058822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164</v>
      </c>
      <c r="O18" s="1133" t="s">
        <v>592</v>
      </c>
      <c r="P18" s="1088">
        <f>MATCH(Application!T189,Application!BP656:BP713,0)</f>
        <v>30</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62" t="s">
        <v>2380</v>
      </c>
      <c r="D20" s="2162" t="s">
        <v>2381</v>
      </c>
      <c r="E20" s="2162" t="s">
        <v>2382</v>
      </c>
      <c r="F20" s="2162" t="s">
        <v>2383</v>
      </c>
      <c r="G20" s="2162" t="s">
        <v>2379</v>
      </c>
      <c r="H20" s="1117"/>
      <c r="I20" s="1116"/>
      <c r="L20" s="1088">
        <f>IFERROR(MIN(4,MATCH(Application!B714,UnitSizes,0)-1),"")</f>
        <v>1</v>
      </c>
      <c r="M20" s="1110">
        <f>Application!G714</f>
        <v>11</v>
      </c>
      <c r="N20" s="1118">
        <f>Application!AC714</f>
        <v>0.3</v>
      </c>
      <c r="O20" s="1118">
        <f>IF(Cdlac[[#This Row],[Quantity]]&gt;0,IF(Cdlac[[#This Row],[Federal]],30%,IF($G$36,40%,Cdlac[[#This Row],[iAMI]])),"")</f>
        <v>0.3</v>
      </c>
      <c r="P20" s="1110" cm="1">
        <f t="array" ref="P20">IF(Cdlac[[#This Row],[Quantity]]&gt;0,INDEX(TcacRents,$P$18,Cdlac[[#This Row],[Bedrooms]]+1)*Cdlac[[#This Row],[AMI]],"")</f>
        <v>762</v>
      </c>
      <c r="Q20" s="1110" cm="1">
        <f t="array" ref="Q20">IF(Cdlac[[#This Row],[Quantity]]&gt;0,INDEX(HudFmrs,$P$18,Cdlac[[#This Row],[Bedrooms]]+1),"")</f>
        <v>1905</v>
      </c>
      <c r="R20" s="1110">
        <f>IF(Cdlac[[#This Row],[Quantity]]&gt;0,MAX(0,Cdlac[[#This Row],[Fair Market Rent]]-Cdlac[[#This Row],[Restricted Rent]]),"")</f>
        <v>1143</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63"/>
      <c r="D21" s="2163"/>
      <c r="E21" s="2163"/>
      <c r="F21" s="2163"/>
      <c r="G21" s="2163"/>
      <c r="H21" s="1117"/>
      <c r="I21" s="1116"/>
      <c r="L21" s="1088">
        <f>IFERROR(MIN(4,MATCH(Application!B715,UnitSizes,0)-1),"")</f>
        <v>1</v>
      </c>
      <c r="M21" s="1110">
        <f>Application!G715</f>
        <v>22</v>
      </c>
      <c r="N21" s="1118">
        <f>Application!AC715</f>
        <v>0.5</v>
      </c>
      <c r="O21" s="1118">
        <f>IF(Cdlac[[#This Row],[Quantity]]&gt;0,IF(Cdlac[[#This Row],[Federal]],30%,IF($G$36,40%,Cdlac[[#This Row],[iAMI]])),"")</f>
        <v>0.5</v>
      </c>
      <c r="P21" s="1110" cm="1">
        <f t="array" ref="P21">IF(Cdlac[[#This Row],[Quantity]]&gt;0,INDEX(TcacRents,$P$18,Cdlac[[#This Row],[Bedrooms]]+1)*Cdlac[[#This Row],[AMI]],"")</f>
        <v>1270</v>
      </c>
      <c r="Q21" s="1110" cm="1">
        <f t="array" ref="Q21">IF(Cdlac[[#This Row],[Quantity]]&gt;0,INDEX(HudFmrs,$P$18,Cdlac[[#This Row],[Bedrooms]]+1),"")</f>
        <v>1905</v>
      </c>
      <c r="R21" s="1110">
        <f>IF(Cdlac[[#This Row],[Quantity]]&gt;0,MAX(0,Cdlac[[#This Row],[Fair Market Rent]]-Cdlac[[#This Row],[Restricted Rent]]),"")</f>
        <v>635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22</v>
      </c>
      <c r="N22" s="1118">
        <f>Application!AC716</f>
        <v>0.6</v>
      </c>
      <c r="O22" s="1118">
        <f>IF(Cdlac[[#This Row],[Quantity]]&gt;0,IF(Cdlac[[#This Row],[Federal]],30%,IF($G$36,40%,Cdlac[[#This Row],[iAMI]])),"")</f>
        <v>0.6</v>
      </c>
      <c r="P22" s="1110" cm="1">
        <f t="array" ref="P22">IF(Cdlac[[#This Row],[Quantity]]&gt;0,INDEX(TcacRents,$P$18,Cdlac[[#This Row],[Bedrooms]]+1)*Cdlac[[#This Row],[AMI]],"")</f>
        <v>1524</v>
      </c>
      <c r="Q22" s="1110" cm="1">
        <f t="array" ref="Q22">IF(Cdlac[[#This Row],[Quantity]]&gt;0,INDEX(HudFmrs,$P$18,Cdlac[[#This Row],[Bedrooms]]+1),"")</f>
        <v>1905</v>
      </c>
      <c r="R22" s="1110">
        <f>IF(Cdlac[[#This Row],[Quantity]]&gt;0,MAX(0,Cdlac[[#This Row],[Fair Market Rent]]-Cdlac[[#This Row],[Restricted Rent]]),"")</f>
        <v>381</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111</v>
      </c>
      <c r="F23" s="1119">
        <f>E23</f>
        <v>111</v>
      </c>
      <c r="G23" s="1119">
        <f>D23*F23</f>
        <v>111</v>
      </c>
      <c r="L23" s="1088">
        <f>IFERROR(MIN(4,MATCH(Application!B717,UnitSizes,0)-1),"")</f>
        <v>1</v>
      </c>
      <c r="M23" s="1110">
        <f>Application!G717</f>
        <v>56</v>
      </c>
      <c r="N23" s="1118">
        <f>Application!AC717</f>
        <v>0.7</v>
      </c>
      <c r="O23" s="1118">
        <f>IF(Cdlac[[#This Row],[Quantity]]&gt;0,IF(Cdlac[[#This Row],[Federal]],30%,IF($G$36,40%,Cdlac[[#This Row],[iAMI]])),"")</f>
        <v>0.7</v>
      </c>
      <c r="P23" s="1110" cm="1">
        <f t="array" ref="P23">IF(Cdlac[[#This Row],[Quantity]]&gt;0,INDEX(TcacRents,$P$18,Cdlac[[#This Row],[Bedrooms]]+1)*Cdlac[[#This Row],[AMI]],"")</f>
        <v>1778</v>
      </c>
      <c r="Q23" s="1110" cm="1">
        <f t="array" ref="Q23">IF(Cdlac[[#This Row],[Quantity]]&gt;0,INDEX(HudFmrs,$P$18,Cdlac[[#This Row],[Bedrooms]]+1),"")</f>
        <v>1905</v>
      </c>
      <c r="R23" s="1110">
        <f>IF(Cdlac[[#This Row],[Quantity]]&gt;0,MAX(0,Cdlac[[#This Row],[Fair Market Rent]]-Cdlac[[#This Row],[Restricted Rent]]),"")</f>
        <v>127</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53</v>
      </c>
      <c r="F24" s="1122">
        <f>SUM(E24:E26)-SUM(F25:F26)</f>
        <v>53</v>
      </c>
      <c r="G24" s="1119">
        <f>D24*F24</f>
        <v>66.25</v>
      </c>
      <c r="H24" s="1121"/>
      <c r="I24" s="1121"/>
      <c r="L24" s="1088">
        <f>IFERROR(MIN(4,MATCH(Application!B718,UnitSizes,0)-1),"")</f>
        <v>2</v>
      </c>
      <c r="M24" s="1110">
        <f>Application!G718</f>
        <v>6</v>
      </c>
      <c r="N24" s="1118">
        <f>Application!AC718</f>
        <v>0.3</v>
      </c>
      <c r="O24" s="1118">
        <f>IF(Cdlac[[#This Row],[Quantity]]&gt;0,IF(Cdlac[[#This Row],[Federal]],30%,IF($G$36,40%,Cdlac[[#This Row],[iAMI]])),"")</f>
        <v>0.3</v>
      </c>
      <c r="P24" s="1110" cm="1">
        <f t="array" ref="P24">IF(Cdlac[[#This Row],[Quantity]]&gt;0,INDEX(TcacRents,$P$18,Cdlac[[#This Row],[Bedrooms]]+1)*Cdlac[[#This Row],[AMI]],"")</f>
        <v>915</v>
      </c>
      <c r="Q24" s="1110" cm="1">
        <f t="array" ref="Q24">IF(Cdlac[[#This Row],[Quantity]]&gt;0,INDEX(HudFmrs,$P$18,Cdlac[[#This Row],[Bedrooms]]+1),"")</f>
        <v>2324</v>
      </c>
      <c r="R24" s="1110">
        <f>IF(Cdlac[[#This Row],[Quantity]]&gt;0,MAX(0,Cdlac[[#This Row],[Fair Market Rent]]-Cdlac[[#This Row],[Restricted Rent]]),"")</f>
        <v>1409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10</v>
      </c>
      <c r="N25" s="1118">
        <f>Application!AC719</f>
        <v>0.5</v>
      </c>
      <c r="O25" s="1118">
        <f>IF(Cdlac[[#This Row],[Quantity]]&gt;0,IF(Cdlac[[#This Row],[Federal]],30%,IF($G$36,40%,Cdlac[[#This Row],[iAMI]])),"")</f>
        <v>0.5</v>
      </c>
      <c r="P25" s="1110" cm="1">
        <f t="array" ref="P25">IF(Cdlac[[#This Row],[Quantity]]&gt;0,INDEX(TcacRents,$P$18,Cdlac[[#This Row],[Bedrooms]]+1)*Cdlac[[#This Row],[AMI]],"")</f>
        <v>1525</v>
      </c>
      <c r="Q25" s="1110" cm="1">
        <f t="array" ref="Q25">IF(Cdlac[[#This Row],[Quantity]]&gt;0,INDEX(HudFmrs,$P$18,Cdlac[[#This Row],[Bedrooms]]+1),"")</f>
        <v>2324</v>
      </c>
      <c r="R25" s="1110">
        <f>IF(Cdlac[[#This Row],[Quantity]]&gt;0,MAX(0,Cdlac[[#This Row],[Fair Market Rent]]-Cdlac[[#This Row],[Restricted Rent]]),"")</f>
        <v>799</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10</v>
      </c>
      <c r="N26" s="1118">
        <f>Application!AC720</f>
        <v>0.6</v>
      </c>
      <c r="O26" s="1118">
        <f>IF(Cdlac[[#This Row],[Quantity]]&gt;0,IF(Cdlac[[#This Row],[Federal]],30%,IF($G$36,40%,Cdlac[[#This Row],[iAMI]])),"")</f>
        <v>0.6</v>
      </c>
      <c r="P26" s="1110" cm="1">
        <f t="array" ref="P26">IF(Cdlac[[#This Row],[Quantity]]&gt;0,INDEX(TcacRents,$P$18,Cdlac[[#This Row],[Bedrooms]]+1)*Cdlac[[#This Row],[AMI]],"")</f>
        <v>1830</v>
      </c>
      <c r="Q26" s="1110" cm="1">
        <f t="array" ref="Q26">IF(Cdlac[[#This Row],[Quantity]]&gt;0,INDEX(HudFmrs,$P$18,Cdlac[[#This Row],[Bedrooms]]+1),"")</f>
        <v>2324</v>
      </c>
      <c r="R26" s="1110">
        <f>IF(Cdlac[[#This Row],[Quantity]]&gt;0,MAX(0,Cdlac[[#This Row],[Fair Market Rent]]-Cdlac[[#This Row],[Restricted Rent]]),"")</f>
        <v>494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6" t="s">
        <v>1764</v>
      </c>
      <c r="D27" s="2147"/>
      <c r="E27" s="1138">
        <f>SUM(E22:E26)</f>
        <v>164</v>
      </c>
      <c r="F27" s="1138">
        <f>SUM(F22:F26)</f>
        <v>164</v>
      </c>
      <c r="G27" s="1139">
        <f>SUMPRODUCT(D22:D26,F22:F26)</f>
        <v>177.25</v>
      </c>
      <c r="H27" s="1121"/>
      <c r="I27" s="1121"/>
      <c r="L27" s="1088">
        <f>IFERROR(MIN(4,MATCH(Application!B721,UnitSizes,0)-1),"")</f>
        <v>2</v>
      </c>
      <c r="M27" s="1110">
        <f>Application!G721</f>
        <v>27</v>
      </c>
      <c r="N27" s="1118">
        <f>Application!AC721</f>
        <v>0.7</v>
      </c>
      <c r="O27" s="1118">
        <f>IF(Cdlac[[#This Row],[Quantity]]&gt;0,IF(Cdlac[[#This Row],[Federal]],30%,IF($G$36,40%,Cdlac[[#This Row],[iAMI]])),"")</f>
        <v>0.7</v>
      </c>
      <c r="P27" s="1110" cm="1">
        <f t="array" ref="P27">IF(Cdlac[[#This Row],[Quantity]]&gt;0,INDEX(TcacRents,$P$18,Cdlac[[#This Row],[Bedrooms]]+1)*Cdlac[[#This Row],[AMI]],"")</f>
        <v>2135</v>
      </c>
      <c r="Q27" s="1110" cm="1">
        <f t="array" ref="Q27">IF(Cdlac[[#This Row],[Quantity]]&gt;0,INDEX(HudFmrs,$P$18,Cdlac[[#This Row],[Bedrooms]]+1),"")</f>
        <v>2324</v>
      </c>
      <c r="R27" s="1110">
        <f>IF(Cdlac[[#This Row],[Quantity]]&gt;0,MAX(0,Cdlac[[#This Row],[Fair Market Rent]]-Cdlac[[#This Row],[Restricted Rent]]),"")</f>
        <v>189</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2379</v>
      </c>
      <c r="G29" s="1165">
        <f>G27</f>
        <v>177.25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8862500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0.59999999999999987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68524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12334320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82</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17</v>
      </c>
    </row>
    <row r="54" spans="2:14" ht="15" customHeight="1">
      <c r="E54" s="1168" t="s">
        <v>2390</v>
      </c>
      <c r="G54" s="1126">
        <f>ROUNDDOWN(E27*50%,0)</f>
        <v>82</v>
      </c>
    </row>
    <row r="55" spans="2:14" ht="15" customHeight="1">
      <c r="E55" s="1168"/>
      <c r="G55" s="1126"/>
    </row>
    <row r="56" spans="2:14" ht="15" customHeight="1">
      <c r="E56" s="1168" t="s">
        <v>2341</v>
      </c>
      <c r="G56" s="1165">
        <f>MIN(G53:G54)</f>
        <v>17</v>
      </c>
    </row>
    <row r="57" spans="2:14" ht="15" customHeight="1">
      <c r="E57" s="1168" t="s">
        <v>2331</v>
      </c>
      <c r="F57" s="1164" t="s">
        <v>2388</v>
      </c>
      <c r="G57" s="1175">
        <v>20000</v>
      </c>
    </row>
    <row r="58" spans="2:14" ht="15" customHeight="1">
      <c r="E58" s="1169" t="s">
        <v>2370</v>
      </c>
      <c r="F58" s="1090"/>
      <c r="G58" s="1174">
        <f>G56*G57</f>
        <v>340000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4</v>
      </c>
      <c r="L62" s="1178" t="str">
        <f>'Points System'!H627</f>
        <v>N/A</v>
      </c>
      <c r="M62" s="2148" t="s">
        <v>1578</v>
      </c>
      <c r="N62" s="2149"/>
    </row>
    <row r="63" spans="2:14" ht="15" customHeight="1">
      <c r="E63" s="1133" t="s">
        <v>2331</v>
      </c>
      <c r="F63" s="1164" t="s">
        <v>2388</v>
      </c>
      <c r="G63" s="1123">
        <v>4000</v>
      </c>
      <c r="L63" s="1179" t="str">
        <f>'Points System'!H639</f>
        <v>N/A</v>
      </c>
      <c r="M63" s="2140" t="s">
        <v>2345</v>
      </c>
      <c r="N63" s="2141"/>
    </row>
    <row r="64" spans="2:14" ht="15" customHeight="1">
      <c r="E64" s="1133" t="s">
        <v>2392</v>
      </c>
      <c r="F64" s="1164" t="s">
        <v>2388</v>
      </c>
      <c r="G64" s="1177">
        <f>G27</f>
        <v>177.25</v>
      </c>
      <c r="L64" s="1179" t="str">
        <f>'Points System'!H674</f>
        <v>(iii)</v>
      </c>
      <c r="M64" s="2140" t="s">
        <v>2346</v>
      </c>
      <c r="N64" s="2141"/>
    </row>
    <row r="65" spans="2:14" ht="15" customHeight="1">
      <c r="E65" s="1169" t="s">
        <v>2350</v>
      </c>
      <c r="F65" s="1090"/>
      <c r="G65" s="1174">
        <f>G62*G63*G64</f>
        <v>2836000</v>
      </c>
      <c r="L65" s="1179" t="str">
        <f>'Points System'!H694</f>
        <v>N/A</v>
      </c>
      <c r="M65" s="2140" t="s">
        <v>2347</v>
      </c>
      <c r="N65" s="2141"/>
    </row>
    <row r="66" spans="2:14" ht="15" customHeight="1">
      <c r="C66" s="1124"/>
      <c r="G66" s="1165"/>
      <c r="L66" s="1180" t="str">
        <f>'Points System'!H708</f>
        <v>N/A</v>
      </c>
      <c r="M66" s="2140" t="s">
        <v>1604</v>
      </c>
      <c r="N66" s="2141"/>
    </row>
    <row r="67" spans="2:14" ht="15" customHeight="1">
      <c r="E67" s="1133" t="s">
        <v>2393</v>
      </c>
      <c r="G67" s="1177">
        <f>COUNTIFS(L62:L69,"(i)")</f>
        <v>2</v>
      </c>
      <c r="L67" s="1179" t="str">
        <f>'Points System'!H720</f>
        <v>N/A</v>
      </c>
      <c r="M67" s="2140" t="s">
        <v>2348</v>
      </c>
      <c r="N67" s="2141"/>
    </row>
    <row r="68" spans="2:14" ht="15" customHeight="1">
      <c r="E68" s="1133" t="s">
        <v>2331</v>
      </c>
      <c r="F68" s="1164" t="s">
        <v>2388</v>
      </c>
      <c r="G68" s="1175">
        <v>4000</v>
      </c>
      <c r="L68" s="1179" t="str">
        <f>'Points System'!H736</f>
        <v>(i)</v>
      </c>
      <c r="M68" s="2140" t="s">
        <v>2349</v>
      </c>
      <c r="N68" s="2141"/>
    </row>
    <row r="69" spans="2:14" ht="15" customHeight="1" thickBot="1">
      <c r="E69" s="1169" t="s">
        <v>2351</v>
      </c>
      <c r="F69" s="1090"/>
      <c r="G69" s="1174">
        <f>G64*G67*G68</f>
        <v>1418000</v>
      </c>
      <c r="L69" s="1181" t="str">
        <f>'Points System'!H748</f>
        <v>(i)</v>
      </c>
      <c r="M69" s="2142" t="s">
        <v>1607</v>
      </c>
      <c r="N69" s="2143"/>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2612</v>
      </c>
      <c r="G74" s="1087"/>
    </row>
    <row r="75" spans="2:14" ht="15" customHeight="1">
      <c r="C75" s="1124" t="s">
        <v>2613</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177.25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4254000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c r="L87" s="2144" t="s">
        <v>2358</v>
      </c>
      <c r="M87" s="2145"/>
      <c r="N87" s="1182">
        <v>30000</v>
      </c>
    </row>
    <row r="88" spans="2:14" ht="15" customHeight="1">
      <c r="C88" s="1124" t="s">
        <v>2375</v>
      </c>
      <c r="G88" s="1128" t="str">
        <f>IF(Application!D210="Large Family","Yes","No")</f>
        <v>No</v>
      </c>
      <c r="L88" s="2136" t="s">
        <v>2322</v>
      </c>
      <c r="M88" s="2137"/>
      <c r="N88" s="1183">
        <v>20000</v>
      </c>
    </row>
    <row r="89" spans="2:14" ht="15" customHeight="1" thickBot="1">
      <c r="C89" s="1124" t="s">
        <v>2356</v>
      </c>
      <c r="G89" s="1087"/>
      <c r="L89" s="2138" t="s">
        <v>2359</v>
      </c>
      <c r="M89" s="2139"/>
      <c r="N89" s="1184">
        <v>10000</v>
      </c>
    </row>
    <row r="90" spans="2:14" ht="15" customHeight="1">
      <c r="C90" s="1124" t="s">
        <v>2357</v>
      </c>
      <c r="G90" s="1088" t="str">
        <f>Application!T193</f>
        <v>Moderate Resource</v>
      </c>
    </row>
    <row r="91" spans="2:14" ht="15" customHeight="1">
      <c r="C91" s="1124"/>
    </row>
    <row r="92" spans="2:14" ht="15" customHeight="1">
      <c r="E92" s="1133" t="s">
        <v>2395</v>
      </c>
      <c r="G92" s="1126" t="b">
        <f>AND(COUNTIFS(G88:G89,"Yes")&gt;=1,G87="Yes")</f>
        <v>0</v>
      </c>
    </row>
    <row r="93" spans="2:14" ht="15" customHeight="1">
      <c r="E93" s="1133"/>
      <c r="G93" s="1126"/>
    </row>
    <row r="94" spans="2:14" ht="15" customHeight="1">
      <c r="E94" s="1133" t="s">
        <v>2331</v>
      </c>
      <c r="G94" s="1125">
        <f>IFERROR(INDEX(N87:N89,MATCH(LEFT(G90,17),L87:L89,0)),0)</f>
        <v>10000</v>
      </c>
    </row>
    <row r="95" spans="2:14" ht="15" customHeight="1">
      <c r="E95" s="1133" t="str">
        <f>E64</f>
        <v>Bedroom-Adjusted Low-Income Units</v>
      </c>
      <c r="F95" s="1164" t="s">
        <v>2388</v>
      </c>
      <c r="G95" s="1165">
        <f>G27</f>
        <v>177.25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177.25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Orange</v>
      </c>
    </row>
    <row r="111" spans="2:9" ht="15" customHeight="1">
      <c r="E111" s="1133"/>
      <c r="G111" s="1125"/>
    </row>
    <row r="112" spans="2:9" ht="15" customHeight="1">
      <c r="E112" s="1133" t="str">
        <f>"2-Bedroom "&amp;G110&amp;" County Basis Limit"</f>
        <v>2-Bedroom Orange County Basis Limit</v>
      </c>
      <c r="G112" s="1125">
        <f>Application!R957</f>
        <v>552000</v>
      </c>
    </row>
    <row r="113" spans="4:9" ht="15" customHeight="1">
      <c r="E113" s="1133" t="s">
        <v>2396</v>
      </c>
      <c r="G113" s="1125">
        <f>MEDIAN((Application!BR795:BR852))</f>
        <v>489600</v>
      </c>
    </row>
    <row r="114" spans="4:9" ht="15" customHeight="1">
      <c r="D114" s="1090"/>
      <c r="E114" s="1169" t="s">
        <v>2398</v>
      </c>
      <c r="F114" s="1185"/>
      <c r="G114" s="1186">
        <f>((G112-G113)/G113)*0.25</f>
        <v>3.1862745098039214E-2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Props1.xml><?xml version="1.0" encoding="utf-8"?>
<ds:datastoreItem xmlns:ds="http://schemas.openxmlformats.org/officeDocument/2006/customXml" ds:itemID="{ADFC62FA-3922-4B81-89E9-CCDAFA62E0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C4C546-96C9-48E4-8E73-B60E831A6D5C}">
  <ds:schemaRefs>
    <ds:schemaRef ds:uri="http://schemas.microsoft.com/sharepoint/events"/>
  </ds:schemaRefs>
</ds:datastoreItem>
</file>

<file path=customXml/itemProps3.xml><?xml version="1.0" encoding="utf-8"?>
<ds:datastoreItem xmlns:ds="http://schemas.openxmlformats.org/officeDocument/2006/customXml" ds:itemID="{41BCBD6F-37D6-4F1B-B4D1-B746E7942094}">
  <ds:schemaRefs>
    <ds:schemaRef ds:uri="http://schemas.microsoft.com/sharepoint/v3/contenttype/forms"/>
  </ds:schemaRefs>
</ds:datastoreItem>
</file>

<file path=customXml/itemProps4.xml><?xml version="1.0" encoding="utf-8"?>
<ds:datastoreItem xmlns:ds="http://schemas.openxmlformats.org/officeDocument/2006/customXml" ds:itemID="{76C3972A-43A1-4851-8759-A2455D665DC5}">
  <ds:schemaRefs>
    <ds:schemaRef ds:uri="http://schemas.microsoft.com/sharepoint/v4"/>
    <ds:schemaRef ds:uri="http://purl.org/dc/terms/"/>
    <ds:schemaRef ds:uri="http://schemas.openxmlformats.org/package/2006/metadata/core-properties"/>
    <ds:schemaRef ds:uri="http://purl.org/dc/dcmitype/"/>
    <ds:schemaRef ds:uri="http://schemas.microsoft.com/office/infopath/2007/PartnerControls"/>
    <ds:schemaRef ds:uri="12787784-bee3-4f4c-b8c2-408b19805a85"/>
    <ds:schemaRef ds:uri="http://schemas.microsoft.com/office/2006/documentManagement/types"/>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2023-05-16T19:16:42Z</cp:lastPrinted>
  <dcterms:created xsi:type="dcterms:W3CDTF">2007-12-27T18:26:28Z</dcterms:created>
  <dcterms:modified xsi:type="dcterms:W3CDTF">2023-05-19T22:29:05Z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