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1265 Montecito/Financing/7. Joint Application TCAC-CDLAC/_Final Application/TAB 40 CTCAC (E-APP) Application/"/>
    </mc:Choice>
  </mc:AlternateContent>
  <xr:revisionPtr revIDLastSave="30" documentId="13_ncr:1_{DA4D7793-8106-B649-A5CB-6051499580DC}" xr6:coauthVersionLast="47" xr6:coauthVersionMax="47" xr10:uidLastSave="{45556C24-4305-4F6D-99DC-FFB6CB1DD8F5}"/>
  <bookViews>
    <workbookView xWindow="-120" yWindow="-120" windowWidth="29040" windowHeight="15525"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3" i="3" l="1"/>
  <c r="C85" i="4"/>
  <c r="C79" i="4"/>
  <c r="H79" i="4"/>
  <c r="H30" i="4" s="1"/>
  <c r="C30" i="4"/>
  <c r="AG447" i="3"/>
  <c r="AG449" i="3" l="1"/>
  <c r="W464" i="3"/>
  <c r="B67" i="7" l="1"/>
  <c r="B66" i="7"/>
  <c r="J99" i="4"/>
  <c r="I53" i="4"/>
  <c r="G30" i="4"/>
  <c r="F30" i="4"/>
  <c r="T214" i="20"/>
  <c r="T215" i="20"/>
  <c r="T213" i="20"/>
  <c r="I214" i="20"/>
  <c r="I215" i="20"/>
  <c r="I213" i="20"/>
  <c r="AD189" i="20"/>
  <c r="AD188" i="20"/>
  <c r="B189" i="20"/>
  <c r="B188" i="20"/>
  <c r="I918" i="3"/>
  <c r="I917" i="3"/>
  <c r="AA918" i="3"/>
  <c r="AA917" i="3"/>
  <c r="AA901" i="3"/>
  <c r="AF623" i="3"/>
  <c r="AC870" i="3"/>
  <c r="S103" i="4"/>
  <c r="E103" i="4"/>
  <c r="S102" i="4"/>
  <c r="E102" i="4"/>
  <c r="S101" i="4"/>
  <c r="E101" i="4"/>
  <c r="S100" i="4"/>
  <c r="E100" i="4"/>
  <c r="S99" i="4"/>
  <c r="S95" i="4"/>
  <c r="S94" i="4"/>
  <c r="S93" i="4"/>
  <c r="S92" i="4"/>
  <c r="S91" i="4"/>
  <c r="S89" i="4"/>
  <c r="S87" i="4"/>
  <c r="S86" i="4"/>
  <c r="S85" i="4"/>
  <c r="S84" i="4"/>
  <c r="S80" i="4"/>
  <c r="S79" i="4"/>
  <c r="E72" i="4"/>
  <c r="S69" i="4"/>
  <c r="S68" i="4"/>
  <c r="E68" i="4"/>
  <c r="S67" i="4"/>
  <c r="E67" i="4"/>
  <c r="S66" i="4"/>
  <c r="E66" i="4"/>
  <c r="E60" i="4"/>
  <c r="E59" i="4"/>
  <c r="S52" i="4"/>
  <c r="S51" i="4"/>
  <c r="S48" i="4"/>
  <c r="S47" i="4"/>
  <c r="E47" i="4"/>
  <c r="S43" i="4"/>
  <c r="S41" i="4"/>
  <c r="S40" i="4"/>
  <c r="S37" i="4"/>
  <c r="S36" i="4"/>
  <c r="E36" i="4"/>
  <c r="S35" i="4"/>
  <c r="S34" i="4"/>
  <c r="S33" i="4"/>
  <c r="S32" i="4"/>
  <c r="S31" i="4"/>
  <c r="S30" i="4"/>
  <c r="S29" i="4"/>
  <c r="S27" i="4"/>
  <c r="S25" i="4"/>
  <c r="S24" i="4"/>
  <c r="E24" i="4"/>
  <c r="S23" i="4"/>
  <c r="S22" i="4"/>
  <c r="S21" i="4"/>
  <c r="S20" i="4"/>
  <c r="S19" i="4"/>
  <c r="S18" i="4"/>
  <c r="S17" i="4"/>
  <c r="E15" i="4"/>
  <c r="S14" i="4"/>
  <c r="E14" i="4"/>
  <c r="S10" i="4"/>
  <c r="E7" i="4"/>
  <c r="T22" i="15"/>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J27" i="26" s="1"/>
  <c r="AH26" i="26" a="1"/>
  <c r="AH26" i="26" s="1"/>
  <c r="AN23" i="26" a="1"/>
  <c r="AN23" i="26" s="1"/>
  <c r="V25" i="26" a="1"/>
  <c r="V25" i="26"/>
  <c r="AH25" i="26" a="1"/>
  <c r="AH25" i="26" s="1"/>
  <c r="P24" i="26" a="1"/>
  <c r="P24" i="26" s="1"/>
  <c r="P25" i="26" a="1"/>
  <c r="P25" i="26" s="1"/>
  <c r="J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8"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O635" i="3"/>
  <c r="AB48" i="15" s="1"/>
  <c r="Y67" i="15"/>
  <c r="AD64" i="15"/>
  <c r="AD67" i="15"/>
  <c r="W696" i="3"/>
  <c r="BG226" i="3"/>
  <c r="BG227" i="3"/>
  <c r="BG228" i="3"/>
  <c r="BG229" i="3"/>
  <c r="BG230" i="3"/>
  <c r="BG232" i="3"/>
  <c r="BG233" i="3"/>
  <c r="BG234" i="3"/>
  <c r="BG236" i="3"/>
  <c r="BG237" i="3"/>
  <c r="BG238" i="3"/>
  <c r="BG239" i="3"/>
  <c r="BG240" i="3"/>
  <c r="BG241"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E69" i="4" s="1"/>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G58" i="7" s="1"/>
  <c r="I54" i="7"/>
  <c r="K54" i="7" s="1"/>
  <c r="G55" i="7"/>
  <c r="I55" i="7"/>
  <c r="K55" i="7"/>
  <c r="M55" i="7"/>
  <c r="O55" i="7"/>
  <c r="Q55" i="7"/>
  <c r="S55" i="7"/>
  <c r="U55" i="7"/>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c r="K53" i="7"/>
  <c r="M53" i="7"/>
  <c r="O53" i="7"/>
  <c r="Q53" i="7"/>
  <c r="S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B59" i="4"/>
  <c r="C80" i="11"/>
  <c r="C81" i="11"/>
  <c r="B80" i="11"/>
  <c r="B82" i="11" s="1"/>
  <c r="B81" i="11"/>
  <c r="I96" i="13"/>
  <c r="J96" i="13"/>
  <c r="J81" i="13"/>
  <c r="I81" i="13"/>
  <c r="G81" i="13"/>
  <c r="F81" i="13"/>
  <c r="D81" i="13"/>
  <c r="C81" i="13"/>
  <c r="H80" i="13"/>
  <c r="E80" i="13"/>
  <c r="B80" i="13"/>
  <c r="S70" i="4"/>
  <c r="E70" i="13"/>
  <c r="D81" i="4"/>
  <c r="F81" i="4"/>
  <c r="G81" i="4"/>
  <c r="H81" i="4"/>
  <c r="I81" i="4"/>
  <c r="J81" i="4"/>
  <c r="K81" i="4"/>
  <c r="L81" i="4"/>
  <c r="M81" i="4"/>
  <c r="N81" i="4"/>
  <c r="O81" i="4"/>
  <c r="P81" i="4"/>
  <c r="Q81" i="4"/>
  <c r="S81" i="4"/>
  <c r="E81" i="13"/>
  <c r="T81" i="4"/>
  <c r="H81" i="13"/>
  <c r="C81" i="4"/>
  <c r="B81" i="4"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72" i="4"/>
  <c r="R69" i="4"/>
  <c r="R60" i="4"/>
  <c r="R59" i="4"/>
  <c r="R47" i="4"/>
  <c r="R15" i="4"/>
  <c r="R14"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J7" i="8" s="1"/>
  <c r="A8" i="8"/>
  <c r="D8" i="8"/>
  <c r="I8" i="8"/>
  <c r="A9" i="8"/>
  <c r="D9" i="8"/>
  <c r="I9" i="8"/>
  <c r="J9" i="8" s="1"/>
  <c r="A10" i="8"/>
  <c r="D10" i="8"/>
  <c r="I10" i="8"/>
  <c r="J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c r="C62" i="4"/>
  <c r="B62" i="13"/>
  <c r="C77" i="4"/>
  <c r="B77" i="13"/>
  <c r="C96" i="4"/>
  <c r="B96" i="13" s="1"/>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E5" i="4" s="1"/>
  <c r="R5" i="4" s="1"/>
  <c r="B6" i="4"/>
  <c r="E6" i="4" s="1"/>
  <c r="R6" i="4" s="1"/>
  <c r="B7"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E9" i="4" s="1"/>
  <c r="R9" i="4" s="1"/>
  <c r="B10" i="4"/>
  <c r="E10" i="4" s="1"/>
  <c r="R10" i="4" s="1"/>
  <c r="E11" i="4"/>
  <c r="F11" i="4"/>
  <c r="F26" i="4"/>
  <c r="F38" i="4"/>
  <c r="F42" i="4"/>
  <c r="F54" i="4"/>
  <c r="F62" i="4"/>
  <c r="N11" i="4"/>
  <c r="O11" i="4"/>
  <c r="B13" i="4"/>
  <c r="E13" i="4" s="1"/>
  <c r="R13" i="4" s="1"/>
  <c r="B14" i="4"/>
  <c r="B15" i="4"/>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E26" i="4"/>
  <c r="G26" i="4"/>
  <c r="H26" i="4"/>
  <c r="I26" i="4"/>
  <c r="I38" i="4"/>
  <c r="I42" i="4"/>
  <c r="I54" i="4"/>
  <c r="I63" i="4" s="1"/>
  <c r="I97" i="4" s="1"/>
  <c r="I105" i="4" s="1"/>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B30" i="4"/>
  <c r="E30" i="4" s="1"/>
  <c r="R30" i="4" s="1"/>
  <c r="R38" i="4" s="1"/>
  <c r="B31" i="4"/>
  <c r="E31" i="4" s="1"/>
  <c r="R31" i="4" s="1"/>
  <c r="B32" i="4"/>
  <c r="E32" i="4" s="1"/>
  <c r="R32" i="4" s="1"/>
  <c r="B33" i="4"/>
  <c r="E33" i="4" s="1"/>
  <c r="R33" i="4" s="1"/>
  <c r="B34" i="4"/>
  <c r="E34" i="4" s="1"/>
  <c r="R34" i="4" s="1"/>
  <c r="B35" i="4"/>
  <c r="E35" i="4" s="1"/>
  <c r="R35" i="4" s="1"/>
  <c r="B37" i="4"/>
  <c r="E37" i="4" s="1"/>
  <c r="R37" i="4" s="1"/>
  <c r="G38" i="4"/>
  <c r="H38" i="4"/>
  <c r="H63" i="4" s="1"/>
  <c r="K38" i="4"/>
  <c r="L38" i="4"/>
  <c r="O38" i="4"/>
  <c r="P38" i="4"/>
  <c r="P42" i="4"/>
  <c r="P54" i="4"/>
  <c r="P62" i="4"/>
  <c r="P70" i="4"/>
  <c r="P77" i="4"/>
  <c r="P96" i="4"/>
  <c r="P104" i="4"/>
  <c r="Q38" i="4"/>
  <c r="B40" i="4"/>
  <c r="E40" i="4" s="1"/>
  <c r="R40" i="4" s="1"/>
  <c r="B41" i="4"/>
  <c r="E41" i="4" s="1"/>
  <c r="R41" i="4" s="1"/>
  <c r="E42" i="4"/>
  <c r="G42" i="4"/>
  <c r="H42" i="4"/>
  <c r="K42" i="4"/>
  <c r="L42" i="4"/>
  <c r="O42" i="4"/>
  <c r="Q42" i="4"/>
  <c r="B43" i="4"/>
  <c r="E43" i="4" s="1"/>
  <c r="R43" i="4" s="1"/>
  <c r="B45" i="4"/>
  <c r="E45" i="4" s="1"/>
  <c r="R45" i="4" s="1"/>
  <c r="B46" i="4"/>
  <c r="E46" i="4" s="1"/>
  <c r="R46" i="4" s="1"/>
  <c r="B47" i="4"/>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B61" i="4"/>
  <c r="E61" i="4" s="1"/>
  <c r="R61" i="4" s="1"/>
  <c r="E62" i="4"/>
  <c r="G62" i="4"/>
  <c r="H62" i="4"/>
  <c r="K62" i="4"/>
  <c r="L62" i="4"/>
  <c r="O62" i="4"/>
  <c r="O70" i="4"/>
  <c r="O77" i="4"/>
  <c r="O96" i="4"/>
  <c r="O104" i="4"/>
  <c r="Q62" i="4"/>
  <c r="B65" i="4"/>
  <c r="E65" i="4" s="1"/>
  <c r="R65" i="4" s="1"/>
  <c r="E70" i="4"/>
  <c r="F70" i="4"/>
  <c r="G70" i="4"/>
  <c r="H70" i="4"/>
  <c r="I70" i="4"/>
  <c r="K70" i="4"/>
  <c r="L70" i="4"/>
  <c r="Q70" i="4"/>
  <c r="B72" i="4"/>
  <c r="B73" i="4"/>
  <c r="E73" i="4" s="1"/>
  <c r="R73" i="4" s="1"/>
  <c r="B74" i="4"/>
  <c r="E74" i="4" s="1"/>
  <c r="R74" i="4" s="1"/>
  <c r="B75" i="4"/>
  <c r="E75" i="4" s="1"/>
  <c r="R75" i="4" s="1"/>
  <c r="B76" i="4"/>
  <c r="E76" i="4" s="1"/>
  <c r="R76" i="4" s="1"/>
  <c r="E77" i="4"/>
  <c r="F77" i="4"/>
  <c r="G77" i="4"/>
  <c r="H77" i="4"/>
  <c r="I77" i="4"/>
  <c r="K77" i="4"/>
  <c r="L77" i="4"/>
  <c r="Q77" i="4"/>
  <c r="B79" i="4"/>
  <c r="E79" i="4" s="1"/>
  <c r="B83" i="4"/>
  <c r="E83" i="4" s="1"/>
  <c r="R83" i="4" s="1"/>
  <c r="B84" i="4"/>
  <c r="E84" i="4" s="1"/>
  <c r="R84" i="4" s="1"/>
  <c r="B85" i="4"/>
  <c r="AF992" i="3" s="1"/>
  <c r="AJ990" i="3"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AH715" i="3"/>
  <c r="AH718" i="3"/>
  <c r="D93" i="11"/>
  <c r="D5" i="11"/>
  <c r="D70" i="11"/>
  <c r="D52" i="11"/>
  <c r="I12" i="4"/>
  <c r="G12" i="4"/>
  <c r="D46" i="11"/>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D95" i="11"/>
  <c r="D25" i="11"/>
  <c r="B11" i="13"/>
  <c r="D12" i="4"/>
  <c r="R77" i="4"/>
  <c r="H12" i="4"/>
  <c r="B9" i="11"/>
  <c r="D9" i="11" s="1"/>
  <c r="C39" i="11"/>
  <c r="D23" i="11"/>
  <c r="D19" i="11"/>
  <c r="D89" i="11"/>
  <c r="D73" i="11"/>
  <c r="D44" i="11"/>
  <c r="D35" i="11"/>
  <c r="D76" i="11"/>
  <c r="D31" i="11"/>
  <c r="D32" i="11"/>
  <c r="D15" i="11"/>
  <c r="D63" i="13"/>
  <c r="D97" i="13"/>
  <c r="D105" i="13"/>
  <c r="D14" i="11"/>
  <c r="Q63" i="4"/>
  <c r="Q97" i="4"/>
  <c r="Q105" i="4"/>
  <c r="C105" i="11"/>
  <c r="D87" i="11"/>
  <c r="N63" i="4"/>
  <c r="N97" i="4"/>
  <c r="N105" i="4"/>
  <c r="N12" i="4"/>
  <c r="F12" i="4"/>
  <c r="D60" i="11"/>
  <c r="M12" i="4"/>
  <c r="D84" i="11"/>
  <c r="D74" i="11"/>
  <c r="D59" i="11"/>
  <c r="D38" i="11"/>
  <c r="R42" i="4"/>
  <c r="P63" i="4"/>
  <c r="P97" i="4"/>
  <c r="P105" i="4"/>
  <c r="B38" i="4"/>
  <c r="C63" i="11"/>
  <c r="B63" i="11"/>
  <c r="C9" i="11"/>
  <c r="D12" i="13"/>
  <c r="D58" i="11"/>
  <c r="D100" i="11"/>
  <c r="D62" i="11"/>
  <c r="D24" i="11"/>
  <c r="D101" i="11"/>
  <c r="D90" i="11"/>
  <c r="R62" i="4"/>
  <c r="D66" i="11"/>
  <c r="C63" i="13"/>
  <c r="C97" i="13"/>
  <c r="C105" i="13"/>
  <c r="D92" i="11"/>
  <c r="D75" i="11"/>
  <c r="B71" i="11"/>
  <c r="B39" i="11"/>
  <c r="D28" i="11"/>
  <c r="R54" i="4"/>
  <c r="C55" i="11"/>
  <c r="D103" i="11"/>
  <c r="D88" i="11"/>
  <c r="C78" i="11"/>
  <c r="D42" i="11"/>
  <c r="D21" i="11"/>
  <c r="D16" i="11"/>
  <c r="B12" i="11"/>
  <c r="R26" i="4"/>
  <c r="D81" i="11"/>
  <c r="B55" i="11"/>
  <c r="F63" i="13"/>
  <c r="F97" i="13"/>
  <c r="F105" i="13"/>
  <c r="F107" i="13"/>
  <c r="AH719" i="3"/>
  <c r="AH717" i="3"/>
  <c r="AH716" i="3"/>
  <c r="AH714" i="3"/>
  <c r="AD199" i="20"/>
  <c r="B42" i="4"/>
  <c r="D77" i="11"/>
  <c r="D47" i="11"/>
  <c r="C71" i="11"/>
  <c r="M63" i="4"/>
  <c r="M97" i="4"/>
  <c r="M105" i="4"/>
  <c r="G63" i="4"/>
  <c r="G97" i="4"/>
  <c r="G105" i="4"/>
  <c r="D91" i="11"/>
  <c r="J63" i="4"/>
  <c r="J97" i="4"/>
  <c r="D41" i="11"/>
  <c r="C12" i="11"/>
  <c r="K63" i="4"/>
  <c r="K97" i="4"/>
  <c r="K105" i="4"/>
  <c r="B62" i="4"/>
  <c r="B105" i="11"/>
  <c r="G40" i="7"/>
  <c r="G43" i="7" s="1"/>
  <c r="AG40" i="7"/>
  <c r="AG43" i="7" s="1"/>
  <c r="K28" i="7"/>
  <c r="O28" i="7"/>
  <c r="I28" i="7"/>
  <c r="W28" i="7"/>
  <c r="S28" i="7"/>
  <c r="Y28" i="7"/>
  <c r="AC28" i="7"/>
  <c r="AG28" i="7"/>
  <c r="M28" i="7"/>
  <c r="G28" i="7"/>
  <c r="AA28" i="7"/>
  <c r="Q28" i="7"/>
  <c r="U28" i="7"/>
  <c r="D104" i="11"/>
  <c r="B96" i="4"/>
  <c r="T63" i="4"/>
  <c r="T97" i="4"/>
  <c r="D11" i="11"/>
  <c r="D43" i="11"/>
  <c r="B97" i="11"/>
  <c r="D78" i="11"/>
  <c r="D71" i="11"/>
  <c r="B13" i="11"/>
  <c r="D63" i="11"/>
  <c r="D39" i="11"/>
  <c r="D12" i="11"/>
  <c r="C13" i="11"/>
  <c r="D13" i="11" s="1"/>
  <c r="D55" i="11"/>
  <c r="D30" i="8"/>
  <c r="H63" i="13"/>
  <c r="T105" i="4"/>
  <c r="H97" i="13"/>
  <c r="D96" i="11"/>
  <c r="T107" i="4"/>
  <c r="H105" i="13"/>
  <c r="H107" i="13"/>
  <c r="AD11" i="15"/>
  <c r="AZ835" i="3"/>
  <c r="C97" i="11" l="1"/>
  <c r="D97" i="11" s="1"/>
  <c r="D80" i="11"/>
  <c r="H97" i="4"/>
  <c r="H105" i="4" s="1"/>
  <c r="E38" i="4"/>
  <c r="C82" i="11"/>
  <c r="D82" i="11" s="1"/>
  <c r="AK172" i="20"/>
  <c r="E4" i="4"/>
  <c r="E8" i="4" s="1"/>
  <c r="E12" i="4" s="1"/>
  <c r="B12" i="4"/>
  <c r="B8" i="13"/>
  <c r="B63" i="4"/>
  <c r="AD7" i="15"/>
  <c r="U53" i="7"/>
  <c r="S58" i="7"/>
  <c r="O58" i="7"/>
  <c r="M54" i="7"/>
  <c r="O54" i="7" s="1"/>
  <c r="Q54" i="7" s="1"/>
  <c r="S54" i="7" s="1"/>
  <c r="U54" i="7" s="1"/>
  <c r="W54" i="7" s="1"/>
  <c r="Y54" i="7" s="1"/>
  <c r="AA54" i="7" s="1"/>
  <c r="AC54" i="7" s="1"/>
  <c r="AE54" i="7" s="1"/>
  <c r="AG54" i="7" s="1"/>
  <c r="K58" i="7"/>
  <c r="M58" i="7"/>
  <c r="Q58" i="7"/>
  <c r="I58" i="7"/>
  <c r="E54" i="4"/>
  <c r="E63" i="4" s="1"/>
  <c r="AI7" i="15"/>
  <c r="D105" i="11"/>
  <c r="E85" i="4"/>
  <c r="N157" i="26"/>
  <c r="N164" i="26" s="1"/>
  <c r="R79" i="4"/>
  <c r="R81" i="4" s="1"/>
  <c r="E81" i="4"/>
  <c r="R11" i="4"/>
  <c r="S63" i="4"/>
  <c r="AD23" i="15"/>
  <c r="AD26" i="15" s="1"/>
  <c r="B64" i="11"/>
  <c r="B98" i="11" s="1"/>
  <c r="B106" i="11" s="1"/>
  <c r="C27" i="11"/>
  <c r="C63" i="4"/>
  <c r="B63" i="13"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E26" i="21"/>
  <c r="E23" i="21"/>
  <c r="F23" i="21" s="1"/>
  <c r="G23" i="21" s="1"/>
  <c r="C97" i="4" l="1"/>
  <c r="C105" i="4" s="1"/>
  <c r="Z793" i="3"/>
  <c r="M930" i="3"/>
  <c r="M931" i="3" s="1"/>
  <c r="R4" i="4"/>
  <c r="R8" i="4" s="1"/>
  <c r="AS351" i="20"/>
  <c r="AS347" i="20" s="1"/>
  <c r="AK458" i="20" s="1"/>
  <c r="T802" i="20" s="1"/>
  <c r="AF802" i="20" s="1"/>
  <c r="W53" i="7"/>
  <c r="U58" i="7"/>
  <c r="S97" i="4"/>
  <c r="E63" i="13"/>
  <c r="R12" i="4"/>
  <c r="R63" i="4"/>
  <c r="R85" i="4"/>
  <c r="R96" i="4" s="1"/>
  <c r="E96" i="4"/>
  <c r="E97" i="4" s="1"/>
  <c r="E105" i="4" s="1"/>
  <c r="AO636" i="3"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Y53" i="7" l="1"/>
  <c r="W58" i="7"/>
  <c r="E108" i="4"/>
  <c r="AO637" i="3"/>
  <c r="O24" i="21"/>
  <c r="P24" i="21" s="1" a="1"/>
  <c r="P24" i="21" s="1"/>
  <c r="R24" i="21" s="1"/>
  <c r="O21" i="21"/>
  <c r="P21" i="21" s="1" a="1"/>
  <c r="P21" i="21" s="1"/>
  <c r="R21" i="21" s="1"/>
  <c r="O26" i="21"/>
  <c r="P26" i="21" s="1" a="1"/>
  <c r="P26" i="21" s="1"/>
  <c r="R26" i="21" s="1"/>
  <c r="O20" i="21"/>
  <c r="P20" i="21" s="1" a="1"/>
  <c r="P20" i="21" s="1"/>
  <c r="R20" i="21" s="1"/>
  <c r="O25" i="21"/>
  <c r="P25" i="21" s="1" a="1"/>
  <c r="P25" i="21" s="1"/>
  <c r="R25" i="21" s="1"/>
  <c r="O23" i="21"/>
  <c r="P23" i="21" s="1" a="1"/>
  <c r="P23" i="21" s="1"/>
  <c r="R23" i="21" s="1"/>
  <c r="O22" i="21"/>
  <c r="P22" i="21" s="1" a="1"/>
  <c r="P22" i="21" s="1"/>
  <c r="R22" i="21" s="1"/>
  <c r="O27" i="21"/>
  <c r="P27" i="21" s="1" a="1"/>
  <c r="P27" i="21" s="1"/>
  <c r="R27" i="21" s="1"/>
  <c r="AW116" i="20"/>
  <c r="AB47" i="15"/>
  <c r="AB49" i="15" s="1"/>
  <c r="N154" i="26"/>
  <c r="R97" i="4"/>
  <c r="R105" i="4" s="1"/>
  <c r="S105" i="4"/>
  <c r="E97" i="13"/>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B50" i="15" l="1"/>
  <c r="AB54" i="15" s="1"/>
  <c r="AB55" i="15" s="1"/>
  <c r="AA53" i="7"/>
  <c r="Y58" i="7"/>
  <c r="G38" i="21"/>
  <c r="G40" i="21" s="1"/>
  <c r="E10" i="21" s="1"/>
  <c r="S107" i="4"/>
  <c r="E105" i="13"/>
  <c r="N155" i="26"/>
  <c r="N16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53" i="7" l="1"/>
  <c r="AA58" i="7"/>
  <c r="B1025" i="3"/>
  <c r="AJ1014" i="3"/>
  <c r="AP542" i="20" s="1"/>
  <c r="AJ1010" i="3"/>
  <c r="AP541" i="20" s="1"/>
  <c r="E107" i="13"/>
  <c r="AF540" i="20"/>
  <c r="AC455" i="3"/>
  <c r="K4" i="7"/>
  <c r="M4" i="7" s="1"/>
  <c r="E45" i="7"/>
  <c r="E48" i="7" s="1"/>
  <c r="AJ1018" i="3"/>
  <c r="AP539" i="20"/>
  <c r="AP543" i="20" s="1"/>
  <c r="G45" i="7"/>
  <c r="G49" i="7"/>
  <c r="K6" i="7"/>
  <c r="I7" i="7"/>
  <c r="I11" i="7" s="1"/>
  <c r="I37" i="7" s="1"/>
  <c r="G24" i="21"/>
  <c r="F27" i="21"/>
  <c r="G27" i="21"/>
  <c r="O22" i="7"/>
  <c r="O35" i="7" s="1"/>
  <c r="Q15" i="7"/>
  <c r="O9" i="7"/>
  <c r="Q8" i="7"/>
  <c r="T11" i="15" l="1"/>
  <c r="T23" i="15" s="1"/>
  <c r="T26" i="15" s="1"/>
  <c r="T28" i="15" s="1"/>
  <c r="Y11" i="15"/>
  <c r="Y23" i="15" s="1"/>
  <c r="Y26" i="15" s="1"/>
  <c r="Y28" i="15" s="1"/>
  <c r="AE53" i="7"/>
  <c r="AC58" i="7"/>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9" i="15" l="1"/>
  <c r="Y64" i="15"/>
  <c r="Y68" i="15" s="1"/>
  <c r="AE58" i="7"/>
  <c r="AG53" i="7"/>
  <c r="AG58" i="7" s="1"/>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<sst xmlns="http://schemas.openxmlformats.org/spreadsheetml/2006/main" count="5226" uniqueCount="2761">
  <si>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</si>
  <si>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</si>
  <si>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</si>
  <si>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</si>
  <si>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</si>
  <si>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</si>
  <si>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</si>
  <si>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</si>
  <si>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</si>
  <si>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</si>
  <si>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</si>
  <si>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</si>
  <si>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</si>
  <si>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</si>
  <si>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</si>
  <si>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</si>
  <si>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</si>
  <si>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</si>
  <si>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</si>
  <si>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</si>
  <si>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</si>
  <si>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</si>
  <si>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</si>
  <si>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</si>
  <si>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</si>
  <si>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</si>
  <si>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</si>
  <si>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</si>
  <si>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</si>
  <si>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</si>
  <si>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</si>
  <si>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</si>
  <si>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</si>
  <si>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</si>
  <si>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</si>
  <si>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</si>
  <si>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</si>
  <si>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</si>
  <si>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</si>
  <si>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</si>
  <si>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</si>
  <si>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</si>
  <si>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</si>
  <si>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</si>
  <si>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</si>
  <si>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</si>
  <si>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</si>
  <si>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</si>
  <si>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</si>
  <si>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</si>
  <si>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</si>
  <si>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</si>
  <si>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</si>
  <si>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</si>
  <si>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</si>
  <si>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</si>
  <si>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</si>
  <si>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</si>
  <si>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</si>
  <si>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</si>
  <si>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</si>
  <si>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</si>
  <si>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</si>
  <si>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</si>
  <si>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</si>
  <si>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</si>
  <si>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</si>
  <si>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</si>
  <si>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</si>
  <si>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</si>
  <si>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</si>
  <si>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</si>
  <si>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</si>
  <si>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</si>
  <si>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</si>
  <si>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</si>
  <si>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</si>
  <si>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</si>
  <si>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</si>
  <si>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</si>
  <si>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</si>
  <si>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</si>
  <si>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</si>
  <si>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</si>
  <si>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</si>
  <si>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</si>
  <si>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</si>
  <si>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</si>
  <si>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</si>
  <si>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</si>
  <si>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</si>
  <si>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</si>
  <si>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</si>
  <si>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</si>
  <si>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</si>
  <si>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</si>
  <si>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</si>
  <si>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</si>
  <si>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</si>
  <si>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</si>
  <si>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</si>
  <si>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</si>
  <si>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</si>
  <si>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</si>
  <si>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</si>
  <si>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</si>
  <si>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</si>
  <si>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</si>
  <si>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</si>
  <si>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</si>
  <si>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</si>
  <si>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</si>
  <si>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</si>
  <si>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</si>
  <si>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</si>
  <si>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</si>
  <si>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</si>
  <si>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</si>
  <si>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</si>
  <si>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</si>
  <si>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</si>
  <si>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</si>
  <si>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</si>
  <si>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</si>
  <si>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</si>
  <si>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</si>
  <si>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</si>
  <si>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</si>
  <si>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</si>
  <si>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</si>
  <si>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</si>
  <si>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</si>
  <si>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</si>
  <si>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</si>
  <si>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</si>
  <si>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</si>
  <si>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</si>
  <si>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</si>
  <si>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</si>
  <si>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</si>
  <si>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</si>
  <si>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</si>
  <si>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</si>
  <si>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</si>
  <si>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</si>
  <si>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</si>
  <si>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</si>
  <si>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</si>
  <si>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</si>
  <si>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</si>
  <si>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</si>
  <si>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</si>
  <si>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</si>
  <si>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</si>
  <si>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</si>
  <si>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</si>
  <si>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</si>
  <si>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</si>
  <si>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</si>
  <si>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</si>
  <si>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</si>
  <si>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</si>
  <si>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</si>
  <si>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</si>
  <si>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</si>
  <si>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</si>
  <si>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</si>
  <si>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</si>
  <si>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</si>
  <si>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</si>
  <si>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</si>
  <si>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</si>
  <si>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</si>
  <si>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</si>
  <si>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</si>
  <si>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</si>
  <si>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</si>
  <si>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</si>
  <si>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</si>
  <si>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</si>
  <si>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</si>
  <si>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</si>
  <si>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</si>
  <si>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</si>
  <si>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</si>
  <si>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</si>
  <si>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</si>
  <si>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</si>
  <si>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</si>
  <si>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</si>
  <si>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</si>
  <si>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</si>
  <si>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</si>
  <si>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</si>
  <si>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</si>
  <si>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</si>
  <si>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</si>
  <si>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</si>
  <si>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</si>
  <si>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</si>
  <si>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</si>
  <si>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</si>
  <si>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</si>
  <si>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</si>
  <si>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</si>
  <si>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</si>
  <si>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</si>
  <si>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</si>
  <si>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</si>
  <si>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</si>
  <si>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</si>
  <si>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</si>
  <si>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</si>
  <si>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</si>
  <si>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</si>
  <si>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</si>
  <si>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</si>
  <si>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</si>
  <si>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</si>
  <si>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</si>
  <si>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</si>
  <si>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</si>
  <si>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</si>
  <si>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</si>
  <si>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</si>
  <si>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</si>
  <si>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</si>
  <si>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</si>
  <si>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</si>
  <si>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</si>
  <si>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</si>
  <si>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</si>
  <si>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</si>
  <si>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</si>
  <si>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</si>
  <si>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</si>
  <si>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</si>
  <si>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</si>
  <si>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</si>
  <si>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</si>
  <si>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</si>
  <si>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</si>
  <si>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</si>
  <si>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</si>
  <si>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</si>
  <si>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</si>
  <si>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</si>
  <si>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</si>
  <si>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</si>
  <si>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</si>
  <si>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</si>
  <si>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</si>
  <si>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</si>
  <si>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</si>
  <si>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</si>
  <si>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</si>
  <si>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</si>
  <si>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</si>
  <si>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</si>
  <si>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</si>
  <si>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</si>
  <si>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</si>
  <si>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</si>
  <si>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</si>
  <si>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</si>
  <si>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</si>
  <si>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</si>
  <si>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</si>
  <si>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</si>
  <si>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</si>
  <si>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</si>
  <si>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</si>
  <si>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</si>
  <si>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</si>
  <si>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</si>
  <si>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</si>
  <si>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</si>
  <si>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</si>
  <si>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</si>
  <si>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</si>
  <si>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</si>
  <si>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</si>
  <si>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</si>
  <si>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</si>
  <si>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</si>
  <si>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</si>
  <si>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</si>
  <si>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</si>
  <si>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</si>
  <si>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</si>
  <si>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</si>
  <si>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</si>
  <si>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</si>
  <si>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</si>
  <si>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</si>
  <si>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</si>
  <si>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</si>
  <si>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</si>
  <si>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</si>
  <si>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</si>
  <si>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</si>
  <si>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</si>
  <si>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</si>
  <si>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</si>
  <si>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</si>
  <si>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</si>
  <si>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</si>
  <si>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</si>
  <si>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</si>
  <si>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</si>
  <si>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</si>
  <si>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</si>
  <si>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</si>
  <si>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</si>
  <si>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</si>
  <si>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</si>
  <si>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</si>
  <si>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</si>
  <si>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</si>
  <si>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</si>
  <si>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</si>
  <si>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</si>
  <si>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</si>
  <si>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</si>
  <si>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</si>
  <si>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</si>
  <si>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</si>
  <si>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</si>
  <si>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</si>
  <si>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</si>
  <si>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</si>
  <si>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</si>
  <si>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</si>
  <si>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</si>
  <si>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</si>
  <si>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</si>
  <si>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</si>
  <si>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</si>
  <si>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</si>
  <si>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</si>
  <si>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</si>
  <si>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</si>
  <si>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</si>
  <si>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</si>
  <si>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</si>
  <si>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</si>
  <si>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</si>
  <si>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</si>
  <si>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</si>
  <si>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</si>
  <si>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</si>
  <si>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</si>
  <si>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</si>
  <si>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</si>
  <si>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</si>
  <si>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</si>
  <si>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</si>
  <si>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</si>
  <si>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</si>
  <si>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</si>
  <si>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</si>
  <si>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</si>
  <si>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</si>
  <si>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</si>
  <si>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</si>
  <si>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</si>
  <si>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</si>
  <si>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</si>
  <si>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</si>
  <si>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</si>
  <si>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</si>
  <si>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</si>
  <si>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</si>
  <si>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</si>
  <si>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</si>
  <si>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</si>
  <si>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</si>
  <si>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</si>
  <si>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</si>
  <si>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</si>
  <si>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</si>
  <si>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</si>
  <si>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</si>
  <si>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</si>
  <si>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</si>
  <si>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</si>
  <si>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</si>
  <si>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</si>
  <si>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</si>
  <si>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</si>
  <si>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</si>
  <si>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</si>
  <si>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</si>
  <si>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</si>
  <si>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</si>
  <si>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</si>
  <si>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</si>
  <si>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</si>
  <si>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</si>
  <si>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</si>
  <si>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</si>
  <si>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</si>
  <si>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</si>
  <si>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</si>
  <si>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</si>
  <si>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</si>
  <si>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</si>
  <si>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</si>
  <si>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</si>
  <si>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</si>
  <si>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</si>
  <si>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</si>
  <si>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</si>
  <si>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</si>
  <si>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</si>
  <si>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</si>
  <si>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</si>
  <si>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</si>
  <si>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</si>
  <si>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</si>
  <si>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</si>
  <si>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</si>
  <si>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</si>
  <si>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</si>
  <si>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</si>
  <si>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</si>
  <si>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</si>
  <si>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</si>
  <si>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</si>
  <si>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</si>
  <si>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</si>
  <si>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</si>
  <si>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</si>
  <si>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</si>
  <si>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</si>
  <si>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</si>
  <si>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</si>
  <si>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</si>
  <si>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</si>
  <si>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</si>
  <si>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</si>
  <si>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</si>
  <si>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</si>
  <si>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</si>
  <si>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</si>
  <si>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</si>
  <si>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</si>
  <si>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</si>
  <si>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</si>
  <si>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</si>
  <si>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</si>
  <si>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</si>
  <si>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</si>
  <si>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</si>
  <si>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</si>
  <si>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</si>
  <si>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</si>
  <si>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</si>
  <si>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</si>
  <si>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</si>
  <si>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</si>
  <si>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</si>
  <si>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</si>
  <si>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</si>
  <si>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</si>
  <si>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</si>
  <si>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</si>
  <si>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</si>
  <si>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</si>
  <si>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</si>
  <si>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</si>
  <si>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</si>
  <si>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</si>
  <si>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</si>
  <si>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</si>
  <si>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</si>
  <si>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</si>
  <si>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</si>
  <si>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</si>
  <si>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</si>
  <si>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</si>
  <si>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</si>
  <si>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</si>
  <si>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</si>
  <si>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</si>
  <si>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</si>
  <si>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</si>
  <si>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</si>
  <si>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</si>
  <si>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</si>
  <si>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</si>
  <si>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</si>
  <si>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</si>
  <si>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</si>
  <si>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</si>
  <si>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</si>
  <si>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</si>
  <si>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</si>
  <si>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</si>
  <si>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</si>
  <si>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</si>
  <si>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</si>
  <si>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</si>
  <si>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</si>
  <si>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</si>
  <si>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</si>
  <si>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</si>
  <si>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</si>
  <si>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</si>
  <si>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</si>
  <si>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</si>
  <si>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</si>
  <si>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</si>
  <si>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</si>
  <si>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</si>
  <si>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</si>
  <si>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</si>
  <si>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</si>
  <si>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</si>
  <si>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</si>
  <si>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</si>
  <si>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</si>
  <si>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</si>
  <si>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</si>
  <si>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</si>
  <si>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</si>
  <si>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</si>
  <si>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</si>
  <si>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</si>
  <si>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</si>
  <si>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</si>
  <si>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</si>
  <si>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</si>
  <si>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</si>
  <si>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</si>
  <si>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</si>
  <si>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</si>
  <si>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</si>
  <si>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</si>
  <si>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</si>
  <si>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</si>
  <si>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</si>
  <si>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</si>
  <si>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</si>
  <si>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</si>
  <si>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</si>
  <si>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</si>
  <si>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</si>
  <si>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</si>
  <si>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</si>
  <si>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</si>
  <si>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</si>
  <si>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</si>
  <si>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</si>
  <si>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</si>
  <si>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</si>
  <si>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</si>
  <si>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</si>
  <si>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</si>
  <si>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</si>
  <si>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</si>
  <si>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</si>
  <si>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</si>
  <si>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</si>
  <si>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</si>
  <si>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</si>
  <si>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</si>
  <si>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</si>
  <si>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</si>
  <si>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</si>
  <si>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</si>
  <si>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</si>
  <si>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</si>
  <si>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</si>
  <si>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</si>
  <si>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</si>
  <si>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</si>
  <si>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</si>
  <si>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</si>
  <si>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</si>
  <si>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</si>
  <si>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</si>
  <si>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</si>
  <si>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</si>
  <si>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</si>
  <si>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</si>
  <si>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</si>
  <si>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</si>
  <si>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</si>
  <si>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</si>
  <si>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</si>
  <si>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</si>
  <si>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</si>
  <si>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</si>
  <si>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</si>
  <si>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</si>
  <si>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</si>
  <si>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</si>
  <si>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</si>
  <si>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</si>
  <si>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</si>
  <si>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</si>
  <si>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</si>
  <si>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</si>
  <si>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</si>
  <si>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</si>
  <si>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</si>
  <si>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</si>
  <si>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</si>
  <si>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</si>
  <si>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</si>
  <si>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</si>
  <si>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</si>
  <si>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</si>
  <si>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</si>
  <si>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</si>
  <si>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</si>
  <si>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</si>
  <si>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</si>
  <si>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</si>
  <si>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</si>
  <si>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</si>
  <si>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</si>
  <si>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</si>
  <si>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</si>
  <si>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</si>
  <si>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</si>
  <si>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</si>
  <si>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</si>
  <si>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</si>
  <si>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</si>
  <si>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</si>
  <si>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</si>
  <si>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</si>
  <si>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</si>
  <si>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</si>
  <si>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</si>
  <si>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</si>
  <si>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</si>
  <si>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</si>
  <si>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</si>
  <si>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</si>
  <si>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</si>
  <si>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</si>
  <si>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</si>
  <si>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</si>
  <si>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</si>
  <si>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</si>
  <si>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</si>
  <si>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</si>
  <si>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</si>
  <si>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</si>
  <si>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</si>
  <si>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</si>
  <si>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</si>
  <si>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</si>
  <si>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</si>
  <si>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</si>
  <si>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</si>
  <si>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</si>
  <si>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</si>
  <si>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</si>
  <si>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</si>
  <si>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</si>
  <si>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</si>
  <si>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</si>
  <si>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</si>
  <si>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</si>
  <si>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</si>
  <si>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</si>
  <si>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</si>
  <si>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</si>
  <si>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</si>
  <si>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</si>
  <si>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</si>
  <si>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</si>
  <si>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</si>
  <si>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</si>
  <si>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</si>
  <si>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</si>
  <si>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</si>
  <si>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</si>
  <si>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</si>
  <si>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</si>
  <si>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</si>
  <si>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</si>
  <si>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</si>
  <si>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</si>
  <si>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</si>
  <si>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</si>
  <si>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</si>
  <si>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</si>
  <si>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</si>
  <si>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</si>
  <si>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</si>
  <si>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</si>
  <si>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</si>
  <si>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</si>
  <si>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</si>
  <si>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</si>
  <si>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</si>
  <si>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</si>
  <si>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</si>
  <si>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</si>
  <si>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</si>
  <si>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</si>
  <si>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</si>
  <si>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</si>
  <si>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</si>
  <si>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</si>
  <si>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</si>
  <si>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</si>
  <si>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</si>
  <si>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</si>
  <si>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</si>
  <si>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</si>
  <si>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</si>
  <si>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</si>
  <si>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</si>
  <si>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</si>
  <si>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</si>
  <si>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</si>
  <si>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</si>
  <si>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</si>
  <si>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</si>
  <si>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</si>
  <si>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</si>
  <si>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</si>
  <si>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</si>
  <si>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</si>
  <si>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</si>
  <si>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</si>
  <si>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</si>
  <si>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</si>
  <si>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</si>
  <si>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</si>
  <si>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</si>
  <si>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</si>
  <si>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</si>
  <si>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</si>
  <si>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</si>
  <si>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</si>
  <si>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</si>
  <si>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</si>
  <si>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</si>
  <si>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</si>
  <si>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</si>
  <si>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</si>
  <si>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</si>
  <si>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</si>
  <si>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</si>
  <si>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</si>
  <si>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</si>
  <si>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</si>
  <si>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</si>
  <si>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</si>
  <si>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</si>
  <si>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</si>
  <si>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</si>
  <si>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</si>
  <si>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</si>
  <si>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</si>
  <si>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</si>
  <si>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</si>
  <si>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</si>
  <si>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</si>
  <si>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</si>
  <si>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</si>
  <si>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</si>
  <si>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</si>
  <si>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</si>
  <si>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</si>
  <si>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</si>
  <si>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</si>
  <si>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</si>
  <si>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</si>
  <si>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</si>
  <si>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</si>
  <si>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</si>
  <si>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</si>
  <si>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</si>
  <si>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</si>
  <si>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</si>
  <si>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</si>
  <si>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</si>
  <si>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</si>
  <si>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</si>
  <si>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</si>
  <si>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</si>
  <si>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</si>
  <si>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</si>
  <si>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</si>
  <si>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</si>
  <si>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</si>
  <si>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</si>
  <si>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</si>
  <si>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</si>
  <si>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</si>
  <si>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</si>
  <si>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</si>
  <si>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</si>
  <si>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</si>
  <si>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</si>
  <si>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</si>
  <si>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</si>
  <si>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</si>
  <si>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</si>
  <si>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</si>
  <si>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</si>
  <si>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</si>
  <si>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</si>
  <si>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</si>
  <si>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</si>
  <si>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</si>
  <si>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</si>
  <si>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</si>
  <si>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</si>
  <si>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</si>
  <si>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</si>
  <si>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</si>
  <si>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</si>
  <si>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</si>
  <si>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</si>
  <si>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</si>
  <si>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Charities Housing Development Corporation of Santa Clara County</t>
  </si>
  <si>
    <t>PROJECT NAME:</t>
  </si>
  <si>
    <t>Montecito Multifamily</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</si>
  <si>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</si>
  <si>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</si>
  <si>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</si>
  <si>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</si>
  <si>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</si>
  <si>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</si>
  <si>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</si>
  <si>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</si>
  <si>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</si>
  <si>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</si>
  <si>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</si>
  <si>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</si>
  <si>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</si>
  <si>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</si>
  <si>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</si>
  <si>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</si>
  <si>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</si>
  <si>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</si>
  <si>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</si>
  <si>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</si>
  <si>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</si>
  <si>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</si>
  <si>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</si>
  <si>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</si>
  <si>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</si>
  <si>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</si>
  <si>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</si>
  <si>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</si>
  <si>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</si>
  <si>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</si>
  <si>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</si>
  <si>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</si>
  <si>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</si>
  <si>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</si>
  <si>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</si>
  <si>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</si>
  <si>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</si>
  <si>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</si>
  <si>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</si>
  <si>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</si>
  <si>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</si>
  <si>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</si>
  <si>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</si>
  <si>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</si>
  <si>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</si>
  <si>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</si>
  <si>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</si>
  <si>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</si>
  <si>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</si>
  <si>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</si>
  <si>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</si>
  <si>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</si>
  <si>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</si>
  <si>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</si>
  <si>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</si>
  <si>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</si>
  <si>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</si>
  <si>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</si>
  <si>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</si>
  <si>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</si>
  <si>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</si>
  <si>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</si>
  <si>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</si>
  <si>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</si>
  <si>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</si>
  <si>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</si>
  <si>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</si>
  <si>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</si>
  <si>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</si>
  <si>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</si>
  <si>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</si>
  <si>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</si>
  <si>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</si>
  <si>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</si>
  <si>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</si>
  <si>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</si>
  <si>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</si>
  <si>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</si>
  <si>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</si>
  <si>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</si>
  <si>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</si>
  <si>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</si>
  <si>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</si>
  <si>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</si>
  <si>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</si>
  <si>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</si>
  <si>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</si>
  <si>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Mark J. Mikl</t>
  </si>
  <si>
    <t>(Typed or printed name)</t>
  </si>
  <si>
    <t>Executive Director</t>
  </si>
  <si>
    <t>(Title)</t>
  </si>
  <si>
    <t>Local Jurisdiction:</t>
  </si>
  <si>
    <t>City of Moutain View</t>
  </si>
  <si>
    <t>City Manager:</t>
  </si>
  <si>
    <t>Vera Gil</t>
  </si>
  <si>
    <t>Title:</t>
  </si>
  <si>
    <t>City Manager</t>
  </si>
  <si>
    <t xml:space="preserve">Mailing Address: </t>
  </si>
  <si>
    <t>500 Castro St.</t>
  </si>
  <si>
    <t xml:space="preserve">City: </t>
  </si>
  <si>
    <t>Mountain View</t>
  </si>
  <si>
    <t>ALAMEDA</t>
  </si>
  <si>
    <t>Alameda</t>
  </si>
  <si>
    <t xml:space="preserve">Zip Code: </t>
  </si>
  <si>
    <t>ALPINE</t>
  </si>
  <si>
    <t>Alpine</t>
  </si>
  <si>
    <t>Phone Number:</t>
  </si>
  <si>
    <t>(650) 903-6459</t>
  </si>
  <si>
    <t>Ext.</t>
  </si>
  <si>
    <t>AMADOR</t>
  </si>
  <si>
    <t>Amador</t>
  </si>
  <si>
    <t xml:space="preserve">FAX Number: </t>
  </si>
  <si>
    <t>(650) 962-8502</t>
  </si>
  <si>
    <t>BUTTE</t>
  </si>
  <si>
    <t>Butte</t>
  </si>
  <si>
    <t xml:space="preserve">E-mail: </t>
  </si>
  <si>
    <t>vera.gil@mountainview.gov</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</si>
  <si>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</si>
  <si>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</si>
  <si>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</si>
  <si>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</si>
  <si>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</si>
  <si>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</si>
  <si>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</si>
  <si>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</si>
  <si>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</si>
  <si>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</si>
  <si>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</si>
  <si>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</si>
  <si>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</si>
  <si>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</si>
  <si>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</si>
  <si>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</si>
  <si>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</si>
  <si>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</si>
  <si>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</si>
  <si>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</si>
  <si>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</si>
  <si>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</si>
  <si>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</si>
  <si>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</si>
  <si>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</si>
  <si>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</si>
  <si>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</si>
  <si>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</si>
  <si>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</si>
  <si>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</si>
  <si>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</si>
  <si>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</si>
  <si>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</si>
  <si>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</si>
  <si>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</si>
  <si>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</si>
  <si>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</si>
  <si>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</si>
  <si>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</si>
  <si>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</si>
  <si>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</si>
  <si>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</si>
  <si>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</si>
  <si>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</si>
  <si>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</si>
  <si>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</si>
  <si>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</si>
  <si>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</si>
  <si>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</si>
  <si>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</si>
  <si>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</si>
  <si>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</si>
  <si>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</si>
  <si>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</si>
  <si>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</si>
  <si>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</si>
  <si>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</si>
  <si>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</si>
  <si>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</si>
  <si>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</si>
  <si>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</si>
  <si>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</si>
  <si>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</si>
  <si>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</si>
  <si>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</si>
  <si>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</si>
  <si>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</si>
  <si>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</si>
  <si>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</si>
  <si>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</si>
  <si>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</si>
  <si>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1265 Montecito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</si>
  <si>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</si>
  <si>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</si>
  <si>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</si>
  <si>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</si>
  <si>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</si>
  <si>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</si>
  <si>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</si>
  <si>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</si>
  <si>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</si>
  <si>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</si>
  <si>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</si>
  <si>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</si>
  <si>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</si>
  <si>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</si>
  <si>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</si>
  <si>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</si>
  <si>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</si>
  <si>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</si>
  <si>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</si>
  <si>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</si>
  <si>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</si>
  <si>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150-26-004</t>
  </si>
  <si>
    <t>Seniors</t>
  </si>
  <si>
    <t>SAN BENITO</t>
  </si>
  <si>
    <t>San Benito</t>
  </si>
  <si>
    <t>Special Needs</t>
  </si>
  <si>
    <t>At least 20% 1-bedroom units and 10% larger than 1-bedroom units</t>
  </si>
  <si>
    <t>SAN BERNARDINO</t>
  </si>
  <si>
    <t>San Bernardino</t>
  </si>
  <si>
    <t>CTCAC/HCD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</si>
  <si>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</si>
  <si>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</si>
  <si>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</si>
  <si>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</si>
  <si>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</si>
  <si>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</si>
  <si>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</si>
  <si>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</si>
  <si>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</si>
  <si>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</si>
  <si>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</si>
  <si>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</si>
  <si>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</si>
  <si>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</si>
  <si>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</si>
  <si>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</si>
  <si>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</si>
  <si>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</si>
  <si>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</si>
  <si>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</si>
  <si>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</si>
  <si>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</si>
  <si>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</si>
  <si>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</si>
  <si>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</si>
  <si>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</si>
  <si>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</si>
  <si>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</si>
  <si>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</si>
  <si>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</si>
  <si>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</si>
  <si>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</si>
  <si>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</si>
  <si>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</si>
  <si>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</si>
  <si>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</si>
  <si>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</si>
  <si>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</si>
  <si>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</si>
  <si>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</si>
  <si>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</si>
  <si>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</si>
  <si>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</si>
  <si>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</si>
  <si>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</si>
  <si>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</si>
  <si>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</si>
  <si>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</si>
  <si>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</si>
  <si>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</si>
  <si>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</si>
  <si>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</si>
  <si>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</si>
  <si>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</si>
  <si>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</si>
  <si>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</si>
  <si>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</si>
  <si>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</si>
  <si>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</si>
  <si>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</si>
  <si>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</si>
  <si>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</si>
  <si>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</si>
  <si>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</si>
  <si>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</si>
  <si>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</si>
  <si>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</si>
  <si>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</si>
  <si>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</si>
  <si>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</si>
  <si>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</si>
  <si>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</si>
  <si>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</si>
  <si>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</si>
  <si>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</si>
  <si>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</si>
  <si>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</si>
  <si>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</si>
  <si>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</si>
  <si>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</si>
  <si>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</si>
  <si>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</si>
  <si>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</si>
  <si>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</si>
  <si>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</si>
  <si>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</si>
  <si>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</si>
  <si>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</si>
  <si>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</si>
  <si>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</si>
  <si>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</si>
  <si>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</si>
  <si>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</si>
  <si>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</si>
  <si>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</si>
  <si>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</si>
  <si>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</si>
  <si>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</si>
  <si>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</si>
  <si>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</si>
  <si>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</si>
  <si>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</si>
  <si>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</si>
  <si>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</si>
  <si>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</si>
  <si>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</si>
  <si>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</si>
  <si>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</si>
  <si>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1400 Parkmoor Ave. STE. 190</t>
  </si>
  <si>
    <t>San Jose</t>
  </si>
  <si>
    <t>State:</t>
  </si>
  <si>
    <t>CA</t>
  </si>
  <si>
    <t>Contact Person:</t>
  </si>
  <si>
    <t>Jacob Billitteri</t>
  </si>
  <si>
    <t>Phone:</t>
  </si>
  <si>
    <t>(312) 550-6381</t>
  </si>
  <si>
    <t>Ext.:</t>
  </si>
  <si>
    <t>Fax:</t>
  </si>
  <si>
    <t xml:space="preserve">Email: </t>
  </si>
  <si>
    <t>jbillitteri@charitieshousing.org</t>
  </si>
  <si>
    <t>both nonprofits</t>
  </si>
  <si>
    <t>Legal Status of Applicant:</t>
  </si>
  <si>
    <t>Parent Company:</t>
  </si>
  <si>
    <t>If Other, Specify:</t>
  </si>
  <si>
    <t>both for-profit</t>
  </si>
  <si>
    <t>General Partner(s) Information (post-closing GPs):</t>
  </si>
  <si>
    <t>D(1)</t>
  </si>
  <si>
    <t>General Partner Name:</t>
  </si>
  <si>
    <t>Montecito Charities, LLC</t>
  </si>
  <si>
    <t>Managing GP</t>
  </si>
  <si>
    <t>OWNERSHIP</t>
  </si>
  <si>
    <t>INTEREST (%):</t>
  </si>
  <si>
    <t>Nonprofit</t>
  </si>
  <si>
    <t>Mark Mikl</t>
  </si>
  <si>
    <t>currently exists</t>
  </si>
  <si>
    <t>(408) 550-8338</t>
  </si>
  <si>
    <t>408-550-8339</t>
  </si>
  <si>
    <t>to be formed</t>
  </si>
  <si>
    <t>For Profit</t>
  </si>
  <si>
    <t>mmikl@charitieshousing.org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</si>
  <si>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</si>
  <si>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</si>
  <si>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</si>
  <si>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</si>
  <si>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</si>
  <si>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</si>
  <si>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</si>
  <si>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</si>
  <si>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</si>
  <si>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</si>
  <si>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</si>
  <si>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</si>
  <si>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</si>
  <si>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</si>
  <si>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</si>
  <si>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</si>
  <si>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</si>
  <si>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</si>
  <si>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Studio E Architects</t>
  </si>
  <si>
    <t>Address:</t>
  </si>
  <si>
    <t>2258 First Ave.</t>
  </si>
  <si>
    <t>City, State, Zip</t>
  </si>
  <si>
    <t>San Jose, CA, 95126</t>
  </si>
  <si>
    <t>City, State, Zip:</t>
  </si>
  <si>
    <t>San Diego, CA, 92101</t>
  </si>
  <si>
    <t>Kevin Bussett</t>
  </si>
  <si>
    <t>(619) 235-9262</t>
  </si>
  <si>
    <t>(408) 550-8339</t>
  </si>
  <si>
    <t>(619) 235-0522</t>
  </si>
  <si>
    <t>Email:</t>
  </si>
  <si>
    <t>kbussett@studioearchitects.com</t>
  </si>
  <si>
    <t>Attorney:</t>
  </si>
  <si>
    <t>Gubb &amp; Barshay, LLP</t>
  </si>
  <si>
    <t>General Contractor:</t>
  </si>
  <si>
    <t>James E. Roberts-Obayashi Corporation</t>
  </si>
  <si>
    <t>235 Montgomery St. STE 1110</t>
  </si>
  <si>
    <t>20 Oak Ct.</t>
  </si>
  <si>
    <t>San Francisco, CA, 94104</t>
  </si>
  <si>
    <t>Danville, CA, 94526</t>
  </si>
  <si>
    <t>Lauren B. Fechter</t>
  </si>
  <si>
    <t>Scott Smith</t>
  </si>
  <si>
    <t>(415) 781-6600</t>
  </si>
  <si>
    <t>(925) 820-0600</t>
  </si>
  <si>
    <t>lfechter@gubbandbarshay.com</t>
  </si>
  <si>
    <t>scott@jerocorp.com</t>
  </si>
  <si>
    <t>Tax Professional:</t>
  </si>
  <si>
    <t>Armanino, LLP</t>
  </si>
  <si>
    <t>Energy Consultant:</t>
  </si>
  <si>
    <t>50 W San Fernando St. #500</t>
  </si>
  <si>
    <t>San Jose, CA, 95113</t>
  </si>
  <si>
    <t>Yu Zhao</t>
  </si>
  <si>
    <t>(408) 200-6400</t>
  </si>
  <si>
    <t>yu.zhao@armanino.com</t>
  </si>
  <si>
    <t>CPA:</t>
  </si>
  <si>
    <t>Investor:</t>
  </si>
  <si>
    <t>Consultant:</t>
  </si>
  <si>
    <t>California Housing Partnership</t>
  </si>
  <si>
    <t>Market Analyst:</t>
  </si>
  <si>
    <t>Cushman and Wakefield</t>
  </si>
  <si>
    <t>369 Pine St. STE. 300</t>
  </si>
  <si>
    <t>300 Santana Row, STE. 200</t>
  </si>
  <si>
    <t>San Jose, CA, 95128</t>
  </si>
  <si>
    <t>Aditya Potluri</t>
  </si>
  <si>
    <t>Daniel Galleno</t>
  </si>
  <si>
    <t>(415) 433-6804</t>
  </si>
  <si>
    <t>(925) 274-2818</t>
  </si>
  <si>
    <t>apotluri@chpc.net</t>
  </si>
  <si>
    <t>daniel.galleno@cushwake.com</t>
  </si>
  <si>
    <t>Appraiser:</t>
  </si>
  <si>
    <t>CNA Consultant:</t>
  </si>
  <si>
    <t>Daniel Schmidt</t>
  </si>
  <si>
    <t>(408) 436-3684</t>
  </si>
  <si>
    <t>Dan.Schmidt@cushwake.com</t>
  </si>
  <si>
    <t>Bond Issuer:</t>
  </si>
  <si>
    <t>California Municipal Finance Authority</t>
  </si>
  <si>
    <t>Prop. Mgmt. Co.:</t>
  </si>
  <si>
    <t>2111 Palomar Airpot Rd. STE. 320</t>
  </si>
  <si>
    <t>Carlsbad, CA, 92011</t>
  </si>
  <si>
    <t>Anthony Stubbs</t>
  </si>
  <si>
    <t>Lisa Caldwell</t>
  </si>
  <si>
    <t>(760) 930-1333</t>
  </si>
  <si>
    <t>(408) 550-8300</t>
  </si>
  <si>
    <t>(760) 683-3390</t>
  </si>
  <si>
    <t>astubbs@cmfa-ca.com</t>
  </si>
  <si>
    <t>lcaldwell@charitieshousing.org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</si>
  <si>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</si>
  <si>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</si>
  <si>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</si>
  <si>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</si>
  <si>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</si>
  <si>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</si>
  <si>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</si>
  <si>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</si>
  <si>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</si>
  <si>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</si>
  <si>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</si>
  <si>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</si>
  <si>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</si>
  <si>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</si>
  <si>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</si>
  <si>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</si>
  <si>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</si>
  <si>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</si>
  <si>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</si>
  <si>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</si>
  <si>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</si>
  <si>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</si>
  <si>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</si>
  <si>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</si>
  <si>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</si>
  <si>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</si>
  <si>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</si>
  <si>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</si>
  <si>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</si>
  <si>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</si>
  <si>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</si>
  <si>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</si>
  <si>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</si>
  <si>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</si>
  <si>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</si>
  <si>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</si>
  <si>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</si>
  <si>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</si>
  <si>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</si>
  <si>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</si>
  <si>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</si>
  <si>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</si>
  <si>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</si>
  <si>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</si>
  <si>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</si>
  <si>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</si>
  <si>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</si>
  <si>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</si>
  <si>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</si>
  <si>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</si>
  <si>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</si>
  <si>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</si>
  <si>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</si>
  <si>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</si>
  <si>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</si>
  <si>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</si>
  <si>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</si>
  <si>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TBD</t>
  </si>
  <si>
    <t>If no, please explain:</t>
  </si>
  <si>
    <t>Lessor:</t>
  </si>
  <si>
    <t>County of Santa Clara</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</si>
  <si>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</si>
  <si>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</si>
  <si>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</si>
  <si>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</si>
  <si>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</si>
  <si>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</si>
  <si>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</si>
  <si>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</si>
  <si>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A new ground-up construction with 85 units for large families and special needs.  50% units reserved rapid rehousing/homeless.  (84 affordable + 1 staff unit)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</si>
  <si>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</si>
  <si>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</si>
  <si>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</si>
  <si>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</si>
  <si>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</si>
  <si>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</si>
  <si>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</si>
  <si>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</si>
  <si>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</si>
  <si>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</si>
  <si>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</si>
  <si>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</si>
  <si>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</si>
  <si>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</si>
  <si>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</si>
  <si>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</si>
  <si>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</si>
  <si>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</si>
  <si>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</si>
  <si>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</si>
  <si>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</si>
  <si>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</si>
  <si>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</si>
  <si>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</si>
  <si>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</si>
  <si>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</si>
  <si>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</si>
  <si>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</si>
  <si>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</si>
  <si>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</si>
  <si>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</si>
  <si>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</si>
  <si>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</si>
  <si>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</si>
  <si>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</si>
  <si>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</si>
  <si>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</si>
  <si>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</si>
  <si>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</si>
  <si>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</si>
  <si>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</si>
  <si>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</si>
  <si>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</si>
  <si>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</si>
  <si>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</si>
  <si>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</si>
  <si>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</si>
  <si>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</si>
  <si>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</si>
  <si>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</si>
  <si>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</si>
  <si>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</si>
  <si>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</si>
  <si>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Zoning District (R-4)</t>
  </si>
  <si>
    <t>Current Zoning and Maximum Density</t>
  </si>
  <si>
    <t>R-4 (80 du/acre)</t>
  </si>
  <si>
    <t>Proposed Zoning and Maximum Density</t>
  </si>
  <si>
    <t>Occupancy restrictions that run with the land due to CUP’s or density bonuses?</t>
  </si>
  <si>
    <t>55 Year Affordability</t>
  </si>
  <si>
    <t>Subject to Inclusionary Zoning?</t>
  </si>
  <si>
    <t>Building Height Requirements</t>
  </si>
  <si>
    <t>62' Max</t>
  </si>
  <si>
    <t>Required Parking Ratio</t>
  </si>
  <si>
    <t>.5 Spaces/Unit Affordable (1.5 Spaces/Unit Market Rate)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</si>
  <si>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</si>
  <si>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</si>
  <si>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</si>
  <si>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</si>
  <si>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</si>
  <si>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</si>
  <si>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</si>
  <si>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</si>
  <si>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</si>
  <si>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</si>
  <si>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</si>
  <si>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</si>
  <si>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</si>
  <si>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</si>
  <si>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</si>
  <si>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</si>
  <si>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</si>
  <si>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</si>
  <si>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</si>
  <si>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</si>
  <si>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</si>
  <si>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</si>
  <si>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</si>
  <si>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</si>
  <si>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</si>
  <si>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</si>
  <si>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</si>
  <si>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</si>
  <si>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</si>
  <si>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</si>
  <si>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</si>
  <si>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</si>
  <si>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</si>
  <si>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</si>
  <si>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</si>
  <si>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County of Santa Clara (Measure A)</t>
  </si>
  <si>
    <t>Equity, LIHTC Investor</t>
  </si>
  <si>
    <t>Equity, Other Investor</t>
  </si>
  <si>
    <t>Closing or Award</t>
  </si>
  <si>
    <t>Grant</t>
  </si>
  <si>
    <t xml:space="preserve">Type and Source: </t>
  </si>
  <si>
    <t>City of Mountain View</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</si>
  <si>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</si>
  <si>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</si>
  <si>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</si>
  <si>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</si>
  <si>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</si>
  <si>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</si>
  <si>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</si>
  <si>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</si>
  <si>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</si>
  <si>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</si>
  <si>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</si>
  <si>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</si>
  <si>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</si>
  <si>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</si>
  <si>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</si>
  <si>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</si>
  <si>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</si>
  <si>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</si>
  <si>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</si>
  <si>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</si>
  <si>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</si>
  <si>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</si>
  <si>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</si>
  <si>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</si>
  <si>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</si>
  <si>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</si>
  <si>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</si>
  <si>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</si>
  <si>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</si>
  <si>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</si>
  <si>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</si>
  <si>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</si>
  <si>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Tax-Exempt Construction Loan</t>
  </si>
  <si>
    <t>Variable</t>
  </si>
  <si>
    <t>Fixed</t>
  </si>
  <si>
    <t>Costs Deferred Until Conversion</t>
  </si>
  <si>
    <t>6)</t>
  </si>
  <si>
    <t>Deferred Developer Fee</t>
  </si>
  <si>
    <t>7)</t>
  </si>
  <si>
    <t>LP Equity</t>
  </si>
  <si>
    <t>8)</t>
  </si>
  <si>
    <t>9)</t>
  </si>
  <si>
    <t>10)</t>
  </si>
  <si>
    <t>11)</t>
  </si>
  <si>
    <t>12)</t>
  </si>
  <si>
    <t>Total Funds For Construction:</t>
  </si>
  <si>
    <t>Lender/Source:</t>
  </si>
  <si>
    <t>300 Grand Ave, STE. 3110</t>
  </si>
  <si>
    <t>500 Castro St, P.O. Box 7540</t>
  </si>
  <si>
    <t>Contact Name:</t>
  </si>
  <si>
    <t>Hao Li</t>
  </si>
  <si>
    <t>Deanna Talavera</t>
  </si>
  <si>
    <t>(213) 239-1914</t>
  </si>
  <si>
    <t>(650) 903-6306</t>
  </si>
  <si>
    <t>Type of Financing:</t>
  </si>
  <si>
    <t>Variable Rate Index (if applicable):</t>
  </si>
  <si>
    <t>Is the Lender/Source Committed?</t>
  </si>
  <si>
    <t>2310 N 1st Street, STE. 201</t>
  </si>
  <si>
    <t>SEE Mountain View and Santa Clara Contacts</t>
  </si>
  <si>
    <t>Natalie Monk</t>
  </si>
  <si>
    <t>(408) 510-0335</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</si>
  <si>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</si>
  <si>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</si>
  <si>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</si>
  <si>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</si>
  <si>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</si>
  <si>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</si>
  <si>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</si>
  <si>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</si>
  <si>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</si>
  <si>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</si>
  <si>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</si>
  <si>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</si>
  <si>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</si>
  <si>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</si>
  <si>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</si>
  <si>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</si>
  <si>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</si>
  <si>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</si>
  <si>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</si>
  <si>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</si>
  <si>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Tax-Exempt Perm Loan</t>
  </si>
  <si>
    <t>Required</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</si>
  <si>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</si>
  <si>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</si>
  <si>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</si>
  <si>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</si>
  <si>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</si>
  <si>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</si>
  <si>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</si>
  <si>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</si>
  <si>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</si>
  <si>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</si>
  <si>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</si>
  <si>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</si>
  <si>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</si>
  <si>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</si>
  <si>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</si>
  <si>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</si>
  <si>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</si>
  <si>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</si>
  <si>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</si>
  <si>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</si>
  <si>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</si>
  <si>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</si>
  <si>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</si>
  <si>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</si>
  <si>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</si>
  <si>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</si>
  <si>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Developer Fee, Deferred</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</si>
  <si>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</si>
  <si>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</si>
  <si>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</si>
  <si>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</si>
  <si>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</si>
  <si>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</si>
  <si>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</si>
  <si>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</si>
  <si>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</si>
  <si>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</si>
  <si>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</si>
  <si>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</si>
  <si>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</si>
  <si>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</si>
  <si>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</si>
  <si>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</si>
  <si>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</si>
  <si>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</si>
  <si>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</si>
  <si>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</si>
  <si>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</si>
  <si>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</si>
  <si>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</si>
  <si>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</si>
  <si>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</si>
  <si>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</si>
  <si>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</si>
  <si>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</si>
  <si>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</si>
  <si>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</si>
  <si>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</si>
  <si>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</si>
  <si>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</si>
  <si>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</si>
  <si>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</si>
  <si>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</si>
  <si>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</si>
  <si>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</si>
  <si>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</si>
  <si>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</si>
  <si>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</si>
  <si>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</si>
  <si>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</si>
  <si>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</si>
  <si>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</si>
  <si>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</si>
  <si>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</si>
  <si>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</si>
  <si>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</si>
  <si>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</si>
  <si>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</si>
  <si>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</si>
  <si>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</si>
  <si>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</si>
  <si>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</si>
  <si>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 </t>
  </si>
  <si>
    <t>Annual Interest Income:</t>
  </si>
  <si>
    <t>Other Annual Income:</t>
  </si>
  <si>
    <t>Misc.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</si>
  <si>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</si>
  <si>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</si>
  <si>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</si>
  <si>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</si>
  <si>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</si>
  <si>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</si>
  <si>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</si>
  <si>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</si>
  <si>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</si>
  <si>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</si>
  <si>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</si>
  <si>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</si>
  <si>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</si>
  <si>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</si>
  <si>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</si>
  <si>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</si>
  <si>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</si>
  <si>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</si>
  <si>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</si>
  <si>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</si>
  <si>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</si>
  <si>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</si>
  <si>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</si>
  <si>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</si>
  <si>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</si>
  <si>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</si>
  <si>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</si>
  <si>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</si>
  <si>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</si>
  <si>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</si>
  <si>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</si>
  <si>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</si>
  <si>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</si>
  <si>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</si>
  <si>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</si>
  <si>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</si>
  <si>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</si>
  <si>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</si>
  <si>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</si>
  <si>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</si>
  <si>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t>
  </si>
  <si>
    <t>Total Payroll / Payroll Taxes:</t>
  </si>
  <si>
    <t>Total Insurance:</t>
  </si>
  <si>
    <t>Painting:</t>
  </si>
  <si>
    <t>Repairs:</t>
  </si>
  <si>
    <t>Trash Removal:</t>
  </si>
  <si>
    <t>Exterminating:</t>
  </si>
  <si>
    <t>Grounds:</t>
  </si>
  <si>
    <t>Elevator:</t>
  </si>
  <si>
    <t>Total Maintenance:</t>
  </si>
  <si>
    <t>Other Operating</t>
  </si>
  <si>
    <t>Expenses</t>
  </si>
  <si>
    <t>Misc. Taxes/Fees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</si>
  <si>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</si>
  <si>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</si>
  <si>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</si>
  <si>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</si>
  <si>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</si>
  <si>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</si>
  <si>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</si>
  <si>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</si>
  <si>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</si>
  <si>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</si>
  <si>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</si>
  <si>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</si>
  <si>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</si>
  <si>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Other (Specify): County and City Fees</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</si>
  <si>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</si>
  <si>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</si>
  <si>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</si>
  <si>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</si>
  <si>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</si>
  <si>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</si>
  <si>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</si>
  <si>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</si>
  <si>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</si>
  <si>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</si>
  <si>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</si>
  <si>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</si>
  <si>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</si>
  <si>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</si>
  <si>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</si>
  <si>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</si>
  <si>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</si>
  <si>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</si>
  <si>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</si>
  <si>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</si>
  <si>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</si>
  <si>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</si>
  <si>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</si>
  <si>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</si>
  <si>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</si>
  <si>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</si>
  <si>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</si>
  <si>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</si>
  <si>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</si>
  <si>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</si>
  <si>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</si>
  <si>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</si>
  <si>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</si>
  <si>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</si>
  <si>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Santa Clara County Housing Authority</t>
  </si>
  <si>
    <t>If Section 8:</t>
  </si>
  <si>
    <t>Project-based vouchers (PBVs)</t>
  </si>
  <si>
    <t>Percentage:</t>
  </si>
  <si>
    <t>Units Subsidized:</t>
  </si>
  <si>
    <t>Amount Per Year:</t>
  </si>
  <si>
    <t>varies</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</si>
  <si>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</si>
  <si>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</si>
  <si>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</si>
  <si>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</si>
  <si>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</si>
  <si>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</si>
  <si>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</si>
  <si>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</si>
  <si>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</si>
  <si>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</si>
  <si>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</si>
  <si>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</si>
  <si>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</si>
  <si>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</si>
  <si>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</si>
  <si>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</si>
  <si>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</si>
  <si>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</si>
  <si>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</si>
  <si>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</si>
  <si>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</si>
  <si>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</si>
  <si>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</si>
  <si>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</si>
  <si>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</si>
  <si>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</si>
  <si>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</si>
  <si>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</si>
  <si>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Santa Clara County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</si>
  <si>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</si>
  <si>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</si>
  <si>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</si>
  <si>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</si>
  <si>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</si>
  <si>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</si>
  <si>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</si>
  <si>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</si>
  <si>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</si>
  <si>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</si>
  <si>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</si>
  <si>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</si>
  <si>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</si>
  <si>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</si>
  <si>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</si>
  <si>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</si>
  <si>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</si>
  <si>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</si>
  <si>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</si>
  <si>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</si>
  <si>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</si>
  <si>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</si>
  <si>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</si>
  <si>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</si>
  <si>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</si>
  <si>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</si>
  <si>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</si>
  <si>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</si>
  <si>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</si>
  <si>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</si>
  <si>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</si>
  <si>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</si>
  <si>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</si>
  <si>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</si>
  <si>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</si>
  <si>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</si>
  <si>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</si>
  <si>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</si>
  <si>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</si>
  <si>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</si>
  <si>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</si>
  <si>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</si>
  <si>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</si>
  <si>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</si>
  <si>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</si>
  <si>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</si>
  <si>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</si>
  <si>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</si>
  <si>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</si>
  <si>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</si>
  <si>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</si>
  <si>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</si>
  <si>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</si>
  <si>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</si>
  <si>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</si>
  <si>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</si>
  <si>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</si>
  <si>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</si>
  <si>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</si>
  <si>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</si>
  <si>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</si>
  <si>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</si>
  <si>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</si>
  <si>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</si>
  <si>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</si>
  <si>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</si>
  <si>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</si>
  <si>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</si>
  <si>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</si>
  <si>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</si>
  <si>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</si>
  <si>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</si>
  <si>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</si>
  <si>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</si>
  <si>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</si>
  <si>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</si>
  <si>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</si>
  <si>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</si>
  <si>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</si>
  <si>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</si>
  <si>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</si>
  <si>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</si>
  <si>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</si>
  <si>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</si>
  <si>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</si>
  <si>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</si>
  <si>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</si>
  <si>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</si>
  <si>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</si>
  <si>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</si>
  <si>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</si>
  <si>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</si>
  <si>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</si>
  <si>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</si>
  <si>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</si>
  <si>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</si>
  <si>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</si>
  <si>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</si>
  <si>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</si>
  <si>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</si>
  <si>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</si>
  <si>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</si>
  <si>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</si>
  <si>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Predev and Accrued Interest and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</si>
  <si>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</si>
  <si>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</si>
  <si>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</si>
  <si>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</si>
  <si>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</si>
  <si>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</si>
  <si>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</si>
  <si>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</si>
  <si>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</si>
  <si>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</si>
  <si>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 Expenses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</si>
  <si>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</si>
  <si>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</si>
  <si>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</si>
  <si>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</si>
  <si>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</si>
  <si>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</si>
  <si>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</si>
  <si>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</si>
  <si>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</si>
  <si>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</si>
  <si>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</si>
  <si>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</si>
  <si>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</si>
  <si>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</si>
  <si>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</si>
  <si>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</si>
  <si>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</si>
  <si>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</si>
  <si>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</si>
  <si>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</si>
  <si>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</si>
  <si>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</si>
  <si>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Supervision</t>
  </si>
  <si>
    <t>Other: Arborist &amp; Relocation Consulting</t>
  </si>
  <si>
    <t>Other: Misc. City and Owner Expenses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</si>
  <si>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</si>
  <si>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</si>
  <si>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</si>
  <si>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</si>
  <si>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</si>
  <si>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</si>
  <si>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</si>
  <si>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</si>
  <si>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</si>
  <si>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</si>
  <si>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</si>
  <si>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</si>
  <si>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</si>
  <si>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</si>
  <si>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</si>
  <si>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</si>
  <si>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</si>
  <si>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</si>
  <si>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</si>
  <si>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</si>
  <si>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</si>
  <si>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</si>
  <si>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</si>
  <si>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</si>
  <si>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</si>
  <si>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</si>
  <si>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</si>
  <si>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</si>
  <si>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</si>
  <si>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</si>
  <si>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</si>
  <si>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</si>
  <si>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</si>
  <si>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</si>
  <si>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</si>
  <si>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</si>
  <si>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</si>
  <si>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</si>
  <si>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</si>
  <si>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</si>
  <si>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</si>
  <si>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</si>
  <si>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</si>
  <si>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</si>
  <si>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</si>
  <si>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</si>
  <si>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</si>
  <si>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</si>
  <si>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</si>
  <si>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</si>
  <si>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</si>
  <si>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</si>
  <si>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</si>
  <si>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</si>
  <si>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</si>
  <si>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</si>
  <si>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</si>
  <si>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</si>
  <si>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</si>
  <si>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</si>
  <si>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</si>
  <si>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</si>
  <si>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</si>
  <si>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</si>
  <si>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</si>
  <si>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</si>
  <si>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</si>
  <si>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</si>
  <si>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</si>
  <si>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</si>
  <si>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</si>
  <si>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</si>
  <si>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</si>
  <si>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</si>
  <si>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</si>
  <si>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</si>
  <si>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</si>
  <si>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</si>
  <si>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</si>
  <si>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</si>
  <si>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</si>
  <si>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</si>
  <si>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</si>
  <si>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</si>
  <si>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</si>
  <si>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</si>
  <si>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</si>
  <si>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</si>
  <si>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</si>
  <si>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</si>
  <si>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</si>
  <si>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</si>
  <si>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</si>
  <si>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</si>
  <si>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</si>
  <si>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</si>
  <si>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</si>
  <si>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</si>
  <si>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</si>
  <si>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</si>
  <si>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</si>
  <si>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</si>
  <si>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</si>
  <si>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</si>
  <si>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</si>
  <si>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</si>
  <si>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</si>
  <si>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</si>
  <si>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</si>
  <si>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</si>
  <si>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</si>
  <si>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</si>
  <si>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</si>
  <si>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</si>
  <si>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</si>
  <si>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</si>
  <si>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</si>
  <si>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</si>
  <si>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</si>
  <si>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</si>
  <si>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</si>
  <si>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</si>
  <si>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</si>
  <si>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</si>
  <si>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</si>
  <si>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</si>
  <si>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</si>
  <si>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</si>
  <si>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</si>
  <si>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</si>
  <si>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</si>
  <si>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</si>
  <si>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</si>
  <si>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</si>
  <si>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</si>
  <si>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</si>
  <si>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</si>
  <si>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</si>
  <si>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</si>
  <si>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</si>
  <si>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</si>
  <si>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</si>
  <si>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</si>
  <si>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</si>
  <si>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</si>
  <si>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</si>
  <si>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</si>
  <si>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</si>
  <si>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</si>
  <si>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</si>
  <si>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</si>
  <si>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</si>
  <si>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</si>
  <si>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</si>
  <si>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</si>
  <si>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</si>
  <si>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</si>
  <si>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</si>
  <si>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</si>
  <si>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</si>
  <si>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</si>
  <si>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</si>
  <si>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</si>
  <si>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</si>
  <si>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</si>
  <si>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</si>
  <si>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</si>
  <si>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</si>
  <si>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</si>
  <si>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</si>
  <si>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</si>
  <si>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</si>
  <si>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</si>
  <si>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</si>
  <si>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</si>
  <si>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</si>
  <si>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</si>
  <si>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</si>
  <si>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</si>
  <si>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</si>
  <si>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</si>
  <si>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</si>
  <si>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</si>
  <si>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</si>
  <si>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</si>
  <si>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</si>
  <si>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</si>
  <si>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</si>
  <si>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</si>
  <si>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</si>
  <si>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</si>
  <si>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</si>
  <si>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</si>
  <si>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</si>
  <si>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</si>
  <si>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</si>
  <si>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</si>
  <si>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</si>
  <si>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</si>
  <si>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</si>
  <si>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</si>
  <si>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</si>
  <si>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</si>
  <si>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</si>
  <si>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</si>
  <si>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</si>
  <si>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</si>
  <si>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</si>
  <si>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</si>
  <si>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</si>
  <si>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</si>
  <si>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</si>
  <si>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</si>
  <si>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</si>
  <si>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</si>
  <si>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</si>
  <si>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</si>
  <si>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</si>
  <si>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</si>
  <si>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</si>
  <si>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</si>
  <si>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</si>
  <si>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</si>
  <si>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</si>
  <si>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</si>
  <si>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</si>
  <si>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</si>
  <si>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</si>
  <si>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</si>
  <si>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</si>
  <si>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</si>
  <si>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</si>
  <si>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</si>
  <si>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</si>
  <si>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</si>
  <si>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</si>
  <si>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</si>
  <si>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</si>
  <si>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</si>
  <si>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</si>
  <si>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</si>
  <si>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</si>
  <si>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</si>
  <si>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</si>
  <si>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</si>
  <si>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</si>
  <si>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</si>
  <si>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</si>
  <si>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</si>
  <si>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</si>
  <si>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</si>
  <si>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</si>
  <si>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</si>
  <si>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</si>
  <si>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</si>
  <si>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</si>
  <si>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</si>
  <si>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</si>
  <si>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</si>
  <si>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</si>
  <si>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</si>
  <si>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</si>
  <si>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</si>
  <si>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</si>
  <si>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</si>
  <si>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</si>
  <si>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</si>
  <si>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</si>
  <si>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</si>
  <si>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</si>
  <si>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</si>
  <si>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</si>
  <si>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</si>
  <si>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</si>
  <si>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</si>
  <si>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</si>
  <si>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</si>
  <si>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</si>
  <si>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</si>
  <si>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</si>
  <si>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</si>
  <si>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</si>
  <si>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</si>
  <si>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</si>
  <si>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</si>
  <si>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</si>
  <si>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</si>
  <si>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</si>
  <si>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</si>
  <si>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</si>
  <si>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</si>
  <si>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</si>
  <si>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</si>
  <si>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</si>
  <si>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</si>
  <si>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</si>
  <si>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</si>
  <si>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</si>
  <si>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</si>
  <si>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</si>
  <si>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</si>
  <si>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</si>
  <si>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</si>
  <si>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</si>
  <si>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</si>
  <si>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</si>
  <si>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</si>
  <si>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</si>
  <si>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</si>
  <si>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</si>
  <si>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</si>
  <si>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</si>
  <si>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</si>
  <si>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</si>
  <si>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</si>
  <si>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</si>
  <si>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</si>
  <si>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</si>
  <si>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</si>
  <si>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</si>
  <si>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</si>
  <si>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</si>
  <si>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</si>
  <si>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</si>
  <si>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</si>
  <si>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</si>
  <si>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</si>
  <si>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</si>
  <si>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</si>
  <si>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</si>
  <si>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</si>
  <si>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</si>
  <si>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</si>
  <si>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</si>
  <si>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</si>
  <si>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</si>
  <si>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</si>
  <si>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</si>
  <si>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</si>
  <si>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</si>
  <si>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</si>
  <si>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</si>
  <si>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</si>
  <si>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</si>
  <si>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</si>
  <si>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</si>
  <si>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</si>
  <si>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</si>
  <si>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</si>
  <si>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</si>
  <si>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</si>
  <si>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</si>
  <si>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</si>
  <si>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</si>
  <si>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</si>
  <si>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</si>
  <si>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</si>
  <si>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</si>
  <si>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</si>
  <si>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</si>
  <si>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</si>
  <si>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</si>
  <si>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</si>
  <si>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</si>
  <si>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</si>
  <si>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</si>
  <si>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</si>
  <si>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</si>
  <si>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</si>
  <si>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</si>
  <si>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</si>
  <si>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</si>
  <si>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</si>
  <si>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</si>
  <si>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</si>
  <si>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</si>
  <si>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</si>
  <si>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</si>
  <si>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</si>
  <si>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</si>
  <si>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</si>
  <si>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</si>
  <si>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</si>
  <si>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</si>
  <si>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</si>
  <si>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</si>
  <si>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</si>
  <si>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</si>
  <si>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</si>
  <si>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</si>
  <si>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</si>
  <si>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</si>
  <si>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</si>
  <si>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</si>
  <si>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</si>
  <si>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</si>
  <si>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</si>
  <si>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</si>
  <si>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</si>
  <si>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</si>
  <si>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</si>
  <si>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</si>
  <si>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</si>
  <si>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</si>
  <si>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</si>
  <si>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</si>
  <si>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</si>
  <si>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</si>
  <si>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</si>
  <si>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</si>
  <si>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</si>
  <si>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</si>
  <si>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</si>
  <si>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</si>
  <si>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</si>
  <si>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</si>
  <si>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</si>
  <si>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</si>
  <si>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</si>
  <si>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</si>
  <si>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</si>
  <si>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</si>
  <si>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</si>
  <si>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</si>
  <si>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</si>
  <si>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</si>
  <si>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</si>
  <si>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</si>
  <si>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</si>
  <si>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</si>
  <si>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</si>
  <si>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</si>
  <si>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</si>
  <si>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</si>
  <si>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</si>
  <si>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</si>
  <si>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</si>
  <si>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</si>
  <si>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</si>
  <si>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</si>
  <si>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</si>
  <si>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</si>
  <si>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</si>
  <si>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</si>
  <si>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</si>
  <si>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</si>
  <si>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</si>
  <si>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</si>
  <si>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</si>
  <si>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</si>
  <si>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</si>
  <si>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</si>
  <si>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</si>
  <si>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</si>
  <si>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</si>
  <si>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</si>
  <si>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</si>
  <si>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</si>
  <si>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</si>
  <si>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</si>
  <si>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</si>
  <si>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</si>
  <si>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</si>
  <si>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</si>
  <si>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</si>
  <si>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</si>
  <si>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</si>
  <si>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</si>
  <si>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</si>
  <si>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</si>
  <si>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</si>
  <si>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</si>
  <si>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</si>
  <si>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</si>
  <si>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</si>
  <si>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</si>
  <si>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</si>
  <si>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</si>
  <si>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</si>
  <si>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</si>
  <si>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</si>
  <si>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</si>
  <si>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</si>
  <si>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</si>
  <si>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</si>
  <si>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</si>
  <si>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</si>
  <si>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</si>
  <si>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</si>
  <si>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</si>
  <si>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</si>
  <si>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</si>
  <si>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</si>
  <si>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</si>
  <si>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</si>
  <si>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</si>
  <si>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</si>
  <si>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</si>
  <si>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</si>
  <si>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</si>
  <si>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</si>
  <si>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</si>
  <si>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</si>
  <si>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</si>
  <si>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</si>
  <si>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</si>
  <si>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</si>
  <si>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</si>
  <si>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</si>
  <si>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</si>
  <si>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</si>
  <si>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</si>
  <si>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</si>
  <si>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</si>
  <si>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</si>
  <si>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</si>
  <si>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</si>
  <si>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</si>
  <si>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</si>
  <si>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</si>
  <si>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</si>
  <si>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</si>
  <si>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</si>
  <si>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</si>
  <si>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</si>
  <si>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</si>
  <si>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</si>
  <si>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</si>
  <si>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</si>
  <si>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</si>
  <si>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</si>
  <si>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</si>
  <si>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</si>
  <si>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</si>
  <si>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</si>
  <si>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</si>
  <si>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</si>
  <si>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</si>
  <si>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</si>
  <si>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</si>
  <si>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</si>
  <si>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</si>
  <si>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</si>
  <si>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</si>
  <si>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</si>
  <si>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</si>
  <si>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</si>
  <si>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</si>
  <si>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</si>
  <si>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</si>
  <si>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</si>
  <si>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</si>
  <si>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</si>
  <si>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</si>
  <si>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</si>
  <si>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</si>
  <si>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</si>
  <si>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</si>
  <si>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</si>
  <si>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</si>
  <si>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</si>
  <si>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</si>
  <si>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</si>
  <si>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</si>
  <si>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</si>
  <si>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</si>
  <si>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</si>
  <si>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</si>
  <si>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</si>
  <si>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</si>
  <si>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</si>
  <si>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</si>
  <si>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</si>
  <si>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</si>
  <si>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</si>
  <si>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</si>
  <si>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</si>
  <si>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</si>
  <si>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</si>
  <si>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</si>
  <si>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</si>
  <si>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</si>
  <si>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</si>
  <si>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</si>
  <si>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</si>
  <si>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</si>
  <si>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</si>
  <si>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</si>
  <si>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</si>
  <si>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</si>
  <si>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</si>
  <si>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</si>
  <si>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</si>
  <si>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</si>
  <si>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</si>
  <si>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</si>
  <si>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</si>
  <si>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</si>
  <si>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</si>
  <si>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</si>
  <si>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</si>
  <si>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</si>
  <si>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</si>
  <si>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</si>
  <si>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</si>
  <si>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</si>
  <si>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</si>
  <si>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</si>
  <si>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</si>
  <si>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</si>
  <si>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</si>
  <si>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</si>
  <si>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</si>
  <si>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</si>
  <si>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</si>
  <si>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</si>
  <si>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</si>
  <si>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</si>
  <si>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</si>
  <si>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</si>
  <si>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</si>
  <si>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</si>
  <si>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</si>
  <si>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</si>
  <si>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</si>
  <si>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</si>
  <si>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</si>
  <si>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</si>
  <si>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</si>
  <si>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</si>
  <si>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</si>
  <si>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</si>
  <si>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</si>
  <si>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</si>
  <si>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</si>
  <si>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</si>
  <si>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</si>
  <si>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</si>
  <si>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</si>
  <si>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</si>
  <si>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</si>
  <si>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</si>
  <si>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</si>
  <si>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</si>
  <si>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</si>
  <si>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</si>
  <si>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</si>
  <si>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</si>
  <si>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</si>
  <si>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</si>
  <si>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</si>
  <si>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</si>
  <si>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</si>
  <si>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</si>
  <si>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</si>
  <si>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</si>
  <si>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</si>
  <si>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</si>
  <si>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</si>
  <si>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</si>
  <si>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</si>
  <si>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</si>
  <si>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</si>
  <si>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</si>
  <si>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</si>
  <si>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</si>
  <si>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</si>
  <si>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</si>
  <si>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</si>
  <si>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</si>
  <si>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</si>
  <si>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</si>
  <si>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</si>
  <si>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</si>
  <si>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</si>
  <si>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</si>
  <si>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</si>
  <si>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</si>
  <si>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</si>
  <si>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</si>
  <si>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</si>
  <si>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</si>
  <si>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</si>
  <si>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</si>
  <si>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</si>
  <si>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</si>
  <si>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</si>
  <si>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</si>
  <si>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</si>
  <si>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</si>
  <si>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</si>
  <si>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</si>
  <si>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</si>
  <si>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</si>
  <si>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</si>
  <si>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</si>
  <si>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</si>
  <si>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</si>
  <si>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</si>
  <si>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</si>
  <si>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</si>
  <si>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</si>
  <si>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</si>
  <si>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</si>
  <si>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</si>
  <si>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</si>
  <si>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</si>
  <si>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</si>
  <si>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</si>
  <si>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</si>
  <si>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</si>
  <si>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</si>
  <si>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</si>
  <si>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</si>
  <si>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</si>
  <si>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</si>
  <si>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</si>
  <si>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</si>
  <si>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</si>
  <si>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</si>
  <si>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</si>
  <si>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</si>
  <si>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</si>
  <si>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</si>
  <si>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</si>
  <si>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</si>
  <si>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</si>
  <si>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</si>
  <si>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</si>
  <si>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</si>
  <si>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</si>
  <si>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</si>
  <si>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</si>
  <si>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</si>
  <si>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</si>
  <si>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</si>
  <si>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</si>
  <si>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</si>
  <si>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</si>
  <si>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</si>
  <si>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</si>
  <si>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</si>
  <si>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</si>
  <si>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</si>
  <si>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</si>
  <si>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</si>
  <si>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</si>
  <si>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</si>
  <si>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</si>
  <si>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</si>
  <si>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</si>
  <si>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</si>
  <si>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</si>
  <si>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</si>
  <si>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</si>
  <si>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</si>
  <si>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</si>
  <si>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</si>
  <si>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</si>
  <si>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</si>
  <si>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</si>
  <si>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</si>
  <si>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</si>
  <si>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</si>
  <si>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</si>
  <si>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</si>
  <si>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</si>
  <si>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</si>
  <si>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</si>
  <si>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</si>
  <si>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</si>
  <si>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</si>
  <si>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</si>
  <si>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</si>
  <si>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</si>
  <si>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</si>
  <si>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</si>
  <si>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</si>
  <si>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</si>
  <si>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</si>
  <si>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</si>
  <si>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</si>
  <si>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</si>
  <si>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</si>
  <si>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</si>
  <si>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</si>
  <si>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</si>
  <si>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</si>
  <si>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</si>
  <si>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</si>
  <si>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</si>
  <si>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</si>
  <si>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</si>
  <si>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</si>
  <si>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</si>
  <si>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</si>
  <si>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</si>
  <si>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</si>
  <si>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</si>
  <si>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</si>
  <si>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</si>
  <si>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</si>
  <si>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</si>
  <si>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</si>
  <si>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</si>
  <si>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</si>
  <si>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</si>
  <si>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</si>
  <si>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</si>
  <si>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</si>
  <si>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</si>
  <si>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</si>
  <si>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</si>
  <si>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</si>
  <si>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</si>
  <si>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</si>
  <si>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</si>
  <si>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</si>
  <si>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</si>
  <si>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</si>
  <si>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</si>
  <si>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</si>
  <si>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</si>
  <si>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</si>
  <si>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</si>
  <si>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</si>
  <si>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</si>
  <si>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</si>
  <si>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</si>
  <si>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</si>
  <si>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</si>
  <si>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</si>
  <si>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</si>
  <si>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</si>
  <si>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</si>
  <si>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</si>
  <si>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</si>
  <si>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</si>
  <si>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</si>
  <si>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</si>
  <si>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</si>
  <si>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</si>
  <si>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</si>
  <si>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</si>
  <si>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</si>
  <si>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</si>
  <si>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</si>
  <si>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</si>
  <si>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</si>
  <si>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</si>
  <si>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</si>
  <si>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</si>
  <si>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</si>
  <si>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</si>
  <si>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</si>
  <si>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</si>
  <si>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</si>
  <si>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</si>
  <si>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</si>
  <si>
    <t>Ferrari Bros, L.P.</t>
  </si>
  <si>
    <t>Roy Ferrari and Ray Ferrari</t>
  </si>
  <si>
    <t>Roy Ferarri</t>
  </si>
  <si>
    <t>Ray Ferrari</t>
  </si>
  <si>
    <t>General Partner</t>
  </si>
  <si>
    <t>1265 Montecito Ave</t>
  </si>
  <si>
    <t>Mountain View, CA 94043</t>
  </si>
  <si>
    <t>408-550-8300</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</si>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</sst>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rgb="FF000000"/>
      </right>
      <top style="thin">
        <color indexed="64"/>
      </top>
      <bottom style="thin">
        <color indexed="64"/>
      </bottom>
      <diagonal/>
    </border>
  </borders>
  <cellStyleXfs count="17164">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7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5"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5"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4"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5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2" xfId="4496" applyFont="1" applyBorder="1" applyAlignment="1">
      <alignment horizontal="center" vertical="top" wrapText="1"/>
    </xf>
    <xf numFmtId="0" fontId="124" fillId="0" borderId="72" xfId="4496" applyFont="1" applyBorder="1" applyAlignment="1">
      <alignment horizontal="center"/>
    </xf>
    <xf numFmtId="0" fontId="155"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7" xfId="4496" applyFont="1" applyBorder="1" applyAlignment="1">
      <alignment vertical="center"/>
    </xf>
    <xf numFmtId="0" fontId="85" fillId="0" borderId="41" xfId="4496" applyFont="1" applyBorder="1" applyAlignment="1">
      <alignment vertical="center"/>
    </xf>
    <xf numFmtId="182" fontId="85" fillId="0" borderId="87"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6"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2" xfId="8722" applyNumberFormat="1" applyFont="1" applyBorder="1" applyProtection="1"/>
    <xf numFmtId="9" fontId="85" fillId="0" borderId="15" xfId="4494" applyFont="1" applyFill="1" applyBorder="1" applyAlignment="1" applyProtection="1">
      <alignment horizontal="right"/>
    </xf>
    <xf numFmtId="182" fontId="124" fillId="0" borderId="72" xfId="4496" applyNumberFormat="1" applyFont="1" applyBorder="1"/>
    <xf numFmtId="0" fontId="155"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1" xfId="4496" applyFont="1" applyBorder="1" applyAlignment="1">
      <alignment horizontal="right" indent="1"/>
    </xf>
    <xf numFmtId="0" fontId="85" fillId="0" borderId="81" xfId="4496" applyFont="1" applyBorder="1" applyAlignment="1">
      <alignment horizontal="right" indent="1"/>
    </xf>
    <xf numFmtId="0" fontId="85" fillId="0" borderId="81" xfId="4496" quotePrefix="1" applyFont="1" applyBorder="1" applyAlignment="1">
      <alignment horizontal="right" indent="1"/>
    </xf>
    <xf numFmtId="0" fontId="85" fillId="0" borderId="73" xfId="4496" applyFont="1" applyBorder="1" applyAlignment="1">
      <alignment horizontal="right" indent="1"/>
    </xf>
    <xf numFmtId="182" fontId="85" fillId="0" borderId="75" xfId="4496" applyNumberFormat="1" applyFont="1" applyBorder="1"/>
    <xf numFmtId="182" fontId="85" fillId="0" borderId="92" xfId="4496" applyNumberFormat="1" applyFont="1" applyBorder="1"/>
    <xf numFmtId="182" fontId="85" fillId="0" borderId="94"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2"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4"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7" fillId="0" borderId="0" xfId="0" applyFont="1"/>
    <xf numFmtId="0" fontId="18"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90" fillId="0" borderId="0" xfId="8723" applyFont="1"/>
    <xf numFmtId="0" fontId="2" fillId="48" borderId="67" xfId="8723" applyFill="1" applyBorder="1"/>
    <xf numFmtId="0" fontId="2" fillId="48" borderId="0" xfId="8723" applyFill="1"/>
    <xf numFmtId="0" fontId="89" fillId="48" borderId="41" xfId="8723" applyFont="1" applyFill="1" applyBorder="1" applyAlignment="1">
      <alignment horizontal="center"/>
    </xf>
    <xf numFmtId="0" fontId="89" fillId="48" borderId="0" xfId="8723" applyFont="1" applyFill="1"/>
    <xf numFmtId="182" fontId="153" fillId="48" borderId="0" xfId="8724" applyNumberFormat="1" applyFont="1" applyFill="1" applyBorder="1" applyAlignment="1"/>
    <xf numFmtId="182" fontId="90" fillId="48" borderId="0" xfId="8724" applyNumberFormat="1" applyFont="1" applyFill="1" applyBorder="1" applyAlignment="1"/>
    <xf numFmtId="182" fontId="135" fillId="48" borderId="0" xfId="8724" applyNumberFormat="1" applyFont="1" applyFill="1" applyBorder="1" applyAlignment="1"/>
    <xf numFmtId="0" fontId="2" fillId="48" borderId="41" xfId="8723" applyFill="1" applyBorder="1"/>
    <xf numFmtId="0" fontId="90" fillId="48" borderId="0" xfId="8723" applyFont="1" applyFill="1"/>
    <xf numFmtId="0" fontId="139" fillId="48" borderId="0" xfId="8723" applyFont="1" applyFill="1"/>
    <xf numFmtId="0" fontId="89" fillId="48" borderId="41" xfId="8723" applyFont="1" applyFill="1" applyBorder="1"/>
    <xf numFmtId="0" fontId="89" fillId="0" borderId="0" xfId="8723" applyFont="1"/>
    <xf numFmtId="0" fontId="89" fillId="50" borderId="102" xfId="8723" applyFont="1" applyFill="1" applyBorder="1"/>
    <xf numFmtId="0" fontId="2" fillId="51" borderId="103" xfId="8723" applyFill="1" applyBorder="1"/>
    <xf numFmtId="0" fontId="2" fillId="52" borderId="103" xfId="8723" applyFill="1" applyBorder="1"/>
    <xf numFmtId="0" fontId="89" fillId="44" borderId="0" xfId="8723" applyFont="1" applyFill="1"/>
    <xf numFmtId="0" fontId="2" fillId="44" borderId="0" xfId="8723" applyFill="1"/>
    <xf numFmtId="0" fontId="141" fillId="48" borderId="0" xfId="8723" applyFont="1" applyFill="1"/>
    <xf numFmtId="0" fontId="2" fillId="48" borderId="0" xfId="8723" applyFill="1" applyAlignment="1">
      <alignment horizontal="left"/>
    </xf>
    <xf numFmtId="0" fontId="151" fillId="47" borderId="11" xfId="8723" applyFont="1" applyFill="1" applyBorder="1"/>
    <xf numFmtId="0" fontId="151" fillId="47" borderId="92" xfId="8723" applyFont="1" applyFill="1" applyBorder="1"/>
    <xf numFmtId="0" fontId="137" fillId="45" borderId="76" xfId="8723" applyFont="1" applyFill="1" applyBorder="1" applyAlignment="1">
      <alignment horizontal="left"/>
    </xf>
    <xf numFmtId="0" fontId="137" fillId="45" borderId="77" xfId="8723" applyFont="1" applyFill="1" applyBorder="1" applyAlignment="1">
      <alignment horizontal="center"/>
    </xf>
    <xf numFmtId="0" fontId="137" fillId="45" borderId="90" xfId="8723" applyFont="1" applyFill="1" applyBorder="1" applyAlignment="1">
      <alignment horizontal="center"/>
    </xf>
    <xf numFmtId="168" fontId="147" fillId="49" borderId="91" xfId="8724" applyNumberFormat="1" applyFont="1" applyFill="1" applyBorder="1" applyAlignment="1" applyProtection="1">
      <alignment horizontal="left"/>
      <protection locked="0"/>
    </xf>
    <xf numFmtId="168" fontId="147" fillId="49" borderId="77" xfId="8724" applyNumberFormat="1" applyFont="1" applyFill="1" applyBorder="1" applyAlignment="1" applyProtection="1">
      <alignment horizontal="left"/>
      <protection locked="0"/>
    </xf>
    <xf numFmtId="168" fontId="147" fillId="49" borderId="78" xfId="8724" applyNumberFormat="1" applyFont="1" applyFill="1" applyBorder="1" applyAlignment="1" applyProtection="1">
      <alignment horizontal="left"/>
      <protection locked="0"/>
    </xf>
    <xf numFmtId="0" fontId="137" fillId="45" borderId="93" xfId="8723" applyFont="1" applyFill="1" applyBorder="1" applyAlignment="1">
      <alignment horizontal="left"/>
    </xf>
    <xf numFmtId="0" fontId="137" fillId="45" borderId="4" xfId="8723" applyFont="1" applyFill="1" applyBorder="1" applyAlignment="1">
      <alignment horizontal="center"/>
    </xf>
    <xf numFmtId="0" fontId="137" fillId="45" borderId="5" xfId="8723" applyFont="1" applyFill="1" applyBorder="1" applyAlignment="1">
      <alignment horizontal="center"/>
    </xf>
    <xf numFmtId="168" fontId="147" fillId="49" borderId="3" xfId="8724" applyNumberFormat="1" applyFont="1" applyFill="1" applyBorder="1" applyAlignment="1" applyProtection="1">
      <alignment horizontal="left"/>
      <protection locked="0"/>
    </xf>
    <xf numFmtId="168" fontId="147" fillId="49" borderId="4" xfId="8724" applyNumberFormat="1" applyFont="1" applyFill="1" applyBorder="1" applyAlignment="1" applyProtection="1">
      <alignment horizontal="left"/>
      <protection locked="0"/>
    </xf>
    <xf numFmtId="168" fontId="147" fillId="49" borderId="80" xfId="8724" applyNumberFormat="1" applyFont="1" applyFill="1" applyBorder="1" applyAlignment="1" applyProtection="1">
      <alignment horizontal="left"/>
      <protection locked="0"/>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37" fillId="47" borderId="93" xfId="8723" applyFont="1" applyFill="1" applyBorder="1" applyAlignment="1">
      <alignment horizontal="center"/>
    </xf>
    <xf numFmtId="0" fontId="137" fillId="47" borderId="4" xfId="8723" applyFont="1" applyFill="1" applyBorder="1" applyAlignment="1">
      <alignment horizontal="center"/>
    </xf>
    <xf numFmtId="0" fontId="137" fillId="47" borderId="5" xfId="8723" applyFont="1" applyFill="1" applyBorder="1" applyAlignment="1">
      <alignment horizontal="center"/>
    </xf>
    <xf numFmtId="168" fontId="136" fillId="47" borderId="3" xfId="8724" applyNumberFormat="1" applyFont="1" applyFill="1" applyBorder="1" applyAlignment="1">
      <alignment horizontal="left"/>
    </xf>
    <xf numFmtId="168" fontId="136" fillId="47" borderId="4" xfId="8724" applyNumberFormat="1" applyFont="1" applyFill="1" applyBorder="1" applyAlignment="1">
      <alignment horizontal="left"/>
    </xf>
    <xf numFmtId="168" fontId="136" fillId="47" borderId="80" xfId="8724" applyNumberFormat="1" applyFont="1" applyFill="1" applyBorder="1" applyAlignment="1">
      <alignment horizontal="left"/>
    </xf>
    <xf numFmtId="0" fontId="152" fillId="48" borderId="0" xfId="8723" applyFont="1" applyFill="1"/>
    <xf numFmtId="0" fontId="89" fillId="48" borderId="67" xfId="8723" applyFont="1" applyFill="1" applyBorder="1"/>
    <xf numFmtId="49" fontId="8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43" fillId="0" borderId="0" xfId="8723" applyFont="1"/>
    <xf numFmtId="0" fontId="13" fillId="0" borderId="3"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applyAlignment="1">
      <alignment horizontal="center"/>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4" xfId="0" applyFont="1" applyFill="1" applyBorder="1" applyAlignment="1" applyProtection="1">
      <alignment wrapText="1"/>
      <protection locked="0"/>
    </xf>
    <xf numFmtId="0" fontId="13"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3" borderId="3" xfId="0" applyFill="1" applyBorder="1"/>
    <xf numFmtId="0" fontId="0" fillId="53" borderId="4" xfId="0" applyFill="1" applyBorder="1"/>
    <xf numFmtId="0" fontId="0" fillId="53" borderId="5" xfId="0" applyFill="1" applyBorder="1"/>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53" borderId="106" xfId="0" applyFill="1" applyBorder="1"/>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40"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9" fontId="150" fillId="44" borderId="8" xfId="0" applyNumberFormat="1" applyFont="1" applyFill="1" applyBorder="1" applyAlignment="1">
      <alignment horizontal="center"/>
    </xf>
    <xf numFmtId="9" fontId="15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6" fontId="0" fillId="53" borderId="3" xfId="0" applyNumberFormat="1" applyFill="1" applyBorder="1"/>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36" fillId="10" borderId="6" xfId="543" applyNumberFormat="1" applyFont="1" applyFill="1" applyBorder="1" applyAlignment="1">
      <alignment horizontal="left" vertical="center" wrapText="1"/>
    </xf>
    <xf numFmtId="6" fontId="0" fillId="53" borderId="4" xfId="0" applyNumberFormat="1" applyFill="1" applyBorder="1"/>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6" fontId="13"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13" fillId="53" borderId="3" xfId="0" applyFont="1" applyFill="1" applyBorder="1" applyAlignment="1">
      <alignment wrapText="1"/>
    </xf>
    <xf numFmtId="0" fontId="13" fillId="53" borderId="4" xfId="0" applyFont="1" applyFill="1" applyBorder="1" applyAlignment="1">
      <alignment wrapText="1"/>
    </xf>
    <xf numFmtId="0" fontId="13" fillId="53" borderId="5" xfId="0" applyFont="1" applyFill="1" applyBorder="1" applyAlignment="1">
      <alignment wrapText="1"/>
    </xf>
    <xf numFmtId="172" fontId="0" fillId="5" borderId="6"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68" fontId="13"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3" fillId="0" borderId="0" xfId="543" applyNumberFormat="1" applyAlignment="1">
      <alignment horizontal="right"/>
    </xf>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4" fontId="21" fillId="5" borderId="3" xfId="0" applyNumberFormat="1" applyFont="1" applyFill="1" applyBorder="1" applyAlignment="1" applyProtection="1">
      <alignment horizontal="left" wrapText="1"/>
      <protection locked="0"/>
    </xf>
    <xf numFmtId="0" fontId="150" fillId="44" borderId="8" xfId="0" applyFont="1" applyFill="1" applyBorder="1" applyAlignment="1">
      <alignment horizontal="center" vertical="top" wrapText="1"/>
    </xf>
    <xf numFmtId="0" fontId="15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14" fillId="5" borderId="4" xfId="244"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1" fillId="0" borderId="0" xfId="0" applyFont="1" applyAlignment="1">
      <alignment horizontal="center"/>
    </xf>
    <xf numFmtId="0" fontId="13" fillId="5" borderId="0" xfId="244" applyFont="1"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6" xfId="0"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0" xfId="0" applyFont="1" applyAlignment="1">
      <alignment horizontal="center" vertical="center"/>
    </xf>
    <xf numFmtId="0" fontId="22" fillId="5" borderId="6" xfId="271" applyFill="1" applyBorder="1" applyProtection="1">
      <protection locked="0"/>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3" fontId="13"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0" fillId="0" borderId="5" xfId="0" applyBorder="1" applyAlignment="1">
      <alignment horizontal="left"/>
    </xf>
    <xf numFmtId="1" fontId="13"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0" fillId="0" borderId="9" xfId="0" applyFont="1" applyBorder="1" applyAlignment="1">
      <alignment horizontal="center"/>
    </xf>
    <xf numFmtId="178" fontId="13" fillId="5" borderId="4" xfId="0" applyNumberFormat="1" applyFont="1" applyFill="1" applyBorder="1" applyAlignment="1" applyProtection="1">
      <alignment horizontal="right"/>
      <protection locked="0"/>
    </xf>
    <xf numFmtId="0" fontId="20" fillId="0" borderId="10" xfId="0" applyFont="1" applyBorder="1" applyAlignment="1">
      <alignment horizontal="center"/>
    </xf>
    <xf numFmtId="0" fontId="13" fillId="43" borderId="4" xfId="0" applyFont="1" applyFill="1" applyBorder="1" applyAlignment="1" applyProtection="1">
      <alignment horizontal="left" wrapText="1"/>
      <protection locked="0"/>
    </xf>
    <xf numFmtId="168" fontId="160" fillId="0" borderId="0" xfId="0" applyNumberFormat="1" applyFont="1" applyAlignment="1">
      <alignment horizontal="center" vertic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2" fontId="0" fillId="0" borderId="6" xfId="0" applyNumberFormat="1" applyBorder="1" applyAlignment="1">
      <alignment horizontal="center"/>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43" borderId="10" xfId="0"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1" fontId="13" fillId="5" borderId="11" xfId="0" quotePrefix="1" applyNumberFormat="1" applyFon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0" fillId="0" borderId="0" xfId="0"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3" xfId="4495" applyFill="1" applyBorder="1" applyAlignment="1" applyProtection="1">
      <alignment horizontal="center"/>
      <protection locked="0"/>
    </xf>
    <xf numFmtId="0" fontId="10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3" xfId="4495" applyFill="1" applyBorder="1" applyAlignment="1">
      <alignment horizontal="center"/>
    </xf>
    <xf numFmtId="0" fontId="107" fillId="5" borderId="64"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1" xfId="4496" applyFont="1" applyBorder="1" applyAlignment="1">
      <alignment horizontal="right"/>
    </xf>
    <xf numFmtId="0" fontId="85" fillId="0" borderId="11" xfId="4496" applyFont="1" applyBorder="1" applyAlignment="1">
      <alignment horizontal="right"/>
    </xf>
    <xf numFmtId="0" fontId="85" fillId="0" borderId="73" xfId="4496" applyFont="1" applyBorder="1" applyAlignment="1">
      <alignment horizontal="right"/>
    </xf>
    <xf numFmtId="0" fontId="85" fillId="0" borderId="74" xfId="4496" applyFont="1" applyBorder="1" applyAlignment="1">
      <alignment horizontal="right"/>
    </xf>
    <xf numFmtId="0" fontId="85" fillId="0" borderId="11" xfId="4496" applyFont="1" applyBorder="1"/>
    <xf numFmtId="0" fontId="85" fillId="0" borderId="92" xfId="4496" applyFont="1" applyBorder="1"/>
    <xf numFmtId="0" fontId="85" fillId="0" borderId="74" xfId="4496" applyFont="1" applyBorder="1"/>
    <xf numFmtId="0" fontId="85" fillId="0" borderId="94" xfId="4496" applyFont="1" applyBorder="1"/>
    <xf numFmtId="0" fontId="85" fillId="0" borderId="71" xfId="4496" applyFont="1" applyBorder="1" applyAlignment="1">
      <alignment horizontal="right"/>
    </xf>
    <xf numFmtId="0" fontId="85" fillId="0" borderId="72" xfId="4496" applyFont="1" applyBorder="1" applyAlignment="1">
      <alignment horizontal="right"/>
    </xf>
    <xf numFmtId="0" fontId="124" fillId="0" borderId="91" xfId="4496" applyFont="1" applyBorder="1" applyAlignment="1">
      <alignment horizontal="center" vertical="top" wrapText="1"/>
    </xf>
    <xf numFmtId="0" fontId="124" fillId="0" borderId="90" xfId="4496" applyFont="1" applyBorder="1" applyAlignment="1">
      <alignment horizontal="center" vertical="top" wrapText="1"/>
    </xf>
    <xf numFmtId="0" fontId="85" fillId="0" borderId="72" xfId="4496" applyFont="1" applyBorder="1"/>
    <xf numFmtId="0" fontId="85" fillId="0" borderId="75"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2"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5" xfId="4499" applyNumberFormat="1" applyFont="1" applyFill="1" applyBorder="1" applyAlignment="1" applyProtection="1">
      <alignment horizontal="left" vertical="center" indent="1"/>
    </xf>
    <xf numFmtId="168" fontId="85" fillId="0" borderId="84" xfId="4499" applyNumberFormat="1" applyFont="1" applyFill="1" applyBorder="1" applyAlignment="1" applyProtection="1">
      <alignment horizontal="left" vertical="center" indent="1"/>
    </xf>
    <xf numFmtId="0" fontId="8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38" fillId="44" borderId="0" xfId="8723" applyFont="1" applyFill="1" applyAlignment="1">
      <alignment horizontal="left" vertical="top"/>
    </xf>
    <xf numFmtId="0" fontId="8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33" fillId="48" borderId="0" xfId="8723" applyFont="1" applyFill="1" applyAlignment="1">
      <alignment horizontal="left" vertical="top" wrapText="1"/>
    </xf>
    <xf numFmtId="0" fontId="8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62" fillId="48" borderId="66" xfId="8723" applyFont="1" applyFill="1" applyBorder="1" applyAlignment="1">
      <alignment horizontal="center"/>
    </xf>
    <xf numFmtId="0" fontId="162" fillId="48" borderId="29" xfId="8723" applyFont="1" applyFill="1" applyBorder="1" applyAlignment="1">
      <alignment horizontal="center"/>
    </xf>
    <xf numFmtId="0" fontId="16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33" fillId="48" borderId="67" xfId="8723" applyFont="1" applyFill="1" applyBorder="1" applyAlignment="1">
      <alignment horizontal="center"/>
    </xf>
    <xf numFmtId="0" fontId="133" fillId="48" borderId="0" xfId="8723" applyFont="1" applyFill="1" applyAlignment="1">
      <alignment horizontal="center"/>
    </xf>
    <xf numFmtId="0" fontId="133" fillId="48" borderId="41" xfId="8723" applyFont="1" applyFill="1" applyBorder="1" applyAlignment="1">
      <alignment horizontal="center"/>
    </xf>
    <xf numFmtId="0" fontId="89" fillId="48" borderId="67" xfId="8723" applyFont="1" applyFill="1" applyBorder="1" applyAlignment="1">
      <alignment horizontal="center"/>
    </xf>
    <xf numFmtId="0" fontId="89" fillId="48" borderId="0" xfId="8723" applyFont="1" applyFill="1" applyAlignment="1">
      <alignment horizontal="center"/>
    </xf>
    <xf numFmtId="0" fontId="89" fillId="48" borderId="41" xfId="8723" applyFont="1" applyFill="1" applyBorder="1" applyAlignment="1">
      <alignment horizontal="center"/>
    </xf>
    <xf numFmtId="0" fontId="89" fillId="48" borderId="0" xfId="8723" applyFont="1" applyFill="1" applyAlignment="1">
      <alignment horizontal="left"/>
    </xf>
    <xf numFmtId="0" fontId="137" fillId="45" borderId="73" xfId="8723" applyFont="1" applyFill="1" applyBorder="1" applyAlignment="1">
      <alignment horizontal="right"/>
    </xf>
    <xf numFmtId="0" fontId="137" fillId="45" borderId="74" xfId="8723" applyFont="1" applyFill="1" applyBorder="1" applyAlignment="1">
      <alignment horizontal="right"/>
    </xf>
    <xf numFmtId="0" fontId="138" fillId="44" borderId="74" xfId="700" applyNumberFormat="1" applyFont="1" applyFill="1" applyBorder="1" applyAlignment="1">
      <alignment horizontal="left"/>
    </xf>
    <xf numFmtId="168" fontId="138" fillId="44" borderId="74" xfId="700" applyNumberFormat="1" applyFont="1" applyFill="1" applyBorder="1" applyAlignment="1">
      <alignment horizontal="left"/>
    </xf>
    <xf numFmtId="168" fontId="138" fillId="44" borderId="94" xfId="700" applyNumberFormat="1" applyFont="1" applyFill="1" applyBorder="1" applyAlignment="1">
      <alignment horizontal="left"/>
    </xf>
    <xf numFmtId="0" fontId="161" fillId="49" borderId="81" xfId="8723" applyFont="1" applyFill="1" applyBorder="1" applyAlignment="1">
      <alignment horizontal="left"/>
    </xf>
    <xf numFmtId="0" fontId="161" fillId="49" borderId="11" xfId="8723" applyFont="1" applyFill="1" applyBorder="1" applyAlignment="1">
      <alignment horizontal="left"/>
    </xf>
    <xf numFmtId="168" fontId="147" fillId="49" borderId="11" xfId="700" applyNumberFormat="1" applyFont="1" applyFill="1" applyBorder="1" applyAlignment="1" applyProtection="1">
      <alignment horizontal="left"/>
      <protection locked="0"/>
    </xf>
    <xf numFmtId="168" fontId="147" fillId="49" borderId="92" xfId="700" applyNumberFormat="1" applyFont="1" applyFill="1" applyBorder="1" applyAlignment="1" applyProtection="1">
      <alignment horizontal="left"/>
      <protection locked="0"/>
    </xf>
    <xf numFmtId="0" fontId="133" fillId="45" borderId="73" xfId="8723" applyFont="1" applyFill="1" applyBorder="1" applyAlignment="1">
      <alignment horizontal="right"/>
    </xf>
    <xf numFmtId="0" fontId="133" fillId="45" borderId="74" xfId="8723" applyFont="1" applyFill="1" applyBorder="1" applyAlignment="1">
      <alignment horizontal="right"/>
    </xf>
    <xf numFmtId="168" fontId="134" fillId="44" borderId="74" xfId="700" applyNumberFormat="1" applyFont="1" applyFill="1" applyBorder="1" applyAlignment="1" applyProtection="1">
      <alignment horizontal="left"/>
      <protection locked="0"/>
    </xf>
    <xf numFmtId="168" fontId="134" fillId="44" borderId="94" xfId="700" applyNumberFormat="1" applyFont="1" applyFill="1" applyBorder="1" applyAlignment="1" applyProtection="1">
      <alignment horizontal="left"/>
      <protection locked="0"/>
    </xf>
    <xf numFmtId="0" fontId="153" fillId="45" borderId="71" xfId="8723" applyFont="1" applyFill="1" applyBorder="1" applyAlignment="1">
      <alignment horizontal="right"/>
    </xf>
    <xf numFmtId="0" fontId="153" fillId="45" borderId="72" xfId="8723" applyFont="1" applyFill="1" applyBorder="1" applyAlignment="1">
      <alignment horizontal="right"/>
    </xf>
    <xf numFmtId="168" fontId="136" fillId="44" borderId="72" xfId="700" applyNumberFormat="1" applyFont="1" applyFill="1" applyBorder="1" applyAlignment="1">
      <alignment horizontal="left"/>
    </xf>
    <xf numFmtId="168" fontId="136" fillId="44" borderId="75" xfId="700" applyNumberFormat="1" applyFont="1" applyFill="1" applyBorder="1" applyAlignment="1">
      <alignment horizontal="left"/>
    </xf>
    <xf numFmtId="0" fontId="151" fillId="49" borderId="82" xfId="8723" applyFont="1" applyFill="1" applyBorder="1" applyAlignment="1" applyProtection="1">
      <alignment horizontal="center"/>
      <protection locked="0"/>
    </xf>
    <xf numFmtId="0" fontId="151" fillId="49" borderId="83" xfId="8723" applyFont="1" applyFill="1" applyBorder="1" applyAlignment="1" applyProtection="1">
      <alignment horizontal="center"/>
      <protection locked="0"/>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168" fontId="151" fillId="49" borderId="83" xfId="700" applyNumberFormat="1" applyFont="1" applyFill="1" applyBorder="1" applyAlignment="1" applyProtection="1">
      <alignment horizontal="left"/>
      <protection locked="0"/>
    </xf>
    <xf numFmtId="168" fontId="151" fillId="49" borderId="86" xfId="700" applyNumberFormat="1" applyFont="1" applyFill="1" applyBorder="1" applyAlignment="1" applyProtection="1">
      <alignment horizontal="left"/>
      <protection locked="0"/>
    </xf>
    <xf numFmtId="0" fontId="151" fillId="49" borderId="82" xfId="8723" applyFont="1" applyFill="1" applyBorder="1" applyAlignment="1" applyProtection="1">
      <alignment horizontal="left"/>
      <protection locked="0"/>
    </xf>
    <xf numFmtId="0" fontId="151" fillId="49" borderId="83" xfId="8723" applyFont="1" applyFill="1" applyBorder="1" applyAlignment="1" applyProtection="1">
      <alignment horizontal="left"/>
      <protection locked="0"/>
    </xf>
    <xf numFmtId="0" fontId="151" fillId="49" borderId="86" xfId="8723" applyFont="1" applyFill="1" applyBorder="1" applyAlignment="1" applyProtection="1">
      <alignment horizontal="left"/>
      <protection locked="0"/>
    </xf>
    <xf numFmtId="0" fontId="151" fillId="49" borderId="81"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0" fontId="153" fillId="49" borderId="11" xfId="8723" applyFont="1" applyFill="1" applyBorder="1" applyAlignment="1" applyProtection="1">
      <alignment horizontal="left"/>
      <protection locked="0"/>
    </xf>
    <xf numFmtId="168" fontId="151" fillId="49" borderId="11" xfId="700" applyNumberFormat="1" applyFont="1" applyFill="1" applyBorder="1" applyAlignment="1" applyProtection="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9" borderId="11" xfId="8723" applyFont="1" applyFill="1" applyBorder="1" applyAlignment="1" applyProtection="1">
      <alignment horizontal="center"/>
      <protection locked="0"/>
    </xf>
    <xf numFmtId="164" fontId="138" fillId="45" borderId="29" xfId="8724" applyNumberFormat="1" applyFont="1" applyFill="1" applyBorder="1" applyAlignment="1" applyProtection="1">
      <alignment horizontal="center" wrapText="1"/>
      <protection locked="0"/>
    </xf>
    <xf numFmtId="164" fontId="138" fillId="45" borderId="31" xfId="8724" applyNumberFormat="1" applyFont="1" applyFill="1" applyBorder="1" applyAlignment="1" applyProtection="1">
      <alignment horizontal="center" wrapText="1"/>
      <protection locked="0"/>
    </xf>
    <xf numFmtId="164" fontId="138" fillId="45" borderId="6" xfId="8724" applyNumberFormat="1" applyFont="1" applyFill="1" applyBorder="1" applyAlignment="1" applyProtection="1">
      <alignment horizontal="center" wrapText="1"/>
      <protection locked="0"/>
    </xf>
    <xf numFmtId="164" fontId="138" fillId="45" borderId="105" xfId="8724" applyNumberFormat="1" applyFont="1" applyFill="1" applyBorder="1" applyAlignment="1" applyProtection="1">
      <alignment horizontal="center" wrapText="1"/>
      <protection locked="0"/>
    </xf>
    <xf numFmtId="0" fontId="151" fillId="45" borderId="81" xfId="8723" applyFont="1" applyFill="1" applyBorder="1" applyAlignment="1">
      <alignment horizontal="right"/>
    </xf>
    <xf numFmtId="0" fontId="151" fillId="45" borderId="11" xfId="8723" applyFont="1" applyFill="1" applyBorder="1" applyAlignment="1">
      <alignment horizontal="right"/>
    </xf>
    <xf numFmtId="0" fontId="138" fillId="45" borderId="82" xfId="8723" applyFont="1" applyFill="1" applyBorder="1" applyAlignment="1">
      <alignment horizontal="center"/>
    </xf>
    <xf numFmtId="0" fontId="138" fillId="45" borderId="83" xfId="8723" applyFont="1" applyFill="1" applyBorder="1" applyAlignment="1">
      <alignment horizontal="center"/>
    </xf>
    <xf numFmtId="168" fontId="147" fillId="44" borderId="74" xfId="8724" applyNumberFormat="1" applyFont="1" applyFill="1" applyBorder="1" applyAlignment="1">
      <alignment horizontal="left"/>
    </xf>
    <xf numFmtId="168" fontId="147" fillId="44" borderId="94" xfId="8724" applyNumberFormat="1" applyFont="1" applyFill="1" applyBorder="1" applyAlignment="1">
      <alignment horizontal="left"/>
    </xf>
    <xf numFmtId="168" fontId="151" fillId="44" borderId="11" xfId="700" applyNumberFormat="1" applyFont="1" applyFill="1" applyBorder="1" applyAlignment="1">
      <alignment horizontal="left"/>
    </xf>
    <xf numFmtId="0" fontId="137" fillId="45" borderId="66" xfId="8723" applyFont="1" applyFill="1" applyBorder="1" applyAlignment="1">
      <alignment horizontal="center"/>
    </xf>
    <xf numFmtId="0" fontId="137" fillId="45" borderId="29" xfId="8723" applyFont="1" applyFill="1" applyBorder="1" applyAlignment="1">
      <alignment horizontal="center"/>
    </xf>
    <xf numFmtId="0" fontId="137" fillId="45" borderId="28" xfId="8723" applyFont="1" applyFill="1" applyBorder="1" applyAlignment="1">
      <alignment horizontal="center"/>
    </xf>
    <xf numFmtId="0" fontId="137" fillId="45" borderId="104" xfId="8723" applyFont="1" applyFill="1" applyBorder="1" applyAlignment="1">
      <alignment horizontal="center"/>
    </xf>
    <xf numFmtId="0" fontId="137" fillId="45" borderId="6" xfId="8723" applyFont="1" applyFill="1" applyBorder="1" applyAlignment="1">
      <alignment horizontal="center"/>
    </xf>
    <xf numFmtId="0" fontId="137" fillId="45" borderId="10" xfId="8723" applyFont="1" applyFill="1" applyBorder="1" applyAlignment="1">
      <alignment horizontal="center"/>
    </xf>
    <xf numFmtId="164" fontId="138" fillId="45" borderId="100" xfId="8724" applyNumberFormat="1" applyFont="1" applyFill="1" applyBorder="1" applyAlignment="1" applyProtection="1">
      <alignment horizontal="center" wrapText="1"/>
      <protection locked="0"/>
    </xf>
    <xf numFmtId="164" fontId="138" fillId="45" borderId="28" xfId="8724" applyNumberFormat="1" applyFont="1" applyFill="1" applyBorder="1" applyAlignment="1" applyProtection="1">
      <alignment horizontal="center" wrapText="1"/>
      <protection locked="0"/>
    </xf>
    <xf numFmtId="164" fontId="138" fillId="45" borderId="9" xfId="8724" applyNumberFormat="1" applyFont="1" applyFill="1" applyBorder="1" applyAlignment="1" applyProtection="1">
      <alignment horizontal="center" wrapText="1"/>
      <protection locked="0"/>
    </xf>
    <xf numFmtId="164" fontId="138" fillId="45" borderId="10" xfId="8724" applyNumberFormat="1" applyFont="1" applyFill="1" applyBorder="1" applyAlignment="1" applyProtection="1">
      <alignment horizontal="center" wrapText="1"/>
      <protection locked="0"/>
    </xf>
    <xf numFmtId="168" fontId="153" fillId="44" borderId="11" xfId="700" applyNumberFormat="1" applyFont="1" applyFill="1" applyBorder="1" applyAlignment="1">
      <alignment horizontal="left"/>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53" fillId="45" borderId="81" xfId="8723" applyFont="1" applyFill="1" applyBorder="1" applyAlignment="1">
      <alignment horizontal="right"/>
    </xf>
    <xf numFmtId="0" fontId="153" fillId="45" borderId="11" xfId="8723" applyFont="1" applyFill="1" applyBorder="1" applyAlignment="1">
      <alignment horizontal="right"/>
    </xf>
    <xf numFmtId="168" fontId="153" fillId="49" borderId="11" xfId="700" applyNumberFormat="1" applyFont="1" applyFill="1" applyBorder="1" applyAlignment="1" applyProtection="1">
      <alignment horizontal="left"/>
      <protection locked="0"/>
    </xf>
    <xf numFmtId="0" fontId="151" fillId="49" borderId="73" xfId="8723" applyFont="1" applyFill="1" applyBorder="1" applyAlignment="1" applyProtection="1">
      <alignment horizontal="center"/>
      <protection locked="0"/>
    </xf>
    <xf numFmtId="0" fontId="151" fillId="49" borderId="74" xfId="8723" applyFont="1" applyFill="1" applyBorder="1" applyAlignment="1" applyProtection="1">
      <alignment horizontal="center"/>
      <protection locked="0"/>
    </xf>
    <xf numFmtId="14" fontId="151" fillId="49" borderId="74" xfId="8723" applyNumberFormat="1" applyFont="1" applyFill="1" applyBorder="1" applyAlignment="1" applyProtection="1">
      <alignment horizontal="center"/>
      <protection locked="0"/>
    </xf>
    <xf numFmtId="14" fontId="151" fillId="49" borderId="94" xfId="8723" applyNumberFormat="1" applyFont="1" applyFill="1" applyBorder="1" applyAlignment="1" applyProtection="1">
      <alignment horizontal="center"/>
      <protection locked="0"/>
    </xf>
    <xf numFmtId="0" fontId="89" fillId="0" borderId="0" xfId="8723" applyFont="1" applyAlignment="1">
      <alignment horizontal="left" wrapText="1"/>
    </xf>
    <xf numFmtId="0" fontId="89" fillId="45" borderId="71" xfId="8723" applyFont="1" applyFill="1" applyBorder="1" applyAlignment="1">
      <alignment horizontal="center"/>
    </xf>
    <xf numFmtId="0" fontId="89" fillId="45" borderId="72" xfId="8723" applyFont="1" applyFill="1" applyBorder="1" applyAlignment="1">
      <alignment horizontal="center"/>
    </xf>
    <xf numFmtId="0" fontId="133" fillId="45" borderId="72" xfId="8723" applyFont="1" applyFill="1" applyBorder="1" applyAlignment="1">
      <alignment horizontal="center"/>
    </xf>
    <xf numFmtId="0" fontId="133" fillId="45" borderId="75" xfId="8723" applyFont="1" applyFill="1" applyBorder="1" applyAlignment="1">
      <alignment horizontal="center"/>
    </xf>
    <xf numFmtId="14" fontId="151" fillId="49" borderId="11" xfId="8723" applyNumberFormat="1" applyFont="1" applyFill="1" applyBorder="1" applyAlignment="1" applyProtection="1">
      <alignment horizontal="center"/>
      <protection locked="0"/>
    </xf>
    <xf numFmtId="14" fontId="151" fillId="49" borderId="92" xfId="8723" applyNumberFormat="1" applyFont="1" applyFill="1" applyBorder="1" applyAlignment="1" applyProtection="1">
      <alignment horizontal="center"/>
      <protection locked="0"/>
    </xf>
    <xf numFmtId="0" fontId="89" fillId="45" borderId="75" xfId="8723" applyFont="1" applyFill="1" applyBorder="1" applyAlignment="1">
      <alignment horizontal="center"/>
    </xf>
    <xf numFmtId="0" fontId="133" fillId="45" borderId="71" xfId="8723" applyFont="1" applyFill="1" applyBorder="1" applyAlignment="1">
      <alignment horizontal="left"/>
    </xf>
    <xf numFmtId="0" fontId="133" fillId="45" borderId="72" xfId="8723" applyFont="1" applyFill="1" applyBorder="1" applyAlignment="1">
      <alignment horizontal="left"/>
    </xf>
    <xf numFmtId="0" fontId="133" fillId="45" borderId="75" xfId="8723" applyFont="1" applyFill="1" applyBorder="1" applyAlignment="1">
      <alignment horizontal="left"/>
    </xf>
    <xf numFmtId="0" fontId="89" fillId="45" borderId="81" xfId="8723" applyFont="1" applyFill="1" applyBorder="1" applyAlignment="1">
      <alignment horizontal="center"/>
    </xf>
    <xf numFmtId="0" fontId="89" fillId="45" borderId="11" xfId="8723" applyFont="1" applyFill="1" applyBorder="1" applyAlignment="1">
      <alignment horizontal="center"/>
    </xf>
    <xf numFmtId="0" fontId="89" fillId="45" borderId="92" xfId="8723" applyFont="1" applyFill="1" applyBorder="1" applyAlignment="1">
      <alignment horizontal="center"/>
    </xf>
    <xf numFmtId="0" fontId="151" fillId="49" borderId="81" xfId="8723" applyFont="1" applyFill="1" applyBorder="1" applyAlignment="1" applyProtection="1">
      <alignment horizontal="left" vertical="top"/>
      <protection locked="0"/>
    </xf>
    <xf numFmtId="0" fontId="151" fillId="49" borderId="11" xfId="8723" applyFont="1" applyFill="1" applyBorder="1" applyAlignment="1" applyProtection="1">
      <alignment horizontal="left" vertical="top"/>
      <protection locked="0"/>
    </xf>
    <xf numFmtId="0" fontId="151" fillId="49" borderId="92" xfId="8723" applyFont="1" applyFill="1" applyBorder="1" applyAlignment="1" applyProtection="1">
      <alignment horizontal="left" vertical="top"/>
      <protection locked="0"/>
    </xf>
    <xf numFmtId="0" fontId="151" fillId="49" borderId="73" xfId="8723" applyFont="1" applyFill="1" applyBorder="1" applyAlignment="1" applyProtection="1">
      <alignment horizontal="left" vertical="top"/>
      <protection locked="0"/>
    </xf>
    <xf numFmtId="0" fontId="151" fillId="49" borderId="74" xfId="8723" applyFont="1" applyFill="1" applyBorder="1" applyAlignment="1" applyProtection="1">
      <alignment horizontal="left" vertical="top"/>
      <protection locked="0"/>
    </xf>
    <xf numFmtId="0" fontId="151" fillId="49" borderId="94" xfId="8723" applyFont="1" applyFill="1" applyBorder="1" applyAlignment="1" applyProtection="1">
      <alignment horizontal="left" vertical="top"/>
      <protection locked="0"/>
    </xf>
    <xf numFmtId="0" fontId="161" fillId="45" borderId="81" xfId="8723" applyFont="1" applyFill="1" applyBorder="1" applyAlignment="1">
      <alignment horizontal="center"/>
    </xf>
    <xf numFmtId="0" fontId="161" fillId="45" borderId="11" xfId="8723" applyFont="1" applyFill="1" applyBorder="1" applyAlignment="1">
      <alignment horizontal="center"/>
    </xf>
    <xf numFmtId="0" fontId="147" fillId="49" borderId="11" xfId="8723" applyFont="1" applyFill="1" applyBorder="1" applyAlignment="1" applyProtection="1">
      <alignment horizontal="left"/>
      <protection locked="0"/>
    </xf>
    <xf numFmtId="14" fontId="153" fillId="49" borderId="11" xfId="8723" applyNumberFormat="1" applyFont="1" applyFill="1" applyBorder="1" applyAlignment="1" applyProtection="1">
      <alignment horizontal="center"/>
      <protection locked="0"/>
    </xf>
    <xf numFmtId="168" fontId="153" fillId="49" borderId="11" xfId="8724" applyNumberFormat="1" applyFont="1" applyFill="1" applyBorder="1" applyAlignment="1" applyProtection="1">
      <alignment horizontal="center"/>
      <protection locked="0"/>
    </xf>
    <xf numFmtId="168" fontId="153" fillId="49" borderId="92" xfId="8724" applyNumberFormat="1" applyFont="1" applyFill="1" applyBorder="1" applyAlignment="1" applyProtection="1">
      <alignment horizontal="center"/>
      <protection locked="0"/>
    </xf>
    <xf numFmtId="0" fontId="161" fillId="45" borderId="73" xfId="8723" applyFont="1" applyFill="1" applyBorder="1" applyAlignment="1">
      <alignment horizontal="center"/>
    </xf>
    <xf numFmtId="0" fontId="161" fillId="45" borderId="74" xfId="8723" applyFont="1" applyFill="1" applyBorder="1" applyAlignment="1">
      <alignment horizontal="center"/>
    </xf>
    <xf numFmtId="0" fontId="147" fillId="49" borderId="74" xfId="8723" applyFont="1" applyFill="1" applyBorder="1" applyAlignment="1" applyProtection="1">
      <alignment horizontal="left"/>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68" fontId="153" fillId="49" borderId="74" xfId="8724" applyNumberFormat="1" applyFont="1" applyFill="1" applyBorder="1" applyAlignment="1" applyProtection="1">
      <alignment horizontal="center"/>
      <protection locked="0"/>
    </xf>
    <xf numFmtId="168" fontId="153" fillId="49" borderId="94" xfId="8724" applyNumberFormat="1" applyFont="1" applyFill="1" applyBorder="1" applyAlignment="1" applyProtection="1">
      <alignment horizontal="center"/>
      <protection locked="0"/>
    </xf>
    <xf numFmtId="0" fontId="149" fillId="45" borderId="73" xfId="8723" applyFont="1" applyFill="1" applyBorder="1" applyAlignment="1">
      <alignment horizontal="left"/>
    </xf>
    <xf numFmtId="0" fontId="14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33" fillId="45" borderId="71" xfId="8723" applyFont="1" applyFill="1" applyBorder="1" applyAlignment="1">
      <alignment horizontal="center"/>
    </xf>
    <xf numFmtId="0" fontId="138" fillId="45" borderId="11" xfId="8723" applyFont="1" applyFill="1" applyBorder="1" applyAlignment="1">
      <alignment horizontal="center"/>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38" fillId="45" borderId="11" xfId="8723" applyFont="1" applyFill="1" applyBorder="1" applyAlignment="1">
      <alignment horizontal="center" wrapText="1"/>
    </xf>
    <xf numFmtId="0" fontId="138" fillId="45" borderId="92" xfId="8723" applyFont="1" applyFill="1" applyBorder="1" applyAlignment="1">
      <alignment horizontal="center" wrapText="1"/>
    </xf>
    <xf numFmtId="0" fontId="136" fillId="49" borderId="72" xfId="8723" applyFont="1" applyFill="1" applyBorder="1" applyAlignment="1" applyProtection="1">
      <alignment horizontal="left"/>
      <protection locked="0"/>
    </xf>
    <xf numFmtId="0" fontId="136" fillId="49" borderId="75" xfId="8723" applyFont="1" applyFill="1" applyBorder="1" applyAlignment="1" applyProtection="1">
      <alignment horizontal="left"/>
      <protection locked="0"/>
    </xf>
    <xf numFmtId="0" fontId="142" fillId="45" borderId="81" xfId="8723" applyFont="1" applyFill="1" applyBorder="1" applyAlignment="1">
      <alignment horizontal="left"/>
    </xf>
    <xf numFmtId="0" fontId="142" fillId="45" borderId="11" xfId="8723" applyFont="1" applyFill="1" applyBorder="1" applyAlignment="1">
      <alignment horizontal="left"/>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33" fillId="45" borderId="76" xfId="8723" applyFont="1" applyFill="1" applyBorder="1" applyAlignment="1">
      <alignment horizontal="center"/>
    </xf>
    <xf numFmtId="0" fontId="133" fillId="45" borderId="77" xfId="8723" applyFont="1" applyFill="1" applyBorder="1" applyAlignment="1">
      <alignment horizontal="center"/>
    </xf>
    <xf numFmtId="0" fontId="133" fillId="45" borderId="78" xfId="8723" applyFont="1" applyFill="1" applyBorder="1" applyAlignment="1">
      <alignment horizontal="center"/>
    </xf>
    <xf numFmtId="0" fontId="89" fillId="45" borderId="71" xfId="8723" applyFont="1" applyFill="1" applyBorder="1" applyAlignment="1">
      <alignment horizontal="left" wrapText="1"/>
    </xf>
    <xf numFmtId="0" fontId="89" fillId="45" borderId="72" xfId="8723" applyFont="1" applyFill="1" applyBorder="1" applyAlignment="1">
      <alignment horizontal="left" wrapText="1"/>
    </xf>
    <xf numFmtId="0" fontId="89" fillId="45" borderId="75" xfId="8723" applyFont="1" applyFill="1" applyBorder="1" applyAlignment="1">
      <alignment horizontal="left" wrapText="1"/>
    </xf>
    <xf numFmtId="0" fontId="89" fillId="45" borderId="81" xfId="8723" applyFont="1" applyFill="1" applyBorder="1" applyAlignment="1">
      <alignment horizontal="left" wrapText="1"/>
    </xf>
    <xf numFmtId="0" fontId="89" fillId="45" borderId="11" xfId="8723" applyFont="1" applyFill="1" applyBorder="1" applyAlignment="1">
      <alignment horizontal="left" wrapText="1"/>
    </xf>
    <xf numFmtId="0" fontId="89" fillId="45" borderId="92" xfId="8723" applyFont="1" applyFill="1" applyBorder="1" applyAlignment="1">
      <alignment horizontal="left" wrapText="1"/>
    </xf>
    <xf numFmtId="0" fontId="89" fillId="45" borderId="66" xfId="8723" applyFont="1" applyFill="1" applyBorder="1" applyAlignment="1">
      <alignment horizontal="center"/>
    </xf>
    <xf numFmtId="0" fontId="89" fillId="45" borderId="29" xfId="8723" applyFont="1" applyFill="1" applyBorder="1" applyAlignment="1">
      <alignment horizontal="center"/>
    </xf>
    <xf numFmtId="0" fontId="89" fillId="45" borderId="31" xfId="8723" applyFont="1" applyFill="1" applyBorder="1" applyAlignment="1">
      <alignment horizontal="center"/>
    </xf>
    <xf numFmtId="0" fontId="137" fillId="45" borderId="11" xfId="8723" applyFont="1" applyFill="1" applyBorder="1" applyAlignment="1">
      <alignment horizontal="center"/>
    </xf>
    <xf numFmtId="0" fontId="148" fillId="45" borderId="11" xfId="8723" applyFont="1" applyFill="1" applyBorder="1" applyAlignment="1">
      <alignment horizontal="left"/>
    </xf>
    <xf numFmtId="0" fontId="148" fillId="45" borderId="92" xfId="8723" applyFont="1" applyFill="1" applyBorder="1" applyAlignment="1">
      <alignment horizontal="left"/>
    </xf>
    <xf numFmtId="0" fontId="151" fillId="49" borderId="81" xfId="8723" applyFont="1" applyFill="1" applyBorder="1" applyAlignment="1">
      <alignment horizontal="left" vertical="top"/>
    </xf>
    <xf numFmtId="0" fontId="151" fillId="49" borderId="11" xfId="8723" applyFont="1" applyFill="1" applyBorder="1" applyAlignment="1">
      <alignment horizontal="left" vertical="top"/>
    </xf>
    <xf numFmtId="0" fontId="151" fillId="49" borderId="92" xfId="8723" applyFont="1" applyFill="1" applyBorder="1" applyAlignment="1">
      <alignment horizontal="left" vertical="top"/>
    </xf>
    <xf numFmtId="0" fontId="151" fillId="49" borderId="73" xfId="8723" applyFont="1" applyFill="1" applyBorder="1" applyAlignment="1">
      <alignment horizontal="left" vertical="top"/>
    </xf>
    <xf numFmtId="0" fontId="151" fillId="49" borderId="74" xfId="8723" applyFont="1" applyFill="1" applyBorder="1" applyAlignment="1">
      <alignment horizontal="left" vertical="top"/>
    </xf>
    <xf numFmtId="0" fontId="151" fillId="49" borderId="94" xfId="8723" applyFont="1" applyFill="1" applyBorder="1" applyAlignment="1">
      <alignment horizontal="left" vertical="top"/>
    </xf>
    <xf numFmtId="0" fontId="137" fillId="45" borderId="73" xfId="8723" applyFont="1" applyFill="1" applyBorder="1" applyAlignment="1">
      <alignment horizontal="center"/>
    </xf>
    <xf numFmtId="0" fontId="137" fillId="45" borderId="74" xfId="8723" applyFont="1" applyFill="1" applyBorder="1" applyAlignment="1">
      <alignment horizontal="center"/>
    </xf>
    <xf numFmtId="0" fontId="137" fillId="45" borderId="81" xfId="8723" applyFont="1" applyFill="1" applyBorder="1" applyAlignment="1">
      <alignment horizontal="center"/>
    </xf>
    <xf numFmtId="0" fontId="136" fillId="49" borderId="72" xfId="8723" applyFont="1" applyFill="1" applyBorder="1" applyAlignment="1" applyProtection="1">
      <alignment horizontal="left" wrapText="1"/>
      <protection locked="0"/>
    </xf>
    <xf numFmtId="0" fontId="136" fillId="49" borderId="75" xfId="8723" applyFont="1" applyFill="1" applyBorder="1" applyAlignment="1" applyProtection="1">
      <alignment horizontal="left" wrapText="1"/>
      <protection locked="0"/>
    </xf>
    <xf numFmtId="0" fontId="136" fillId="49" borderId="11" xfId="8723" applyFont="1" applyFill="1" applyBorder="1" applyAlignment="1" applyProtection="1">
      <alignment horizontal="left" wrapText="1"/>
      <protection locked="0"/>
    </xf>
    <xf numFmtId="0" fontId="136" fillId="49" borderId="92" xfId="8723" applyFont="1" applyFill="1" applyBorder="1" applyAlignment="1" applyProtection="1">
      <alignment horizontal="left" wrapText="1"/>
      <protection locked="0"/>
    </xf>
    <xf numFmtId="0" fontId="137" fillId="45" borderId="11" xfId="8723" applyFont="1" applyFill="1" applyBorder="1" applyAlignment="1">
      <alignment horizontal="center" wrapText="1"/>
    </xf>
    <xf numFmtId="0" fontId="138" fillId="45" borderId="92" xfId="8723" applyFont="1" applyFill="1" applyBorder="1" applyAlignment="1">
      <alignment horizontal="center"/>
    </xf>
    <xf numFmtId="0" fontId="89" fillId="45" borderId="71" xfId="8723" applyFont="1" applyFill="1" applyBorder="1" applyAlignment="1">
      <alignment horizontal="center" wrapText="1"/>
    </xf>
    <xf numFmtId="0" fontId="89" fillId="45" borderId="72" xfId="8723" applyFont="1" applyFill="1" applyBorder="1" applyAlignment="1">
      <alignment horizontal="center" wrapText="1"/>
    </xf>
    <xf numFmtId="0" fontId="89" fillId="45" borderId="75" xfId="8723" applyFont="1" applyFill="1" applyBorder="1" applyAlignment="1">
      <alignment horizontal="center" wrapText="1"/>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168" fontId="153" fillId="49" borderId="92" xfId="700" applyNumberFormat="1" applyFont="1" applyFill="1" applyBorder="1" applyAlignment="1" applyProtection="1">
      <alignment horizontal="left"/>
      <protection locked="0"/>
    </xf>
    <xf numFmtId="0" fontId="133" fillId="45" borderId="96" xfId="8723" applyFont="1" applyFill="1" applyBorder="1" applyAlignment="1">
      <alignment horizontal="center"/>
    </xf>
    <xf numFmtId="0" fontId="133" fillId="45" borderId="13" xfId="8723" applyFont="1" applyFill="1" applyBorder="1" applyAlignment="1">
      <alignment horizontal="center"/>
    </xf>
    <xf numFmtId="0" fontId="151" fillId="49" borderId="81" xfId="8723" applyFont="1" applyFill="1" applyBorder="1" applyAlignment="1" applyProtection="1">
      <alignment horizontal="right"/>
      <protection locked="0"/>
    </xf>
    <xf numFmtId="0" fontId="151" fillId="49" borderId="11" xfId="8723" applyFont="1" applyFill="1" applyBorder="1" applyAlignment="1" applyProtection="1">
      <alignment horizontal="right"/>
      <protection locked="0"/>
    </xf>
    <xf numFmtId="0" fontId="133" fillId="45" borderId="95" xfId="8723" applyFont="1" applyFill="1" applyBorder="1" applyAlignment="1">
      <alignment horizontal="right"/>
    </xf>
    <xf numFmtId="0" fontId="133" fillId="45" borderId="43" xfId="8723" applyFont="1" applyFill="1" applyBorder="1" applyAlignment="1">
      <alignment horizontal="right"/>
    </xf>
    <xf numFmtId="168" fontId="133" fillId="45" borderId="43" xfId="8723" applyNumberFormat="1" applyFont="1" applyFill="1" applyBorder="1" applyAlignment="1">
      <alignment horizontal="left"/>
    </xf>
    <xf numFmtId="168" fontId="133" fillId="45" borderId="97" xfId="8723" applyNumberFormat="1" applyFont="1" applyFill="1" applyBorder="1" applyAlignment="1">
      <alignment horizontal="left"/>
    </xf>
    <xf numFmtId="0" fontId="151" fillId="49" borderId="72" xfId="8723" applyFont="1" applyFill="1" applyBorder="1" applyAlignment="1" applyProtection="1">
      <alignment horizontal="left"/>
      <protection locked="0"/>
    </xf>
    <xf numFmtId="0" fontId="151" fillId="49" borderId="75" xfId="8723" applyFont="1" applyFill="1" applyBorder="1" applyAlignment="1" applyProtection="1">
      <alignment horizontal="left"/>
      <protection locked="0"/>
    </xf>
    <xf numFmtId="0" fontId="133" fillId="45" borderId="73" xfId="8723" applyFont="1" applyFill="1" applyBorder="1" applyAlignment="1">
      <alignment horizontal="center"/>
    </xf>
    <xf numFmtId="0" fontId="133" fillId="45" borderId="74" xfId="8723" applyFont="1" applyFill="1" applyBorder="1" applyAlignment="1">
      <alignment horizontal="center"/>
    </xf>
    <xf numFmtId="0" fontId="151" fillId="49" borderId="74" xfId="8723" applyFont="1" applyFill="1" applyBorder="1" applyAlignment="1" applyProtection="1">
      <alignment horizontal="left"/>
      <protection locked="0"/>
    </xf>
    <xf numFmtId="0" fontId="151" fillId="49" borderId="94" xfId="8723" applyFont="1" applyFill="1" applyBorder="1" applyAlignment="1" applyProtection="1">
      <alignment horizontal="left"/>
      <protection locked="0"/>
    </xf>
    <xf numFmtId="0" fontId="136" fillId="49" borderId="90" xfId="8723" applyFont="1" applyFill="1" applyBorder="1" applyAlignment="1" applyProtection="1">
      <alignment horizontal="left"/>
      <protection locked="0"/>
    </xf>
    <xf numFmtId="0" fontId="133" fillId="45" borderId="81" xfId="8723" applyFont="1" applyFill="1" applyBorder="1" applyAlignment="1">
      <alignment horizontal="center"/>
    </xf>
    <xf numFmtId="0" fontId="133" fillId="45" borderId="11" xfId="8723" applyFont="1" applyFill="1" applyBorder="1" applyAlignment="1">
      <alignment horizontal="center"/>
    </xf>
    <xf numFmtId="0" fontId="133" fillId="45" borderId="3" xfId="8723" applyFont="1" applyFill="1" applyBorder="1" applyAlignment="1">
      <alignment horizontal="center"/>
    </xf>
    <xf numFmtId="0" fontId="133" fillId="45" borderId="4" xfId="8723" applyFont="1" applyFill="1" applyBorder="1" applyAlignment="1">
      <alignment horizontal="center"/>
    </xf>
    <xf numFmtId="0" fontId="133" fillId="45" borderId="80" xfId="8723" applyFont="1" applyFill="1" applyBorder="1" applyAlignment="1">
      <alignment horizontal="center"/>
    </xf>
    <xf numFmtId="0" fontId="89" fillId="45" borderId="73" xfId="8723" applyFont="1" applyFill="1" applyBorder="1" applyAlignment="1">
      <alignment horizontal="center"/>
    </xf>
    <xf numFmtId="0" fontId="89" fillId="45" borderId="74" xfId="8723" applyFont="1" applyFill="1" applyBorder="1" applyAlignment="1">
      <alignment horizontal="center"/>
    </xf>
    <xf numFmtId="14" fontId="136" fillId="49" borderId="84" xfId="8723" applyNumberFormat="1" applyFont="1" applyFill="1" applyBorder="1" applyAlignment="1" applyProtection="1">
      <alignment horizontal="center"/>
      <protection locked="0"/>
    </xf>
    <xf numFmtId="0" fontId="136" fillId="49" borderId="74" xfId="8723" applyFont="1" applyFill="1" applyBorder="1" applyAlignment="1" applyProtection="1">
      <alignment horizontal="center"/>
      <protection locked="0"/>
    </xf>
    <xf numFmtId="0" fontId="136" fillId="49" borderId="94" xfId="8723" applyFont="1" applyFill="1" applyBorder="1" applyAlignment="1" applyProtection="1">
      <alignment horizontal="center"/>
      <protection locked="0"/>
    </xf>
    <xf numFmtId="0" fontId="151" fillId="44" borderId="81" xfId="8723" applyFont="1" applyFill="1" applyBorder="1" applyAlignment="1" applyProtection="1">
      <alignment horizontal="right"/>
      <protection locked="0"/>
    </xf>
    <xf numFmtId="0" fontId="151" fillId="44" borderId="11" xfId="8723" applyFont="1" applyFill="1" applyBorder="1" applyAlignment="1" applyProtection="1">
      <alignment horizontal="right"/>
      <protection locked="0"/>
    </xf>
    <xf numFmtId="0" fontId="151" fillId="44" borderId="92" xfId="8723" applyFont="1" applyFill="1" applyBorder="1" applyAlignment="1" applyProtection="1">
      <alignment horizontal="right"/>
      <protection locked="0"/>
    </xf>
    <xf numFmtId="0" fontId="151" fillId="49" borderId="5" xfId="8723" applyFont="1" applyFill="1" applyBorder="1" applyAlignment="1" applyProtection="1">
      <alignment horizontal="left"/>
      <protection locked="0"/>
    </xf>
    <xf numFmtId="0" fontId="151" fillId="44" borderId="73" xfId="8723" applyFont="1" applyFill="1" applyBorder="1" applyAlignment="1" applyProtection="1">
      <alignment horizontal="right"/>
      <protection locked="0"/>
    </xf>
    <xf numFmtId="0" fontId="151" fillId="44" borderId="74" xfId="8723" applyFont="1" applyFill="1" applyBorder="1" applyAlignment="1" applyProtection="1">
      <alignment horizontal="right"/>
      <protection locked="0"/>
    </xf>
    <xf numFmtId="0" fontId="151" fillId="44" borderId="94" xfId="8723" applyFont="1" applyFill="1" applyBorder="1" applyAlignment="1" applyProtection="1">
      <alignment horizontal="right"/>
      <protection locked="0"/>
    </xf>
    <xf numFmtId="0" fontId="151" fillId="49" borderId="84" xfId="8723" applyFont="1" applyFill="1" applyBorder="1" applyAlignment="1" applyProtection="1">
      <alignment horizontal="left"/>
      <protection locked="0"/>
    </xf>
    <xf numFmtId="0" fontId="133" fillId="45" borderId="66" xfId="8723" applyFont="1" applyFill="1" applyBorder="1" applyAlignment="1">
      <alignment horizontal="center"/>
    </xf>
    <xf numFmtId="0" fontId="133" fillId="45" borderId="29" xfId="8723" applyFont="1" applyFill="1" applyBorder="1" applyAlignment="1">
      <alignment horizontal="center"/>
    </xf>
    <xf numFmtId="0" fontId="133" fillId="45" borderId="31" xfId="8723" applyFont="1" applyFill="1" applyBorder="1" applyAlignment="1">
      <alignment horizontal="center"/>
    </xf>
    <xf numFmtId="168" fontId="151" fillId="49" borderId="11" xfId="8724" applyNumberFormat="1"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2" xfId="700" applyNumberFormat="1" applyFont="1" applyFill="1" applyBorder="1" applyAlignment="1" applyProtection="1">
      <alignment horizontal="left"/>
      <protection locked="0"/>
    </xf>
    <xf numFmtId="168" fontId="137" fillId="45" borderId="74" xfId="8724" applyNumberFormat="1" applyFont="1" applyFill="1" applyBorder="1" applyAlignment="1">
      <alignment horizontal="center"/>
    </xf>
    <xf numFmtId="1" fontId="137" fillId="45" borderId="74" xfId="8724" applyNumberFormat="1" applyFont="1" applyFill="1" applyBorder="1" applyAlignment="1">
      <alignment horizontal="center"/>
    </xf>
    <xf numFmtId="0" fontId="137" fillId="45" borderId="74" xfId="8724" applyNumberFormat="1" applyFont="1" applyFill="1" applyBorder="1" applyAlignment="1">
      <alignment horizontal="center"/>
    </xf>
    <xf numFmtId="0" fontId="137" fillId="45" borderId="94" xfId="8724" applyNumberFormat="1" applyFont="1" applyFill="1" applyBorder="1" applyAlignment="1">
      <alignment horizontal="center"/>
    </xf>
    <xf numFmtId="0" fontId="138" fillId="45" borderId="11" xfId="8723" applyFont="1" applyFill="1" applyBorder="1" applyAlignment="1">
      <alignment horizontal="center" vertical="center" wrapText="1"/>
    </xf>
    <xf numFmtId="0" fontId="138" fillId="45" borderId="92" xfId="8723" applyFont="1" applyFill="1" applyBorder="1" applyAlignment="1">
      <alignment horizontal="center" vertical="center" wrapText="1"/>
    </xf>
    <xf numFmtId="1" fontId="152" fillId="49" borderId="74" xfId="8723" applyNumberFormat="1" applyFont="1" applyFill="1" applyBorder="1" applyAlignment="1" applyProtection="1">
      <alignment horizontal="center"/>
      <protection locked="0"/>
    </xf>
    <xf numFmtId="1" fontId="138" fillId="44" borderId="74" xfId="8723" applyNumberFormat="1" applyFont="1" applyFill="1" applyBorder="1" applyAlignment="1">
      <alignment horizontal="center"/>
    </xf>
    <xf numFmtId="9" fontId="138" fillId="44" borderId="74" xfId="8725" applyFont="1" applyFill="1" applyBorder="1" applyAlignment="1">
      <alignment horizontal="center"/>
    </xf>
    <xf numFmtId="9" fontId="138" fillId="44" borderId="94" xfId="8725" applyFont="1" applyFill="1" applyBorder="1" applyAlignment="1">
      <alignment horizontal="center"/>
    </xf>
    <xf numFmtId="1" fontId="152" fillId="49" borderId="11" xfId="8723" applyNumberFormat="1" applyFont="1" applyFill="1" applyBorder="1" applyAlignment="1" applyProtection="1">
      <alignment horizontal="center"/>
      <protection locked="0"/>
    </xf>
    <xf numFmtId="1" fontId="138" fillId="44" borderId="11" xfId="8723" applyNumberFormat="1" applyFont="1" applyFill="1" applyBorder="1" applyAlignment="1">
      <alignment horizontal="center"/>
    </xf>
    <xf numFmtId="9" fontId="138" fillId="44" borderId="11" xfId="8725" applyFont="1" applyFill="1" applyBorder="1" applyAlignment="1">
      <alignment horizontal="center"/>
    </xf>
    <xf numFmtId="9" fontId="138" fillId="44" borderId="92" xfId="8725" applyFont="1" applyFill="1" applyBorder="1" applyAlignment="1">
      <alignment horizontal="center"/>
    </xf>
    <xf numFmtId="0" fontId="151" fillId="49" borderId="73" xfId="8723" applyFont="1" applyFill="1" applyBorder="1" applyAlignment="1" applyProtection="1">
      <alignment horizontal="right"/>
      <protection locked="0"/>
    </xf>
    <xf numFmtId="0" fontId="151" fillId="49" borderId="74" xfId="8723" applyFont="1" applyFill="1" applyBorder="1" applyAlignment="1" applyProtection="1">
      <alignment horizontal="right"/>
      <protection locked="0"/>
    </xf>
    <xf numFmtId="0" fontId="152" fillId="49" borderId="74"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0" fontId="138" fillId="44" borderId="11" xfId="8723" applyFont="1" applyFill="1" applyBorder="1" applyAlignment="1">
      <alignment horizontal="center"/>
    </xf>
    <xf numFmtId="0" fontId="138" fillId="44" borderId="92" xfId="8723" applyFont="1" applyFill="1" applyBorder="1" applyAlignment="1">
      <alignment horizontal="center"/>
    </xf>
    <xf numFmtId="0" fontId="137" fillId="44" borderId="89" xfId="8723" applyFont="1" applyFill="1" applyBorder="1" applyAlignment="1">
      <alignment horizontal="center"/>
    </xf>
    <xf numFmtId="0" fontId="137" fillId="44" borderId="42" xfId="8723" applyFont="1" applyFill="1" applyBorder="1" applyAlignment="1">
      <alignment horizontal="center"/>
    </xf>
    <xf numFmtId="0" fontId="137" fillId="44" borderId="88" xfId="8723" applyFont="1" applyFill="1" applyBorder="1" applyAlignment="1">
      <alignment horizontal="center"/>
    </xf>
    <xf numFmtId="9" fontId="137" fillId="44" borderId="89"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8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81" xfId="8723" applyFont="1" applyFill="1" applyBorder="1" applyAlignment="1">
      <alignment horizontal="center" vertical="center"/>
    </xf>
    <xf numFmtId="0" fontId="137" fillId="45" borderId="1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92" xfId="8723" applyFont="1" applyFill="1" applyBorder="1" applyAlignment="1">
      <alignment horizontal="center" vertical="center" wrapText="1"/>
    </xf>
    <xf numFmtId="0" fontId="137" fillId="44" borderId="87" xfId="8723" applyFont="1" applyFill="1" applyBorder="1" applyAlignment="1">
      <alignment horizontal="center"/>
    </xf>
    <xf numFmtId="0" fontId="151" fillId="44" borderId="3" xfId="8723" applyFont="1" applyFill="1" applyBorder="1" applyAlignment="1">
      <alignment horizontal="center"/>
    </xf>
    <xf numFmtId="0" fontId="151" fillId="44" borderId="4" xfId="8723" applyFont="1" applyFill="1" applyBorder="1" applyAlignment="1">
      <alignment horizontal="center"/>
    </xf>
    <xf numFmtId="0" fontId="151" fillId="44" borderId="5" xfId="8723" applyFont="1" applyFill="1" applyBorder="1" applyAlignment="1">
      <alignment horizontal="center"/>
    </xf>
    <xf numFmtId="9" fontId="137" fillId="44" borderId="3" xfId="8723" applyNumberFormat="1" applyFont="1" applyFill="1" applyBorder="1" applyAlignment="1">
      <alignment horizontal="center"/>
    </xf>
    <xf numFmtId="9" fontId="137" fillId="44" borderId="4" xfId="8723" applyNumberFormat="1" applyFont="1" applyFill="1" applyBorder="1" applyAlignment="1">
      <alignment horizontal="center"/>
    </xf>
    <xf numFmtId="9" fontId="137" fillId="44" borderId="80" xfId="8723" applyNumberFormat="1" applyFont="1" applyFill="1" applyBorder="1" applyAlignment="1">
      <alignment horizontal="center"/>
    </xf>
    <xf numFmtId="0" fontId="137" fillId="44" borderId="82" xfId="8723" applyFont="1" applyFill="1" applyBorder="1" applyAlignment="1">
      <alignment horizontal="center"/>
    </xf>
    <xf numFmtId="0" fontId="137" fillId="44" borderId="83" xfId="8723" applyFont="1" applyFill="1" applyBorder="1" applyAlignment="1">
      <alignment horizontal="center"/>
    </xf>
    <xf numFmtId="0" fontId="137" fillId="44" borderId="84" xfId="8723" applyFont="1" applyFill="1" applyBorder="1" applyAlignment="1">
      <alignment horizontal="center"/>
    </xf>
    <xf numFmtId="0" fontId="151" fillId="44" borderId="85" xfId="8723" applyFont="1" applyFill="1" applyBorder="1" applyAlignment="1">
      <alignment horizontal="center"/>
    </xf>
    <xf numFmtId="0" fontId="151" fillId="44" borderId="83" xfId="8723" applyFont="1" applyFill="1" applyBorder="1" applyAlignment="1">
      <alignment horizontal="center"/>
    </xf>
    <xf numFmtId="0" fontId="151" fillId="44" borderId="84" xfId="8723" applyFont="1" applyFill="1" applyBorder="1" applyAlignment="1">
      <alignment horizontal="center"/>
    </xf>
    <xf numFmtId="9" fontId="137" fillId="44" borderId="85" xfId="8723" applyNumberFormat="1" applyFont="1" applyFill="1" applyBorder="1" applyAlignment="1">
      <alignment horizontal="center"/>
    </xf>
    <xf numFmtId="9" fontId="137" fillId="44" borderId="83" xfId="8723" applyNumberFormat="1" applyFont="1" applyFill="1" applyBorder="1" applyAlignment="1">
      <alignment horizontal="center"/>
    </xf>
    <xf numFmtId="9" fontId="137" fillId="44" borderId="86" xfId="8723" applyNumberFormat="1" applyFont="1" applyFill="1" applyBorder="1" applyAlignment="1">
      <alignment horizontal="center"/>
    </xf>
    <xf numFmtId="9" fontId="151" fillId="49" borderId="93" xfId="8723" applyNumberFormat="1" applyFont="1" applyFill="1" applyBorder="1" applyAlignment="1">
      <alignment horizontal="center"/>
    </xf>
    <xf numFmtId="9" fontId="151" fillId="49" borderId="4" xfId="8723" applyNumberFormat="1" applyFont="1" applyFill="1" applyBorder="1" applyAlignment="1">
      <alignment horizontal="center"/>
    </xf>
    <xf numFmtId="9" fontId="151" fillId="49" borderId="5" xfId="8723" applyNumberFormat="1" applyFont="1" applyFill="1" applyBorder="1" applyAlignment="1">
      <alignment horizontal="center"/>
    </xf>
    <xf numFmtId="0" fontId="137" fillId="45" borderId="79" xfId="8723" applyFont="1" applyFill="1" applyBorder="1" applyAlignment="1">
      <alignment horizontal="center"/>
    </xf>
    <xf numFmtId="0" fontId="137" fillId="45" borderId="2" xfId="8723" applyFont="1" applyFill="1" applyBorder="1" applyAlignment="1">
      <alignment horizontal="center"/>
    </xf>
    <xf numFmtId="0" fontId="137" fillId="45" borderId="7" xfId="8723" applyFont="1" applyFill="1" applyBorder="1" applyAlignment="1">
      <alignment horizontal="center"/>
    </xf>
    <xf numFmtId="0" fontId="137" fillId="45" borderId="3"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5" borderId="80" xfId="8723" applyFont="1" applyFill="1" applyBorder="1" applyAlignment="1">
      <alignment horizontal="center"/>
    </xf>
    <xf numFmtId="0" fontId="137" fillId="45" borderId="11" xfId="8723" applyFont="1" applyFill="1" applyBorder="1" applyAlignment="1">
      <alignment horizontal="right"/>
    </xf>
    <xf numFmtId="14" fontId="136" fillId="49" borderId="11" xfId="8723" applyNumberFormat="1" applyFont="1" applyFill="1" applyBorder="1" applyAlignment="1" applyProtection="1">
      <alignment horizontal="center" vertical="center"/>
      <protection locked="0"/>
    </xf>
    <xf numFmtId="0" fontId="136" fillId="49" borderId="11" xfId="8723" applyFont="1" applyFill="1" applyBorder="1" applyAlignment="1" applyProtection="1">
      <alignment horizontal="center" vertical="center"/>
      <protection locked="0"/>
    </xf>
    <xf numFmtId="0" fontId="89" fillId="45" borderId="68" xfId="8723" applyFont="1" applyFill="1" applyBorder="1" applyAlignment="1">
      <alignment horizontal="center"/>
    </xf>
    <xf numFmtId="0" fontId="89" fillId="45" borderId="69" xfId="8723" applyFont="1" applyFill="1" applyBorder="1" applyAlignment="1">
      <alignment horizontal="center"/>
    </xf>
    <xf numFmtId="0" fontId="89" fillId="45" borderId="70" xfId="8723" applyFont="1" applyFill="1" applyBorder="1" applyAlignment="1">
      <alignment horizontal="center"/>
    </xf>
    <xf numFmtId="0" fontId="136" fillId="49" borderId="68" xfId="8723" applyFont="1" applyFill="1" applyBorder="1" applyAlignment="1" applyProtection="1">
      <alignment horizontal="center"/>
      <protection locked="0"/>
    </xf>
    <xf numFmtId="0" fontId="136" fillId="49" borderId="69" xfId="8723" applyFont="1" applyFill="1" applyBorder="1" applyAlignment="1" applyProtection="1">
      <alignment horizontal="center"/>
      <protection locked="0"/>
    </xf>
    <xf numFmtId="0" fontId="136" fillId="49" borderId="70" xfId="8723" applyFont="1" applyFill="1" applyBorder="1" applyAlignment="1" applyProtection="1">
      <alignment horizontal="center"/>
      <protection locked="0"/>
    </xf>
    <xf numFmtId="0" fontId="89" fillId="45" borderId="68" xfId="8723" applyFont="1" applyFill="1" applyBorder="1" applyAlignment="1">
      <alignment horizontal="right"/>
    </xf>
    <xf numFmtId="0" fontId="89" fillId="45" borderId="69" xfId="8723" applyFont="1" applyFill="1" applyBorder="1" applyAlignment="1">
      <alignment horizontal="right"/>
    </xf>
    <xf numFmtId="0" fontId="8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5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34" fillId="45" borderId="11" xfId="8723" applyFont="1" applyFill="1" applyBorder="1" applyAlignment="1">
      <alignment horizontal="right" wrapText="1"/>
    </xf>
    <xf numFmtId="0" fontId="136" fillId="44" borderId="68" xfId="8723" applyFont="1" applyFill="1" applyBorder="1" applyAlignment="1">
      <alignment horizontal="left"/>
    </xf>
    <xf numFmtId="0" fontId="136" fillId="44" borderId="69" xfId="8723" applyFont="1" applyFill="1" applyBorder="1" applyAlignment="1">
      <alignment horizontal="left"/>
    </xf>
    <xf numFmtId="0" fontId="136" fillId="44" borderId="70" xfId="8723" applyFont="1" applyFill="1" applyBorder="1" applyAlignment="1">
      <alignment horizontal="left"/>
    </xf>
    <xf numFmtId="0" fontId="134" fillId="45" borderId="11" xfId="8723" applyFont="1" applyFill="1" applyBorder="1" applyAlignment="1">
      <alignment horizontal="right"/>
    </xf>
    <xf numFmtId="1" fontId="13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32" fillId="47" borderId="66" xfId="8723" applyFont="1" applyFill="1" applyBorder="1" applyAlignment="1">
      <alignment horizontal="center"/>
    </xf>
    <xf numFmtId="0" fontId="132" fillId="47" borderId="29" xfId="8723" applyFont="1" applyFill="1" applyBorder="1" applyAlignment="1">
      <alignment horizontal="center"/>
    </xf>
    <xf numFmtId="0" fontId="132" fillId="47" borderId="31" xfId="8723" applyFont="1" applyFill="1" applyBorder="1" applyAlignment="1">
      <alignment horizontal="center"/>
    </xf>
    <xf numFmtId="0" fontId="133" fillId="49" borderId="67" xfId="8723" applyFont="1" applyFill="1" applyBorder="1" applyAlignment="1">
      <alignment horizontal="center"/>
    </xf>
    <xf numFmtId="0" fontId="133" fillId="49" borderId="0" xfId="8723" applyFont="1" applyFill="1" applyAlignment="1">
      <alignment horizontal="center"/>
    </xf>
    <xf numFmtId="0" fontId="133" fillId="49" borderId="41" xfId="8723" applyFont="1" applyFill="1" applyBorder="1" applyAlignment="1">
      <alignment horizontal="center"/>
    </xf>
    <xf numFmtId="0" fontId="149" fillId="45" borderId="11" xfId="8723" applyFont="1" applyFill="1" applyBorder="1" applyAlignment="1">
      <alignment horizontal="right"/>
    </xf>
    <xf numFmtId="14" fontId="136" fillId="49" borderId="11" xfId="8723" applyNumberFormat="1" applyFont="1" applyFill="1" applyBorder="1" applyAlignment="1" applyProtection="1">
      <alignment horizontal="center"/>
      <protection locked="0"/>
    </xf>
    <xf numFmtId="0" fontId="13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682FA993-B60A-474F-93F1-74637DC2C145}"/>
    <cellStyle name="20% - Accent1 11" xfId="8726" xr:uid="{EAC47AC4-8BE2-4502-A665-428190C42F02}"/>
    <cellStyle name="20% - Accent1 2" xfId="2" xr:uid="{00000000-0005-0000-0000-000002000000}"/>
    <cellStyle name="20% - Accent1 2 10" xfId="8727" xr:uid="{9272FFE6-2413-4D24-B6E8-972465F00AA6}"/>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F5B78DAD-4BAC-49B0-8A93-1A2AD69A3D13}"/>
    <cellStyle name="20% - Accent1 2 2 2 2 2 3" xfId="11288" xr:uid="{3446C1D3-F1F2-4401-B2DE-8C3C27C35895}"/>
    <cellStyle name="20% - Accent1 2 2 2 2 3" xfId="4922" xr:uid="{00000000-0005-0000-0000-000008000000}"/>
    <cellStyle name="20% - Accent1 2 2 2 2 3 2" xfId="13361" xr:uid="{ED05B4AA-FF85-4835-AE31-7BC53DA540C4}"/>
    <cellStyle name="20% - Accent1 2 2 2 2 4" xfId="9143" xr:uid="{FA1B1AE4-1FFE-49B9-A536-67CB4FA0DA75}"/>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146A49F6-22C0-4C58-92FD-B0E6DA7DF782}"/>
    <cellStyle name="20% - Accent1 2 2 2 3 2 3" xfId="11701" xr:uid="{F171D145-5F5C-4A65-9D96-65971C0769D4}"/>
    <cellStyle name="20% - Accent1 2 2 2 3 3" xfId="5335" xr:uid="{00000000-0005-0000-0000-00000C000000}"/>
    <cellStyle name="20% - Accent1 2 2 2 3 3 2" xfId="13774" xr:uid="{F104153C-B47F-40AD-822C-17BF36CC8969}"/>
    <cellStyle name="20% - Accent1 2 2 2 3 4" xfId="9556" xr:uid="{A64B7416-EE90-4808-AD1E-EA3BF6AD8E18}"/>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548F5AAE-C48E-4BF0-B26F-BD1824F7DB40}"/>
    <cellStyle name="20% - Accent1 2 2 2 4 2 3" xfId="12114" xr:uid="{774FB0C3-767F-4ADA-A5EA-7590038123DD}"/>
    <cellStyle name="20% - Accent1 2 2 2 4 3" xfId="5748" xr:uid="{00000000-0005-0000-0000-000010000000}"/>
    <cellStyle name="20% - Accent1 2 2 2 4 3 2" xfId="14187" xr:uid="{100E8B5A-0F80-432E-B351-E1B1FA3450E3}"/>
    <cellStyle name="20% - Accent1 2 2 2 4 4" xfId="9969" xr:uid="{F0C9A3EB-F983-4CCE-84A8-D073264FB664}"/>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6E0AF0DA-CF7F-4CC8-A9CD-33B30B57337F}"/>
    <cellStyle name="20% - Accent1 2 2 2 5 2 3" xfId="12527" xr:uid="{D0888409-5300-4265-A5D6-CDAAAE19CE19}"/>
    <cellStyle name="20% - Accent1 2 2 2 5 3" xfId="6161" xr:uid="{00000000-0005-0000-0000-000014000000}"/>
    <cellStyle name="20% - Accent1 2 2 2 5 3 2" xfId="14600" xr:uid="{5DB3921B-EE7A-4393-936E-2450A3E5CD69}"/>
    <cellStyle name="20% - Accent1 2 2 2 5 4" xfId="10382" xr:uid="{4C45412E-E562-4DD4-8D46-97EA386D01E0}"/>
    <cellStyle name="20% - Accent1 2 2 2 6" xfId="2267" xr:uid="{00000000-0005-0000-0000-000015000000}"/>
    <cellStyle name="20% - Accent1 2 2 2 6 2" xfId="6574" xr:uid="{00000000-0005-0000-0000-000016000000}"/>
    <cellStyle name="20% - Accent1 2 2 2 6 2 2" xfId="15013" xr:uid="{274506F8-E4A1-44B3-B77D-DCB4C2B8AE49}"/>
    <cellStyle name="20% - Accent1 2 2 2 6 3" xfId="10795" xr:uid="{37CDC2BE-E39E-4978-8DFE-1084B274E815}"/>
    <cellStyle name="20% - Accent1 2 2 2 7" xfId="4508" xr:uid="{00000000-0005-0000-0000-000017000000}"/>
    <cellStyle name="20% - Accent1 2 2 2 7 2" xfId="12947" xr:uid="{C2C47328-AAD0-44FC-B4CD-9E0335C4EFD7}"/>
    <cellStyle name="20% - Accent1 2 2 2 8" xfId="8729" xr:uid="{4A76CF3E-DE15-4BDF-81B5-E88870D04C2C}"/>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EA808E46-445E-45B6-B321-64BD75932881}"/>
    <cellStyle name="20% - Accent1 2 2 3 2 3" xfId="11287" xr:uid="{23486F76-9E90-4BFD-8973-79B5F3979F93}"/>
    <cellStyle name="20% - Accent1 2 2 3 3" xfId="4921" xr:uid="{00000000-0005-0000-0000-00001B000000}"/>
    <cellStyle name="20% - Accent1 2 2 3 3 2" xfId="13360" xr:uid="{2B98A013-4214-4F5D-870C-28F3D1BE6C15}"/>
    <cellStyle name="20% - Accent1 2 2 3 4" xfId="9142" xr:uid="{A8EE10B7-CE75-4D1D-96B7-BA9F12B48E2F}"/>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2FA84806-19C5-4CB6-AC6A-57054BE7C360}"/>
    <cellStyle name="20% - Accent1 2 2 4 2 3" xfId="11700" xr:uid="{41F87A1A-A914-4D47-9FA5-F4D20B7D1735}"/>
    <cellStyle name="20% - Accent1 2 2 4 3" xfId="5334" xr:uid="{00000000-0005-0000-0000-00001F000000}"/>
    <cellStyle name="20% - Accent1 2 2 4 3 2" xfId="13773" xr:uid="{7EFF8D3F-F4D5-46C3-93D3-B8AE7E9694EF}"/>
    <cellStyle name="20% - Accent1 2 2 4 4" xfId="9555" xr:uid="{4C99BD28-482C-4223-B8C7-920551908F62}"/>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BC3A65E1-B8C4-4A6A-8C31-3798E60E5A89}"/>
    <cellStyle name="20% - Accent1 2 2 5 2 3" xfId="12113" xr:uid="{C5264F14-16C0-4D34-A6BC-378756911B3C}"/>
    <cellStyle name="20% - Accent1 2 2 5 3" xfId="5747" xr:uid="{00000000-0005-0000-0000-000023000000}"/>
    <cellStyle name="20% - Accent1 2 2 5 3 2" xfId="14186" xr:uid="{E39D843B-CD7F-4A39-A4D7-EB32FEC43BBC}"/>
    <cellStyle name="20% - Accent1 2 2 5 4" xfId="9968" xr:uid="{2851EDD8-B512-489C-B3EC-C4FAC6825D28}"/>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ECFBF501-5E03-458D-912A-A4B66B58027D}"/>
    <cellStyle name="20% - Accent1 2 2 6 2 3" xfId="12526" xr:uid="{DE8A8EAF-A371-40EF-BB30-91AAE5AB5E52}"/>
    <cellStyle name="20% - Accent1 2 2 6 3" xfId="6160" xr:uid="{00000000-0005-0000-0000-000027000000}"/>
    <cellStyle name="20% - Accent1 2 2 6 3 2" xfId="14599" xr:uid="{599C8C3E-40AB-436D-871E-7141BBD5025A}"/>
    <cellStyle name="20% - Accent1 2 2 6 4" xfId="10381" xr:uid="{3D8CBEB9-CEA9-4901-B6C8-71E9E1514101}"/>
    <cellStyle name="20% - Accent1 2 2 7" xfId="2266" xr:uid="{00000000-0005-0000-0000-000028000000}"/>
    <cellStyle name="20% - Accent1 2 2 7 2" xfId="6573" xr:uid="{00000000-0005-0000-0000-000029000000}"/>
    <cellStyle name="20% - Accent1 2 2 7 2 2" xfId="15012" xr:uid="{768608D0-64E9-40D0-A68C-6AF895513D21}"/>
    <cellStyle name="20% - Accent1 2 2 7 3" xfId="10794" xr:uid="{2964661A-B379-4B66-9362-8C100530710A}"/>
    <cellStyle name="20% - Accent1 2 2 8" xfId="4507" xr:uid="{00000000-0005-0000-0000-00002A000000}"/>
    <cellStyle name="20% - Accent1 2 2 8 2" xfId="12946" xr:uid="{13CF9190-FC2A-4C32-ABE0-EB0AF167D7F7}"/>
    <cellStyle name="20% - Accent1 2 2 9" xfId="8728" xr:uid="{E05CD40D-DCFB-4776-B355-33E7F9D15A96}"/>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81044D6E-CF25-4B03-81F7-7AF3F968AA6D}"/>
    <cellStyle name="20% - Accent1 2 3 2 2 3" xfId="11289" xr:uid="{CAA2318A-56B5-412A-8D3E-787B3C5A819B}"/>
    <cellStyle name="20% - Accent1 2 3 2 3" xfId="4923" xr:uid="{00000000-0005-0000-0000-00002F000000}"/>
    <cellStyle name="20% - Accent1 2 3 2 3 2" xfId="13362" xr:uid="{D314B6A3-6B9C-44CC-84BA-1DE1E0BB4D48}"/>
    <cellStyle name="20% - Accent1 2 3 2 4" xfId="9144" xr:uid="{EBDE919A-E488-497D-86D9-1B2864238D70}"/>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785E3F5E-55A4-465B-AE96-49227E07B885}"/>
    <cellStyle name="20% - Accent1 2 3 3 2 3" xfId="11702" xr:uid="{0D58485E-BA72-4151-9B41-7907AB141ABB}"/>
    <cellStyle name="20% - Accent1 2 3 3 3" xfId="5336" xr:uid="{00000000-0005-0000-0000-000033000000}"/>
    <cellStyle name="20% - Accent1 2 3 3 3 2" xfId="13775" xr:uid="{83B17876-FA3B-4CED-8809-7EE6C223A82F}"/>
    <cellStyle name="20% - Accent1 2 3 3 4" xfId="9557" xr:uid="{34138A72-877F-47C6-A58B-68B55872937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207C4E45-4894-4CF8-B818-A2AC6B1F3290}"/>
    <cellStyle name="20% - Accent1 2 3 4 2 3" xfId="12115" xr:uid="{B950E71B-C2FA-47E8-9DD3-F311EF797087}"/>
    <cellStyle name="20% - Accent1 2 3 4 3" xfId="5749" xr:uid="{00000000-0005-0000-0000-000037000000}"/>
    <cellStyle name="20% - Accent1 2 3 4 3 2" xfId="14188" xr:uid="{BDB4B39D-C94D-4ED2-A039-E7808451435E}"/>
    <cellStyle name="20% - Accent1 2 3 4 4" xfId="9970" xr:uid="{1228F167-4D18-40DC-8CBA-9D24E0028F01}"/>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28A2B4EE-0C49-4982-8BEA-A64E8BF7795F}"/>
    <cellStyle name="20% - Accent1 2 3 5 2 3" xfId="12528" xr:uid="{83E4DAFD-C0C7-47EB-A0F4-29471398B46D}"/>
    <cellStyle name="20% - Accent1 2 3 5 3" xfId="6162" xr:uid="{00000000-0005-0000-0000-00003B000000}"/>
    <cellStyle name="20% - Accent1 2 3 5 3 2" xfId="14601" xr:uid="{FC49D84F-BF38-44AA-81D5-9AD001407067}"/>
    <cellStyle name="20% - Accent1 2 3 5 4" xfId="10383" xr:uid="{1DBFAE54-0D1D-461B-967E-7CC7C823B138}"/>
    <cellStyle name="20% - Accent1 2 3 6" xfId="2268" xr:uid="{00000000-0005-0000-0000-00003C000000}"/>
    <cellStyle name="20% - Accent1 2 3 6 2" xfId="6575" xr:uid="{00000000-0005-0000-0000-00003D000000}"/>
    <cellStyle name="20% - Accent1 2 3 6 2 2" xfId="15014" xr:uid="{86CBC9BA-F51C-4D26-9916-947BFBB7860A}"/>
    <cellStyle name="20% - Accent1 2 3 6 3" xfId="10796" xr:uid="{56B46D2B-5B6F-4548-9B6D-2E97217D30D4}"/>
    <cellStyle name="20% - Accent1 2 3 7" xfId="4509" xr:uid="{00000000-0005-0000-0000-00003E000000}"/>
    <cellStyle name="20% - Accent1 2 3 7 2" xfId="12948" xr:uid="{7ACD3398-73F5-412B-91D3-6C9FB38E6E31}"/>
    <cellStyle name="20% - Accent1 2 3 8" xfId="8730" xr:uid="{BD07E4C8-C4C1-4667-AB53-1899A83A87F3}"/>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92A1F429-6648-4994-98C0-7BFF8E64DF21}"/>
    <cellStyle name="20% - Accent1 2 4 2 3" xfId="11286" xr:uid="{449B63E7-CA10-403E-83B8-497F460BD943}"/>
    <cellStyle name="20% - Accent1 2 4 3" xfId="4920" xr:uid="{00000000-0005-0000-0000-000042000000}"/>
    <cellStyle name="20% - Accent1 2 4 3 2" xfId="13359" xr:uid="{D317EF0D-BBA5-4FFF-84AE-DE87D343D06A}"/>
    <cellStyle name="20% - Accent1 2 4 4" xfId="9141" xr:uid="{7FE67562-63EF-4007-9B83-45D70BC41A77}"/>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EDA169AE-5287-4ED7-B42F-24BAE1627125}"/>
    <cellStyle name="20% - Accent1 2 5 2 3" xfId="11699" xr:uid="{3907EDAE-0872-4920-B307-A0FB397F4E8B}"/>
    <cellStyle name="20% - Accent1 2 5 3" xfId="5333" xr:uid="{00000000-0005-0000-0000-000046000000}"/>
    <cellStyle name="20% - Accent1 2 5 3 2" xfId="13772" xr:uid="{61304F3E-F358-4E6E-8F28-5D4B47EDED83}"/>
    <cellStyle name="20% - Accent1 2 5 4" xfId="9554" xr:uid="{AFBF3BA8-0EF8-4913-A807-8312B931A96E}"/>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820B2791-D799-4324-8974-6ECDF51C552A}"/>
    <cellStyle name="20% - Accent1 2 6 2 3" xfId="12112" xr:uid="{E1E0D0B4-8C95-4E0A-87B1-8A84B1BC40B4}"/>
    <cellStyle name="20% - Accent1 2 6 3" xfId="5746" xr:uid="{00000000-0005-0000-0000-00004A000000}"/>
    <cellStyle name="20% - Accent1 2 6 3 2" xfId="14185" xr:uid="{C8655574-75C8-414C-A353-6EFE3F25CD77}"/>
    <cellStyle name="20% - Accent1 2 6 4" xfId="9967" xr:uid="{3F0EEBA9-FAA0-48E4-84DF-BCED0CF21804}"/>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E5F7EAFF-6F25-4D45-9D36-01FC1CE3C776}"/>
    <cellStyle name="20% - Accent1 2 7 2 3" xfId="12525" xr:uid="{55A6C64C-B1FE-4B20-A14A-6E9C4A0FE004}"/>
    <cellStyle name="20% - Accent1 2 7 3" xfId="6159" xr:uid="{00000000-0005-0000-0000-00004E000000}"/>
    <cellStyle name="20% - Accent1 2 7 3 2" xfId="14598" xr:uid="{86E28A72-23CF-4476-AE66-7564106249F9}"/>
    <cellStyle name="20% - Accent1 2 7 4" xfId="10380" xr:uid="{A4B7EC27-B705-489A-97B1-6A5B35E59EB4}"/>
    <cellStyle name="20% - Accent1 2 8" xfId="2265" xr:uid="{00000000-0005-0000-0000-00004F000000}"/>
    <cellStyle name="20% - Accent1 2 8 2" xfId="6572" xr:uid="{00000000-0005-0000-0000-000050000000}"/>
    <cellStyle name="20% - Accent1 2 8 2 2" xfId="15011" xr:uid="{1658CF88-4334-4EB4-800B-7927341D21B7}"/>
    <cellStyle name="20% - Accent1 2 8 3" xfId="10793" xr:uid="{4507836A-9222-4DEC-A1D2-4D2E5C1ACF63}"/>
    <cellStyle name="20% - Accent1 2 9" xfId="4506" xr:uid="{00000000-0005-0000-0000-000051000000}"/>
    <cellStyle name="20% - Accent1 2 9 2" xfId="12945" xr:uid="{025ADEDD-6457-4192-BC2D-C6506BA824C9}"/>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5AE588C5-B869-41F4-90E2-A63498086B9A}"/>
    <cellStyle name="20% - Accent1 3 2 2 2 3" xfId="11291" xr:uid="{AE88B7B9-4140-4870-AFD9-A2B0A5955F79}"/>
    <cellStyle name="20% - Accent1 3 2 2 3" xfId="4925" xr:uid="{00000000-0005-0000-0000-000057000000}"/>
    <cellStyle name="20% - Accent1 3 2 2 3 2" xfId="13364" xr:uid="{1D09449E-A55C-47AC-A056-74D95A43F1DF}"/>
    <cellStyle name="20% - Accent1 3 2 2 4" xfId="9146" xr:uid="{0E392B37-7522-4509-BEFC-725235C78111}"/>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9EDCB39D-9987-4799-AC02-4AA4789A6202}"/>
    <cellStyle name="20% - Accent1 3 2 3 2 3" xfId="11704" xr:uid="{579461CE-1FF5-4889-B45F-E91799042B15}"/>
    <cellStyle name="20% - Accent1 3 2 3 3" xfId="5338" xr:uid="{00000000-0005-0000-0000-00005B000000}"/>
    <cellStyle name="20% - Accent1 3 2 3 3 2" xfId="13777" xr:uid="{B8D7DB3F-0718-4A1F-8BC5-0F18AE850950}"/>
    <cellStyle name="20% - Accent1 3 2 3 4" xfId="9559" xr:uid="{7FC0350B-0595-4534-9D35-56B3D04A3F16}"/>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7AD49E44-92FC-4E51-9FC4-752F9A5943AC}"/>
    <cellStyle name="20% - Accent1 3 2 4 2 3" xfId="12117" xr:uid="{A3A97545-A9CE-44B6-8BEE-9C91C7AF63C1}"/>
    <cellStyle name="20% - Accent1 3 2 4 3" xfId="5751" xr:uid="{00000000-0005-0000-0000-00005F000000}"/>
    <cellStyle name="20% - Accent1 3 2 4 3 2" xfId="14190" xr:uid="{DFB76127-0C4A-43EB-AB97-11CF228F452E}"/>
    <cellStyle name="20% - Accent1 3 2 4 4" xfId="9972" xr:uid="{BC3EF848-FF31-4E4F-AE80-0E414E040C8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4A5EFFDE-FBD3-4034-99DC-7A4134FE2636}"/>
    <cellStyle name="20% - Accent1 3 2 5 2 3" xfId="12530" xr:uid="{748A5EDB-749F-4D16-B879-44B492C73BDD}"/>
    <cellStyle name="20% - Accent1 3 2 5 3" xfId="6164" xr:uid="{00000000-0005-0000-0000-000063000000}"/>
    <cellStyle name="20% - Accent1 3 2 5 3 2" xfId="14603" xr:uid="{F5C843C4-96D6-4DB9-94C0-9249C6D15472}"/>
    <cellStyle name="20% - Accent1 3 2 5 4" xfId="10385" xr:uid="{CFF67CCC-A56E-4618-8BDC-CD347CEA6F9F}"/>
    <cellStyle name="20% - Accent1 3 2 6" xfId="2270" xr:uid="{00000000-0005-0000-0000-000064000000}"/>
    <cellStyle name="20% - Accent1 3 2 6 2" xfId="6577" xr:uid="{00000000-0005-0000-0000-000065000000}"/>
    <cellStyle name="20% - Accent1 3 2 6 2 2" xfId="15016" xr:uid="{BB55A254-2FA0-43DF-A8C4-F30927A623A8}"/>
    <cellStyle name="20% - Accent1 3 2 6 3" xfId="10798" xr:uid="{603C24EE-32F3-4554-93B8-917D0DBB8DE9}"/>
    <cellStyle name="20% - Accent1 3 2 7" xfId="4511" xr:uid="{00000000-0005-0000-0000-000066000000}"/>
    <cellStyle name="20% - Accent1 3 2 7 2" xfId="12950" xr:uid="{64959F29-6E6D-4C9D-8753-28B6F6A839C4}"/>
    <cellStyle name="20% - Accent1 3 2 8" xfId="8732" xr:uid="{08B6CBA3-0DD7-4923-AB2F-0A8AA29025A0}"/>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22C69C44-C985-4C0A-B67F-EFB416259A48}"/>
    <cellStyle name="20% - Accent1 3 3 2 3" xfId="11290" xr:uid="{E820687A-8021-4E74-8D61-C64FD35D16FB}"/>
    <cellStyle name="20% - Accent1 3 3 3" xfId="4924" xr:uid="{00000000-0005-0000-0000-00006A000000}"/>
    <cellStyle name="20% - Accent1 3 3 3 2" xfId="13363" xr:uid="{CA2ED3E7-4023-4596-8B29-CED93BA2CC51}"/>
    <cellStyle name="20% - Accent1 3 3 4" xfId="9145" xr:uid="{BB7C838B-D5D4-43EA-95D2-44E55090B17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300A58E2-A8F2-4A45-8B3A-5149F088DB2E}"/>
    <cellStyle name="20% - Accent1 3 4 2 3" xfId="11703" xr:uid="{0C54259B-90BF-477D-AFE5-A7304C7331EF}"/>
    <cellStyle name="20% - Accent1 3 4 3" xfId="5337" xr:uid="{00000000-0005-0000-0000-00006E000000}"/>
    <cellStyle name="20% - Accent1 3 4 3 2" xfId="13776" xr:uid="{A33E0E41-2016-42B1-BCED-11FACA721400}"/>
    <cellStyle name="20% - Accent1 3 4 4" xfId="9558" xr:uid="{A342F6A5-42A7-4BCF-B7C4-08D556AD9684}"/>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AF41AF6D-E5EB-4164-AE35-22CDE4952942}"/>
    <cellStyle name="20% - Accent1 3 5 2 3" xfId="12116" xr:uid="{213C7B8B-5EF1-46E1-AACD-B692580AC0E2}"/>
    <cellStyle name="20% - Accent1 3 5 3" xfId="5750" xr:uid="{00000000-0005-0000-0000-000072000000}"/>
    <cellStyle name="20% - Accent1 3 5 3 2" xfId="14189" xr:uid="{0DB988A4-E4F8-4514-BDDA-257C1A686F75}"/>
    <cellStyle name="20% - Accent1 3 5 4" xfId="9971" xr:uid="{0293430E-C529-4B3A-8B65-818DEC882A06}"/>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568C9400-EC2F-43CB-92C6-E0A3B0A40336}"/>
    <cellStyle name="20% - Accent1 3 6 2 3" xfId="12529" xr:uid="{7483D06E-7C5D-40A6-97F9-FFFE2D1257C8}"/>
    <cellStyle name="20% - Accent1 3 6 3" xfId="6163" xr:uid="{00000000-0005-0000-0000-000076000000}"/>
    <cellStyle name="20% - Accent1 3 6 3 2" xfId="14602" xr:uid="{FBAAF0C0-0583-480F-A7A2-905D2AFD318E}"/>
    <cellStyle name="20% - Accent1 3 6 4" xfId="10384" xr:uid="{1D79A134-5574-47EB-99FF-2EDF91FA2916}"/>
    <cellStyle name="20% - Accent1 3 7" xfId="2269" xr:uid="{00000000-0005-0000-0000-000077000000}"/>
    <cellStyle name="20% - Accent1 3 7 2" xfId="6576" xr:uid="{00000000-0005-0000-0000-000078000000}"/>
    <cellStyle name="20% - Accent1 3 7 2 2" xfId="15015" xr:uid="{B1DE7F40-FD37-4980-8B20-2A5BBFDF1F6B}"/>
    <cellStyle name="20% - Accent1 3 7 3" xfId="10797" xr:uid="{BCC02CEC-F2DE-425C-BB1A-BDD7C4F460D4}"/>
    <cellStyle name="20% - Accent1 3 8" xfId="4510" xr:uid="{00000000-0005-0000-0000-000079000000}"/>
    <cellStyle name="20% - Accent1 3 8 2" xfId="12949" xr:uid="{1E15A67C-244E-4251-A1D2-0EE1B19CEE40}"/>
    <cellStyle name="20% - Accent1 3 9" xfId="8731" xr:uid="{AED3FDA0-EF56-4B01-B674-6948E8EE03EC}"/>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14F1874A-005F-4257-B51E-FC94B934EBA3}"/>
    <cellStyle name="20% - Accent1 4 2 2 3" xfId="11292" xr:uid="{FD352A7D-B0B7-408C-A5BB-AB12A55A66AB}"/>
    <cellStyle name="20% - Accent1 4 2 3" xfId="4926" xr:uid="{00000000-0005-0000-0000-00007E000000}"/>
    <cellStyle name="20% - Accent1 4 2 3 2" xfId="13365" xr:uid="{6C091653-0661-41DD-914F-E7B7AD3AF37F}"/>
    <cellStyle name="20% - Accent1 4 2 4" xfId="9147" xr:uid="{CBF4059E-2DD2-48AA-8468-56FAE326B976}"/>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061D71C0-54FC-4B3D-916B-60E7AFB51B6C}"/>
    <cellStyle name="20% - Accent1 4 3 2 3" xfId="11705" xr:uid="{4BA9553F-7225-490F-A67C-FDA1E86A0678}"/>
    <cellStyle name="20% - Accent1 4 3 3" xfId="5339" xr:uid="{00000000-0005-0000-0000-000082000000}"/>
    <cellStyle name="20% - Accent1 4 3 3 2" xfId="13778" xr:uid="{8D212B76-398B-4BF7-9C2D-45B2382A8801}"/>
    <cellStyle name="20% - Accent1 4 3 4" xfId="9560" xr:uid="{5100ECE1-4FFD-4728-ABC8-5A651AF8EB59}"/>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AA6CA8ED-70E0-4FBE-866D-D4F3388D86C6}"/>
    <cellStyle name="20% - Accent1 4 4 2 3" xfId="12118" xr:uid="{A8E3611D-66F2-409A-8F16-2925C588AEB3}"/>
    <cellStyle name="20% - Accent1 4 4 3" xfId="5752" xr:uid="{00000000-0005-0000-0000-000086000000}"/>
    <cellStyle name="20% - Accent1 4 4 3 2" xfId="14191" xr:uid="{2415E1CC-BBDC-4A3F-A134-2AB6E7F543A5}"/>
    <cellStyle name="20% - Accent1 4 4 4" xfId="9973" xr:uid="{7ED1A0AA-D646-4AB5-BDA7-72D6ECD3B35E}"/>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EB3BEE25-7FFF-4A7E-BBCA-11DE71CF92AF}"/>
    <cellStyle name="20% - Accent1 4 5 2 3" xfId="12531" xr:uid="{6F32C821-2C4A-4963-8394-3A5214EDA6D1}"/>
    <cellStyle name="20% - Accent1 4 5 3" xfId="6165" xr:uid="{00000000-0005-0000-0000-00008A000000}"/>
    <cellStyle name="20% - Accent1 4 5 3 2" xfId="14604" xr:uid="{9489F019-9A58-4986-8EB9-DB3BC08FD7C3}"/>
    <cellStyle name="20% - Accent1 4 5 4" xfId="10386" xr:uid="{5AABF36C-1912-4A3E-96C2-A9CA21A25E73}"/>
    <cellStyle name="20% - Accent1 4 6" xfId="2271" xr:uid="{00000000-0005-0000-0000-00008B000000}"/>
    <cellStyle name="20% - Accent1 4 6 2" xfId="6578" xr:uid="{00000000-0005-0000-0000-00008C000000}"/>
    <cellStyle name="20% - Accent1 4 6 2 2" xfId="15017" xr:uid="{837C4A1E-0476-40FC-B382-47984D4DF8D0}"/>
    <cellStyle name="20% - Accent1 4 6 3" xfId="10799" xr:uid="{347261FD-0EED-4E0F-AD61-BAB23AD08CBF}"/>
    <cellStyle name="20% - Accent1 4 7" xfId="4512" xr:uid="{00000000-0005-0000-0000-00008D000000}"/>
    <cellStyle name="20% - Accent1 4 7 2" xfId="12951" xr:uid="{18684AC2-47B2-4D35-92DC-18F1E46DB0C7}"/>
    <cellStyle name="20% - Accent1 4 8" xfId="8733" xr:uid="{B5737D05-4BA0-4B94-A863-F103A37CDC94}"/>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E5AD235E-84BF-4CA6-BD7B-F719DD659C50}"/>
    <cellStyle name="20% - Accent1 5 2 3" xfId="11285" xr:uid="{389873ED-09A9-4EF1-9519-9BA57C81E5EF}"/>
    <cellStyle name="20% - Accent1 5 3" xfId="4919" xr:uid="{00000000-0005-0000-0000-000091000000}"/>
    <cellStyle name="20% - Accent1 5 3 2" xfId="13358" xr:uid="{350882D6-C696-408F-AFAC-1DCCC1633CB9}"/>
    <cellStyle name="20% - Accent1 5 4" xfId="9140" xr:uid="{1D1213BF-F9FF-435D-9DE8-63A70D03BEB4}"/>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B03F346C-AAB5-40FE-BEB2-7BCC2FA39817}"/>
    <cellStyle name="20% - Accent1 6 2 3" xfId="11698" xr:uid="{F63AD766-EBAC-41A3-921E-283EDBCE479B}"/>
    <cellStyle name="20% - Accent1 6 3" xfId="5332" xr:uid="{00000000-0005-0000-0000-000095000000}"/>
    <cellStyle name="20% - Accent1 6 3 2" xfId="13771" xr:uid="{2041E65B-D114-4B9B-B9BD-ED4EDB1058F4}"/>
    <cellStyle name="20% - Accent1 6 4" xfId="9553" xr:uid="{7CCF36EF-032A-4AC7-9C5E-F3AEC38B02ED}"/>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11F7F884-9950-4C6A-860C-4CDC9A18430B}"/>
    <cellStyle name="20% - Accent1 7 2 3" xfId="12111" xr:uid="{05FC1A12-55D3-476A-92A7-7FA945C0FA17}"/>
    <cellStyle name="20% - Accent1 7 3" xfId="5745" xr:uid="{00000000-0005-0000-0000-000099000000}"/>
    <cellStyle name="20% - Accent1 7 3 2" xfId="14184" xr:uid="{D1D7E7BB-7449-4D65-A3BE-B3B4C394C14D}"/>
    <cellStyle name="20% - Accent1 7 4" xfId="9966" xr:uid="{B04FD01E-D4AB-42C4-B1EC-C1CE01E3BDF7}"/>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A154E300-8C5B-49E9-A4B2-B43396793E1D}"/>
    <cellStyle name="20% - Accent1 8 2 3" xfId="12524" xr:uid="{E595E194-CC6A-463F-9562-4F3EDAD4035F}"/>
    <cellStyle name="20% - Accent1 8 3" xfId="6158" xr:uid="{00000000-0005-0000-0000-00009D000000}"/>
    <cellStyle name="20% - Accent1 8 3 2" xfId="14597" xr:uid="{DFEB6FEA-5537-41BE-A502-FE1BCB16442C}"/>
    <cellStyle name="20% - Accent1 8 4" xfId="10379" xr:uid="{AEA48C90-BF14-4C8B-BEBD-071EAEE7C51C}"/>
    <cellStyle name="20% - Accent1 9" xfId="2264" xr:uid="{00000000-0005-0000-0000-00009E000000}"/>
    <cellStyle name="20% - Accent1 9 2" xfId="6571" xr:uid="{00000000-0005-0000-0000-00009F000000}"/>
    <cellStyle name="20% - Accent1 9 2 2" xfId="15010" xr:uid="{90A3E27D-AD37-4E87-AA42-B79A04B07D22}"/>
    <cellStyle name="20% - Accent1 9 3" xfId="10792" xr:uid="{06024732-0BCD-42A3-B611-8059299FEC39}"/>
    <cellStyle name="20% - Accent2" xfId="9" builtinId="34" customBuiltin="1"/>
    <cellStyle name="20% - Accent2 10" xfId="4513" xr:uid="{00000000-0005-0000-0000-0000A1000000}"/>
    <cellStyle name="20% - Accent2 10 2" xfId="12952" xr:uid="{0907B63C-A890-472F-AB20-0A4728E8D630}"/>
    <cellStyle name="20% - Accent2 11" xfId="8734" xr:uid="{46DD4179-28AF-4759-B0E5-34746043B7A4}"/>
    <cellStyle name="20% - Accent2 2" xfId="10" xr:uid="{00000000-0005-0000-0000-0000A2000000}"/>
    <cellStyle name="20% - Accent2 2 10" xfId="8735" xr:uid="{CC97FAFA-6F9D-4974-A351-DB96A5331995}"/>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71D8DA75-143C-4A6D-88CB-F9C061FDF8DA}"/>
    <cellStyle name="20% - Accent2 2 2 2 2 2 3" xfId="11296" xr:uid="{B5C8E788-B062-4EDC-B0B3-84E671DB3198}"/>
    <cellStyle name="20% - Accent2 2 2 2 2 3" xfId="4930" xr:uid="{00000000-0005-0000-0000-0000A8000000}"/>
    <cellStyle name="20% - Accent2 2 2 2 2 3 2" xfId="13369" xr:uid="{115A6E77-8E0B-48EB-9CD4-B4A793915FE1}"/>
    <cellStyle name="20% - Accent2 2 2 2 2 4" xfId="9151" xr:uid="{BB43ADAE-6CE0-4393-9B13-F6835150095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FF1B9D1F-1737-41C0-BBF1-D9934E185BFC}"/>
    <cellStyle name="20% - Accent2 2 2 2 3 2 3" xfId="11709" xr:uid="{F0355E30-4D72-4857-9F80-85177A53108F}"/>
    <cellStyle name="20% - Accent2 2 2 2 3 3" xfId="5343" xr:uid="{00000000-0005-0000-0000-0000AC000000}"/>
    <cellStyle name="20% - Accent2 2 2 2 3 3 2" xfId="13782" xr:uid="{497FCB14-0A10-413B-92B9-860D8834070A}"/>
    <cellStyle name="20% - Accent2 2 2 2 3 4" xfId="9564" xr:uid="{35BB7302-D2CD-4AB0-A7A8-0DE7002E733D}"/>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C6EC4BD5-1468-4644-9A05-CB2652A865B7}"/>
    <cellStyle name="20% - Accent2 2 2 2 4 2 3" xfId="12122" xr:uid="{8E6177FF-5317-449A-BE2C-EE24D39CC090}"/>
    <cellStyle name="20% - Accent2 2 2 2 4 3" xfId="5756" xr:uid="{00000000-0005-0000-0000-0000B0000000}"/>
    <cellStyle name="20% - Accent2 2 2 2 4 3 2" xfId="14195" xr:uid="{7CD25623-F39E-4237-A2F4-151C91200888}"/>
    <cellStyle name="20% - Accent2 2 2 2 4 4" xfId="9977" xr:uid="{3B30CE99-2760-48C2-87C1-8685A766A6A3}"/>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C7E59C0F-1F89-4B57-97D7-30E8E44FFE7F}"/>
    <cellStyle name="20% - Accent2 2 2 2 5 2 3" xfId="12535" xr:uid="{800A44DA-DE2E-4728-8518-2B6D5DD3A644}"/>
    <cellStyle name="20% - Accent2 2 2 2 5 3" xfId="6169" xr:uid="{00000000-0005-0000-0000-0000B4000000}"/>
    <cellStyle name="20% - Accent2 2 2 2 5 3 2" xfId="14608" xr:uid="{DE7859CB-86A1-4F12-9BE1-7FFA554EA593}"/>
    <cellStyle name="20% - Accent2 2 2 2 5 4" xfId="10390" xr:uid="{1FD88744-AE77-4AA3-BF20-15F64DAAB615}"/>
    <cellStyle name="20% - Accent2 2 2 2 6" xfId="2275" xr:uid="{00000000-0005-0000-0000-0000B5000000}"/>
    <cellStyle name="20% - Accent2 2 2 2 6 2" xfId="6582" xr:uid="{00000000-0005-0000-0000-0000B6000000}"/>
    <cellStyle name="20% - Accent2 2 2 2 6 2 2" xfId="15021" xr:uid="{8D1931EA-F5A3-402D-B7D5-21AFAB4F6A21}"/>
    <cellStyle name="20% - Accent2 2 2 2 6 3" xfId="10803" xr:uid="{F068E7B1-7900-46DB-8377-8AA444275D4F}"/>
    <cellStyle name="20% - Accent2 2 2 2 7" xfId="4516" xr:uid="{00000000-0005-0000-0000-0000B7000000}"/>
    <cellStyle name="20% - Accent2 2 2 2 7 2" xfId="12955" xr:uid="{436A9D42-55BF-4112-836D-2FC13CB135B5}"/>
    <cellStyle name="20% - Accent2 2 2 2 8" xfId="8737" xr:uid="{04E04385-8A0B-44E6-AB89-C17371B8D245}"/>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F0AE8FEE-F275-412C-9379-5E92F68342D6}"/>
    <cellStyle name="20% - Accent2 2 2 3 2 3" xfId="11295" xr:uid="{A6CA75BB-D6F6-4D11-8891-9553489BB755}"/>
    <cellStyle name="20% - Accent2 2 2 3 3" xfId="4929" xr:uid="{00000000-0005-0000-0000-0000BB000000}"/>
    <cellStyle name="20% - Accent2 2 2 3 3 2" xfId="13368" xr:uid="{259E1FE7-4B37-4396-B5DB-1EFB9C17FC77}"/>
    <cellStyle name="20% - Accent2 2 2 3 4" xfId="9150" xr:uid="{4B0E999C-FD36-4B6D-A1B8-98A4FADBA868}"/>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0A741B8A-AB35-41A8-B207-71CB4EC9C64F}"/>
    <cellStyle name="20% - Accent2 2 2 4 2 3" xfId="11708" xr:uid="{7B51EDDC-868A-4337-B46A-2BE03F824E9A}"/>
    <cellStyle name="20% - Accent2 2 2 4 3" xfId="5342" xr:uid="{00000000-0005-0000-0000-0000BF000000}"/>
    <cellStyle name="20% - Accent2 2 2 4 3 2" xfId="13781" xr:uid="{D8FAF7B3-27FD-4418-B5F4-8C1DDB1DFCCB}"/>
    <cellStyle name="20% - Accent2 2 2 4 4" xfId="9563" xr:uid="{DB69CD57-A445-4E8A-91F7-551C7AC4F299}"/>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56F132BF-359A-44F5-A169-1A3C5A308540}"/>
    <cellStyle name="20% - Accent2 2 2 5 2 3" xfId="12121" xr:uid="{25EC40C0-D86A-42E5-91A5-1A3D56C7AC23}"/>
    <cellStyle name="20% - Accent2 2 2 5 3" xfId="5755" xr:uid="{00000000-0005-0000-0000-0000C3000000}"/>
    <cellStyle name="20% - Accent2 2 2 5 3 2" xfId="14194" xr:uid="{221ACCA0-8E18-4264-BF85-E88F683F8BE0}"/>
    <cellStyle name="20% - Accent2 2 2 5 4" xfId="9976" xr:uid="{AC9468F7-E9BF-4F01-93FF-0BC104151644}"/>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7EF255F9-0714-4C4B-B74E-6C059EA0D6C3}"/>
    <cellStyle name="20% - Accent2 2 2 6 2 3" xfId="12534" xr:uid="{D3091B0F-EC93-4B54-8B3D-259F13D1607B}"/>
    <cellStyle name="20% - Accent2 2 2 6 3" xfId="6168" xr:uid="{00000000-0005-0000-0000-0000C7000000}"/>
    <cellStyle name="20% - Accent2 2 2 6 3 2" xfId="14607" xr:uid="{B3D82D9E-A336-43B8-B4ED-21875841F490}"/>
    <cellStyle name="20% - Accent2 2 2 6 4" xfId="10389" xr:uid="{E6E173D4-A1FC-42E3-AE6C-E240299590DE}"/>
    <cellStyle name="20% - Accent2 2 2 7" xfId="2274" xr:uid="{00000000-0005-0000-0000-0000C8000000}"/>
    <cellStyle name="20% - Accent2 2 2 7 2" xfId="6581" xr:uid="{00000000-0005-0000-0000-0000C9000000}"/>
    <cellStyle name="20% - Accent2 2 2 7 2 2" xfId="15020" xr:uid="{307F9052-960E-4E31-9B3F-136E1B2A2DD1}"/>
    <cellStyle name="20% - Accent2 2 2 7 3" xfId="10802" xr:uid="{BD13F21E-80EE-4E53-8F9D-AC138C8D5C99}"/>
    <cellStyle name="20% - Accent2 2 2 8" xfId="4515" xr:uid="{00000000-0005-0000-0000-0000CA000000}"/>
    <cellStyle name="20% - Accent2 2 2 8 2" xfId="12954" xr:uid="{9960E140-EA39-4594-B189-304ECBC28479}"/>
    <cellStyle name="20% - Accent2 2 2 9" xfId="8736" xr:uid="{62AA6D2A-1AED-46ED-89AF-83D26D703656}"/>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086B1F54-6494-473A-B60B-2E70584412BA}"/>
    <cellStyle name="20% - Accent2 2 3 2 2 3" xfId="11297" xr:uid="{A3120239-7B59-4FAA-96C4-EDBEE83C8EEA}"/>
    <cellStyle name="20% - Accent2 2 3 2 3" xfId="4931" xr:uid="{00000000-0005-0000-0000-0000CF000000}"/>
    <cellStyle name="20% - Accent2 2 3 2 3 2" xfId="13370" xr:uid="{CD5A2F24-8D2C-4202-92FB-54FEF7A7C94E}"/>
    <cellStyle name="20% - Accent2 2 3 2 4" xfId="9152" xr:uid="{FBA08AE8-4408-4D84-81A5-62B94DB08763}"/>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35C6C9AD-04E1-4135-BFE0-9993DD1C13F0}"/>
    <cellStyle name="20% - Accent2 2 3 3 2 3" xfId="11710" xr:uid="{C92A6779-DDE5-44C4-B0DE-7F5377293837}"/>
    <cellStyle name="20% - Accent2 2 3 3 3" xfId="5344" xr:uid="{00000000-0005-0000-0000-0000D3000000}"/>
    <cellStyle name="20% - Accent2 2 3 3 3 2" xfId="13783" xr:uid="{D4DF0E91-EED9-4217-9F8F-39663BC26874}"/>
    <cellStyle name="20% - Accent2 2 3 3 4" xfId="9565" xr:uid="{23FCC73F-237B-4967-93CD-12940A934152}"/>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846491A2-849A-4D22-8BD3-53270631A930}"/>
    <cellStyle name="20% - Accent2 2 3 4 2 3" xfId="12123" xr:uid="{DF72091E-AC8B-4C2A-A365-02C780A099BE}"/>
    <cellStyle name="20% - Accent2 2 3 4 3" xfId="5757" xr:uid="{00000000-0005-0000-0000-0000D7000000}"/>
    <cellStyle name="20% - Accent2 2 3 4 3 2" xfId="14196" xr:uid="{BA25AB96-1073-44F9-A8CE-1C5C0C819AB4}"/>
    <cellStyle name="20% - Accent2 2 3 4 4" xfId="9978" xr:uid="{73A7F23F-77B7-4BC2-9AFC-593B482C93F9}"/>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EA9F4D46-7256-4685-A1B5-A9405DF96E68}"/>
    <cellStyle name="20% - Accent2 2 3 5 2 3" xfId="12536" xr:uid="{8C550D45-9093-47FB-A0B9-8AF200817DBC}"/>
    <cellStyle name="20% - Accent2 2 3 5 3" xfId="6170" xr:uid="{00000000-0005-0000-0000-0000DB000000}"/>
    <cellStyle name="20% - Accent2 2 3 5 3 2" xfId="14609" xr:uid="{4037B74C-BFDF-4B46-80B9-4BD1740D0C0C}"/>
    <cellStyle name="20% - Accent2 2 3 5 4" xfId="10391" xr:uid="{672C5FF7-657E-4BD9-9D3D-D80C62613806}"/>
    <cellStyle name="20% - Accent2 2 3 6" xfId="2276" xr:uid="{00000000-0005-0000-0000-0000DC000000}"/>
    <cellStyle name="20% - Accent2 2 3 6 2" xfId="6583" xr:uid="{00000000-0005-0000-0000-0000DD000000}"/>
    <cellStyle name="20% - Accent2 2 3 6 2 2" xfId="15022" xr:uid="{01697496-8D9F-497C-851C-8298F7B2659A}"/>
    <cellStyle name="20% - Accent2 2 3 6 3" xfId="10804" xr:uid="{AC09256D-FB39-4E8B-BAA9-7A36AAB6235E}"/>
    <cellStyle name="20% - Accent2 2 3 7" xfId="4517" xr:uid="{00000000-0005-0000-0000-0000DE000000}"/>
    <cellStyle name="20% - Accent2 2 3 7 2" xfId="12956" xr:uid="{435E09A8-A7C0-45F8-9A22-B7F23247C05E}"/>
    <cellStyle name="20% - Accent2 2 3 8" xfId="8738" xr:uid="{71CF0974-6AAA-43FA-8374-1D5E1DE26639}"/>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6F022A6E-D6B3-465E-A7D6-116F2D28B976}"/>
    <cellStyle name="20% - Accent2 2 4 2 3" xfId="11294" xr:uid="{9909BE9B-643D-4B28-975C-83CDCD152B31}"/>
    <cellStyle name="20% - Accent2 2 4 3" xfId="4928" xr:uid="{00000000-0005-0000-0000-0000E2000000}"/>
    <cellStyle name="20% - Accent2 2 4 3 2" xfId="13367" xr:uid="{58377306-2F19-4154-BEBF-3B1A1CB1EB25}"/>
    <cellStyle name="20% - Accent2 2 4 4" xfId="9149" xr:uid="{8F398C33-9C77-4A78-B15F-2D96D634A5CA}"/>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3C789D9B-7D7B-4CA2-9B94-B158813B8CFE}"/>
    <cellStyle name="20% - Accent2 2 5 2 3" xfId="11707" xr:uid="{F9EAD972-D847-4FF2-8AFF-225D33FEF9CE}"/>
    <cellStyle name="20% - Accent2 2 5 3" xfId="5341" xr:uid="{00000000-0005-0000-0000-0000E6000000}"/>
    <cellStyle name="20% - Accent2 2 5 3 2" xfId="13780" xr:uid="{FC570065-8DAA-47A2-9513-44A49070E111}"/>
    <cellStyle name="20% - Accent2 2 5 4" xfId="9562" xr:uid="{3C99C031-BA19-4BF0-97E8-E56C1C24CF90}"/>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7BEE5B2B-CA12-4BFD-848F-344972041173}"/>
    <cellStyle name="20% - Accent2 2 6 2 3" xfId="12120" xr:uid="{78741D86-9D76-4DC8-8F6F-AD4133659A42}"/>
    <cellStyle name="20% - Accent2 2 6 3" xfId="5754" xr:uid="{00000000-0005-0000-0000-0000EA000000}"/>
    <cellStyle name="20% - Accent2 2 6 3 2" xfId="14193" xr:uid="{EC6FEB23-C974-41FF-BF58-836955EC0E48}"/>
    <cellStyle name="20% - Accent2 2 6 4" xfId="9975" xr:uid="{8083D0E7-A742-4361-983A-2541EC0B1EE1}"/>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5578FE47-B5A9-42F6-9B33-88407BA2ACD6}"/>
    <cellStyle name="20% - Accent2 2 7 2 3" xfId="12533" xr:uid="{6BC28FBA-366A-4C6A-A29B-18EC483C661D}"/>
    <cellStyle name="20% - Accent2 2 7 3" xfId="6167" xr:uid="{00000000-0005-0000-0000-0000EE000000}"/>
    <cellStyle name="20% - Accent2 2 7 3 2" xfId="14606" xr:uid="{03C9F21B-5D5D-4D2C-B155-DD9DB87AFF77}"/>
    <cellStyle name="20% - Accent2 2 7 4" xfId="10388" xr:uid="{A1765684-4507-4519-9560-69C8295AE212}"/>
    <cellStyle name="20% - Accent2 2 8" xfId="2273" xr:uid="{00000000-0005-0000-0000-0000EF000000}"/>
    <cellStyle name="20% - Accent2 2 8 2" xfId="6580" xr:uid="{00000000-0005-0000-0000-0000F0000000}"/>
    <cellStyle name="20% - Accent2 2 8 2 2" xfId="15019" xr:uid="{CC7B5732-A733-4811-96B6-E500190F5770}"/>
    <cellStyle name="20% - Accent2 2 8 3" xfId="10801" xr:uid="{05CD43A9-469C-42F1-9424-B9A998AD8854}"/>
    <cellStyle name="20% - Accent2 2 9" xfId="4514" xr:uid="{00000000-0005-0000-0000-0000F1000000}"/>
    <cellStyle name="20% - Accent2 2 9 2" xfId="12953" xr:uid="{AF8A0E49-CEB7-46EC-8D85-D7C0ED8DF401}"/>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70C8AB14-DC7C-4FB6-A103-A2F00F981CCE}"/>
    <cellStyle name="20% - Accent2 3 2 2 2 3" xfId="11299" xr:uid="{B9AA278A-B906-4684-9941-6216B770AB57}"/>
    <cellStyle name="20% - Accent2 3 2 2 3" xfId="4933" xr:uid="{00000000-0005-0000-0000-0000F7000000}"/>
    <cellStyle name="20% - Accent2 3 2 2 3 2" xfId="13372" xr:uid="{0362C173-FEB6-44C5-9675-DA02D118D636}"/>
    <cellStyle name="20% - Accent2 3 2 2 4" xfId="9154" xr:uid="{CBA70408-BAA8-4CFC-91F6-27FD59A43239}"/>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D8A7AF93-53A4-4E4F-B430-2D390A1AF341}"/>
    <cellStyle name="20% - Accent2 3 2 3 2 3" xfId="11712" xr:uid="{A24909A6-009C-4919-B4EB-7883A7C82006}"/>
    <cellStyle name="20% - Accent2 3 2 3 3" xfId="5346" xr:uid="{00000000-0005-0000-0000-0000FB000000}"/>
    <cellStyle name="20% - Accent2 3 2 3 3 2" xfId="13785" xr:uid="{3AC68855-402F-41EC-8D3C-B1DA137F307F}"/>
    <cellStyle name="20% - Accent2 3 2 3 4" xfId="9567" xr:uid="{D9E8A300-3064-4652-800C-A8F212470E2B}"/>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BED97DE9-6AD7-4E3B-B8A8-5B0184A1D8C8}"/>
    <cellStyle name="20% - Accent2 3 2 4 2 3" xfId="12125" xr:uid="{F4E4F777-81AE-4C0C-9719-0D97A7D652A0}"/>
    <cellStyle name="20% - Accent2 3 2 4 3" xfId="5759" xr:uid="{00000000-0005-0000-0000-0000FF000000}"/>
    <cellStyle name="20% - Accent2 3 2 4 3 2" xfId="14198" xr:uid="{D0AD7770-47D2-4A1B-BB48-A321652DAD2D}"/>
    <cellStyle name="20% - Accent2 3 2 4 4" xfId="9980" xr:uid="{D3398BFA-B9CD-4E6B-B9CC-30A43C0D6382}"/>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7AD5560D-8769-4CB4-86CC-54DCF08CF0F4}"/>
    <cellStyle name="20% - Accent2 3 2 5 2 3" xfId="12538" xr:uid="{3CDB6316-8841-4F70-B632-4DB335FA77AF}"/>
    <cellStyle name="20% - Accent2 3 2 5 3" xfId="6172" xr:uid="{00000000-0005-0000-0000-000003010000}"/>
    <cellStyle name="20% - Accent2 3 2 5 3 2" xfId="14611" xr:uid="{AC580725-5519-4948-ACF3-2BC149DA9169}"/>
    <cellStyle name="20% - Accent2 3 2 5 4" xfId="10393" xr:uid="{542653BC-5C57-42E7-A36A-BD37551C1C12}"/>
    <cellStyle name="20% - Accent2 3 2 6" xfId="2278" xr:uid="{00000000-0005-0000-0000-000004010000}"/>
    <cellStyle name="20% - Accent2 3 2 6 2" xfId="6585" xr:uid="{00000000-0005-0000-0000-000005010000}"/>
    <cellStyle name="20% - Accent2 3 2 6 2 2" xfId="15024" xr:uid="{19AE4CB2-783A-4609-9D67-64C4090F2D3C}"/>
    <cellStyle name="20% - Accent2 3 2 6 3" xfId="10806" xr:uid="{F8E36286-96FA-4715-B21E-722D6AC606E9}"/>
    <cellStyle name="20% - Accent2 3 2 7" xfId="4519" xr:uid="{00000000-0005-0000-0000-000006010000}"/>
    <cellStyle name="20% - Accent2 3 2 7 2" xfId="12958" xr:uid="{D0AE1A1D-32F2-4119-B1A5-64A47BD7543A}"/>
    <cellStyle name="20% - Accent2 3 2 8" xfId="8740" xr:uid="{A1C62C26-4E44-4B41-9681-19D1B852A646}"/>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3746F64F-E5B8-4A48-A002-C83D1827ABDC}"/>
    <cellStyle name="20% - Accent2 3 3 2 3" xfId="11298" xr:uid="{14B094B4-D63C-43A9-87FF-D90F9B42CF2B}"/>
    <cellStyle name="20% - Accent2 3 3 3" xfId="4932" xr:uid="{00000000-0005-0000-0000-00000A010000}"/>
    <cellStyle name="20% - Accent2 3 3 3 2" xfId="13371" xr:uid="{2F3DAD2B-54C8-40E1-836C-DF479CD0CB04}"/>
    <cellStyle name="20% - Accent2 3 3 4" xfId="9153" xr:uid="{0D771ED7-66AA-4772-AE4A-54DFAA35FF4F}"/>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C99AF4CD-A78A-4C83-8738-0BE3BD1D5E79}"/>
    <cellStyle name="20% - Accent2 3 4 2 3" xfId="11711" xr:uid="{D9C8CB94-315F-4225-9E01-5C8D642F0D4B}"/>
    <cellStyle name="20% - Accent2 3 4 3" xfId="5345" xr:uid="{00000000-0005-0000-0000-00000E010000}"/>
    <cellStyle name="20% - Accent2 3 4 3 2" xfId="13784" xr:uid="{E9DB7E46-7ED8-4AD1-81D4-3FD05EEE30A4}"/>
    <cellStyle name="20% - Accent2 3 4 4" xfId="9566" xr:uid="{E7E0C0AE-F9AA-4AE5-8491-E2D5D2EE7FC8}"/>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137BEDFE-6728-4F96-B9B9-5E1B1EB5C31D}"/>
    <cellStyle name="20% - Accent2 3 5 2 3" xfId="12124" xr:uid="{4C9E95F1-0CAD-4DEA-B2D2-420FB956E644}"/>
    <cellStyle name="20% - Accent2 3 5 3" xfId="5758" xr:uid="{00000000-0005-0000-0000-000012010000}"/>
    <cellStyle name="20% - Accent2 3 5 3 2" xfId="14197" xr:uid="{99362BC9-521B-47C6-88EF-2F122A0521CD}"/>
    <cellStyle name="20% - Accent2 3 5 4" xfId="9979" xr:uid="{F105B3C7-C789-4139-9006-84DC36C40AD0}"/>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B13FC61B-1F03-4E69-9C0A-D82269BB9FAA}"/>
    <cellStyle name="20% - Accent2 3 6 2 3" xfId="12537" xr:uid="{37CEBD78-1260-4EE4-A5F7-E2E2F2661EF4}"/>
    <cellStyle name="20% - Accent2 3 6 3" xfId="6171" xr:uid="{00000000-0005-0000-0000-000016010000}"/>
    <cellStyle name="20% - Accent2 3 6 3 2" xfId="14610" xr:uid="{744EA73C-271B-485D-B8E1-09D88933FEA4}"/>
    <cellStyle name="20% - Accent2 3 6 4" xfId="10392" xr:uid="{29073733-C57F-4376-A05D-7295C91515DF}"/>
    <cellStyle name="20% - Accent2 3 7" xfId="2277" xr:uid="{00000000-0005-0000-0000-000017010000}"/>
    <cellStyle name="20% - Accent2 3 7 2" xfId="6584" xr:uid="{00000000-0005-0000-0000-000018010000}"/>
    <cellStyle name="20% - Accent2 3 7 2 2" xfId="15023" xr:uid="{E579B27E-B380-46F3-8563-49E3A8BEA5A3}"/>
    <cellStyle name="20% - Accent2 3 7 3" xfId="10805" xr:uid="{E1C50985-5689-48A0-AFCF-BE548E007A31}"/>
    <cellStyle name="20% - Accent2 3 8" xfId="4518" xr:uid="{00000000-0005-0000-0000-000019010000}"/>
    <cellStyle name="20% - Accent2 3 8 2" xfId="12957" xr:uid="{90CFE0A2-D994-4777-883C-E84895D2ADE5}"/>
    <cellStyle name="20% - Accent2 3 9" xfId="8739" xr:uid="{548C5307-3F91-4B2B-819C-7FD94B87328A}"/>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D48EEA56-4513-4943-BBF3-35807E025BAF}"/>
    <cellStyle name="20% - Accent2 4 2 2 3" xfId="11300" xr:uid="{B2CA69E4-3F74-475D-9157-5FD5B6498F21}"/>
    <cellStyle name="20% - Accent2 4 2 3" xfId="4934" xr:uid="{00000000-0005-0000-0000-00001E010000}"/>
    <cellStyle name="20% - Accent2 4 2 3 2" xfId="13373" xr:uid="{E1DFD7F9-31D4-4A82-9DFE-499F21EC8FD8}"/>
    <cellStyle name="20% - Accent2 4 2 4" xfId="9155" xr:uid="{DFA14E65-A23C-48B7-BB56-B4CB064BEF51}"/>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5385AF4C-4EFA-4B75-B3BF-5D68EBB85898}"/>
    <cellStyle name="20% - Accent2 4 3 2 3" xfId="11713" xr:uid="{CAA32735-8D64-42FE-8068-E9B06B61A92C}"/>
    <cellStyle name="20% - Accent2 4 3 3" xfId="5347" xr:uid="{00000000-0005-0000-0000-000022010000}"/>
    <cellStyle name="20% - Accent2 4 3 3 2" xfId="13786" xr:uid="{3EB1CAAA-E2B4-435C-982A-B558A3B91025}"/>
    <cellStyle name="20% - Accent2 4 3 4" xfId="9568" xr:uid="{65A30310-3B1D-44F3-A7D8-B0AFD43AB7E4}"/>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6C8A2250-B4E8-4269-986E-013DFC269CC4}"/>
    <cellStyle name="20% - Accent2 4 4 2 3" xfId="12126" xr:uid="{1D4F1725-F01B-4EE3-AA3C-2AC683C7F0A7}"/>
    <cellStyle name="20% - Accent2 4 4 3" xfId="5760" xr:uid="{00000000-0005-0000-0000-000026010000}"/>
    <cellStyle name="20% - Accent2 4 4 3 2" xfId="14199" xr:uid="{701A4615-D726-4FEE-A54E-A07F826E9FAF}"/>
    <cellStyle name="20% - Accent2 4 4 4" xfId="9981" xr:uid="{837DF999-996E-41E3-807A-8DE1AF4C8A36}"/>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8C03313B-019E-42E9-92D3-51B7906239B3}"/>
    <cellStyle name="20% - Accent2 4 5 2 3" xfId="12539" xr:uid="{EE19D0AD-B647-4D21-80AE-D4BD83C6B9C8}"/>
    <cellStyle name="20% - Accent2 4 5 3" xfId="6173" xr:uid="{00000000-0005-0000-0000-00002A010000}"/>
    <cellStyle name="20% - Accent2 4 5 3 2" xfId="14612" xr:uid="{D185C645-D335-42DE-90CB-FE73C617BE17}"/>
    <cellStyle name="20% - Accent2 4 5 4" xfId="10394" xr:uid="{B62E4B55-8B59-4842-B6B4-39A70CCBDF03}"/>
    <cellStyle name="20% - Accent2 4 6" xfId="2279" xr:uid="{00000000-0005-0000-0000-00002B010000}"/>
    <cellStyle name="20% - Accent2 4 6 2" xfId="6586" xr:uid="{00000000-0005-0000-0000-00002C010000}"/>
    <cellStyle name="20% - Accent2 4 6 2 2" xfId="15025" xr:uid="{7B9B4C27-02E3-4EF7-8C6A-E4F5B02DE9FD}"/>
    <cellStyle name="20% - Accent2 4 6 3" xfId="10807" xr:uid="{90EFF10B-9A75-4D9C-8988-EACFD4DF04A1}"/>
    <cellStyle name="20% - Accent2 4 7" xfId="4520" xr:uid="{00000000-0005-0000-0000-00002D010000}"/>
    <cellStyle name="20% - Accent2 4 7 2" xfId="12959" xr:uid="{6A487D84-D3D3-4CEF-8153-DD5DA66AE273}"/>
    <cellStyle name="20% - Accent2 4 8" xfId="8741" xr:uid="{56D96739-2C7A-43E6-8727-F7B16A66D6D7}"/>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5CE781F6-1479-4F01-B2B0-4F551052F703}"/>
    <cellStyle name="20% - Accent2 5 2 3" xfId="11293" xr:uid="{6C9F1310-5C55-4869-A177-4B02C65421A2}"/>
    <cellStyle name="20% - Accent2 5 3" xfId="4927" xr:uid="{00000000-0005-0000-0000-000031010000}"/>
    <cellStyle name="20% - Accent2 5 3 2" xfId="13366" xr:uid="{815F3AAA-B8ED-474B-BD43-FCFFEE054E6A}"/>
    <cellStyle name="20% - Accent2 5 4" xfId="9148" xr:uid="{3D16DD03-24E9-408A-9782-1A41497BCA96}"/>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09DF0B83-DC29-435F-B5EA-147861FEA175}"/>
    <cellStyle name="20% - Accent2 6 2 3" xfId="11706" xr:uid="{7171FAA7-3B32-41A1-A992-30DAEE185F27}"/>
    <cellStyle name="20% - Accent2 6 3" xfId="5340" xr:uid="{00000000-0005-0000-0000-000035010000}"/>
    <cellStyle name="20% - Accent2 6 3 2" xfId="13779" xr:uid="{D4255F5A-B3F4-464D-8EC6-07BB41C80846}"/>
    <cellStyle name="20% - Accent2 6 4" xfId="9561" xr:uid="{7CABD28F-0D29-45B6-BFBC-04AD1AB9A4E4}"/>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D05E4940-D9B7-444D-B1D1-CF56CAABE4EB}"/>
    <cellStyle name="20% - Accent2 7 2 3" xfId="12119" xr:uid="{A6648395-3E73-429B-B260-6CC8AF7787DF}"/>
    <cellStyle name="20% - Accent2 7 3" xfId="5753" xr:uid="{00000000-0005-0000-0000-000039010000}"/>
    <cellStyle name="20% - Accent2 7 3 2" xfId="14192" xr:uid="{F189494A-C5AA-49A0-AE85-1F30E522660A}"/>
    <cellStyle name="20% - Accent2 7 4" xfId="9974" xr:uid="{17087A94-CD21-4805-86B9-F9A61D2395A8}"/>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E1E5E8BF-730C-4443-8F53-5D3A49A20968}"/>
    <cellStyle name="20% - Accent2 8 2 3" xfId="12532" xr:uid="{AD55899A-F186-41CE-BC18-324296F6DE5E}"/>
    <cellStyle name="20% - Accent2 8 3" xfId="6166" xr:uid="{00000000-0005-0000-0000-00003D010000}"/>
    <cellStyle name="20% - Accent2 8 3 2" xfId="14605" xr:uid="{9610BBEB-47A5-43AE-A5D1-E6A3569D4E6A}"/>
    <cellStyle name="20% - Accent2 8 4" xfId="10387" xr:uid="{66B3140F-56D7-468A-86DC-19626A28803E}"/>
    <cellStyle name="20% - Accent2 9" xfId="2272" xr:uid="{00000000-0005-0000-0000-00003E010000}"/>
    <cellStyle name="20% - Accent2 9 2" xfId="6579" xr:uid="{00000000-0005-0000-0000-00003F010000}"/>
    <cellStyle name="20% - Accent2 9 2 2" xfId="15018" xr:uid="{37D56A9C-9223-4A24-B86E-8BE60B2E3E80}"/>
    <cellStyle name="20% - Accent2 9 3" xfId="10800" xr:uid="{5EEE8D98-32D2-4318-B5B5-3DB373BF33C2}"/>
    <cellStyle name="20% - Accent3" xfId="17" builtinId="38" customBuiltin="1"/>
    <cellStyle name="20% - Accent3 10" xfId="4521" xr:uid="{00000000-0005-0000-0000-000041010000}"/>
    <cellStyle name="20% - Accent3 10 2" xfId="12960" xr:uid="{1A79C6D7-02FE-4A03-ACC7-28793A874806}"/>
    <cellStyle name="20% - Accent3 11" xfId="8742" xr:uid="{08E91C31-9E0A-4C56-9504-2EF05B7A2192}"/>
    <cellStyle name="20% - Accent3 2" xfId="18" xr:uid="{00000000-0005-0000-0000-000042010000}"/>
    <cellStyle name="20% - Accent3 2 10" xfId="8743" xr:uid="{8BD6CD4D-9E47-4A55-940E-9E0829C4D008}"/>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9E5A20A8-D228-45C4-BD3F-683B783962EF}"/>
    <cellStyle name="20% - Accent3 2 2 2 2 2 3" xfId="11304" xr:uid="{958625EA-4C2E-47E4-BE11-921D896EF048}"/>
    <cellStyle name="20% - Accent3 2 2 2 2 3" xfId="4938" xr:uid="{00000000-0005-0000-0000-000048010000}"/>
    <cellStyle name="20% - Accent3 2 2 2 2 3 2" xfId="13377" xr:uid="{619D0C76-7F50-488D-B7A0-F9395CFD3A69}"/>
    <cellStyle name="20% - Accent3 2 2 2 2 4" xfId="9159" xr:uid="{047FA715-A0C6-436E-9B88-EACF582456AC}"/>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52C733E3-23D7-43C2-BF3F-A15BE7C21453}"/>
    <cellStyle name="20% - Accent3 2 2 2 3 2 3" xfId="11717" xr:uid="{C1E8507A-C66A-4D5F-BC5C-122782F0D42A}"/>
    <cellStyle name="20% - Accent3 2 2 2 3 3" xfId="5351" xr:uid="{00000000-0005-0000-0000-00004C010000}"/>
    <cellStyle name="20% - Accent3 2 2 2 3 3 2" xfId="13790" xr:uid="{3127B022-8073-4AE7-98AE-E0BE12802BF0}"/>
    <cellStyle name="20% - Accent3 2 2 2 3 4" xfId="9572" xr:uid="{6465C092-D9F2-4420-854D-10DB85E09E4E}"/>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91A5D17E-50B0-4039-BC40-D26F0ABCD7FA}"/>
    <cellStyle name="20% - Accent3 2 2 2 4 2 3" xfId="12130" xr:uid="{C5330F34-5C85-4AB4-905B-34E1CAD1B1C3}"/>
    <cellStyle name="20% - Accent3 2 2 2 4 3" xfId="5764" xr:uid="{00000000-0005-0000-0000-000050010000}"/>
    <cellStyle name="20% - Accent3 2 2 2 4 3 2" xfId="14203" xr:uid="{3C704684-8F1C-4995-AC86-5CD49D8720B9}"/>
    <cellStyle name="20% - Accent3 2 2 2 4 4" xfId="9985" xr:uid="{59A6A926-FCAD-478B-B4A2-55FD94040C34}"/>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C2D039EE-D857-4D6F-9249-7FE2A91FB6FF}"/>
    <cellStyle name="20% - Accent3 2 2 2 5 2 3" xfId="12543" xr:uid="{8F7BDC4B-77E1-4EBA-AA6B-493761ABF1C4}"/>
    <cellStyle name="20% - Accent3 2 2 2 5 3" xfId="6177" xr:uid="{00000000-0005-0000-0000-000054010000}"/>
    <cellStyle name="20% - Accent3 2 2 2 5 3 2" xfId="14616" xr:uid="{E80FE24C-6240-4968-9C9D-A25B0E92F338}"/>
    <cellStyle name="20% - Accent3 2 2 2 5 4" xfId="10398" xr:uid="{70FFBC5E-57D3-464A-9D17-F7FE0C0A1CF7}"/>
    <cellStyle name="20% - Accent3 2 2 2 6" xfId="2283" xr:uid="{00000000-0005-0000-0000-000055010000}"/>
    <cellStyle name="20% - Accent3 2 2 2 6 2" xfId="6590" xr:uid="{00000000-0005-0000-0000-000056010000}"/>
    <cellStyle name="20% - Accent3 2 2 2 6 2 2" xfId="15029" xr:uid="{A6D378BA-7D72-497C-99BB-FF4277E47A42}"/>
    <cellStyle name="20% - Accent3 2 2 2 6 3" xfId="10811" xr:uid="{BE5D18AD-975A-462F-B19E-8C9B519968CB}"/>
    <cellStyle name="20% - Accent3 2 2 2 7" xfId="4524" xr:uid="{00000000-0005-0000-0000-000057010000}"/>
    <cellStyle name="20% - Accent3 2 2 2 7 2" xfId="12963" xr:uid="{5B15389B-B918-442B-937C-5BFF790F6F2F}"/>
    <cellStyle name="20% - Accent3 2 2 2 8" xfId="8745" xr:uid="{F06F9D19-396F-4148-B67B-54651B36817F}"/>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4A72CAE6-9C41-461E-81D3-07005D2177D1}"/>
    <cellStyle name="20% - Accent3 2 2 3 2 3" xfId="11303" xr:uid="{7F4D5969-B1C2-48A3-BC2D-72F3B490D068}"/>
    <cellStyle name="20% - Accent3 2 2 3 3" xfId="4937" xr:uid="{00000000-0005-0000-0000-00005B010000}"/>
    <cellStyle name="20% - Accent3 2 2 3 3 2" xfId="13376" xr:uid="{855AE1BB-923D-4C18-88AF-93DEFCDD284A}"/>
    <cellStyle name="20% - Accent3 2 2 3 4" xfId="9158" xr:uid="{A1B25038-F916-4CBB-B52F-50F45BD3B362}"/>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14520B48-0DD6-42D8-9114-498792E06D48}"/>
    <cellStyle name="20% - Accent3 2 2 4 2 3" xfId="11716" xr:uid="{4AE49B01-DEF9-4712-977B-2F629235A70F}"/>
    <cellStyle name="20% - Accent3 2 2 4 3" xfId="5350" xr:uid="{00000000-0005-0000-0000-00005F010000}"/>
    <cellStyle name="20% - Accent3 2 2 4 3 2" xfId="13789" xr:uid="{C37591AD-67FB-4D76-9B62-C500CC942578}"/>
    <cellStyle name="20% - Accent3 2 2 4 4" xfId="9571" xr:uid="{D61F3948-30A5-42A2-BAF6-678D6D490FA2}"/>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0932EBD9-2F72-4E2E-8502-AD33F2F19897}"/>
    <cellStyle name="20% - Accent3 2 2 5 2 3" xfId="12129" xr:uid="{194C9333-0B52-42D0-AE8A-4A1F81D6D06E}"/>
    <cellStyle name="20% - Accent3 2 2 5 3" xfId="5763" xr:uid="{00000000-0005-0000-0000-000063010000}"/>
    <cellStyle name="20% - Accent3 2 2 5 3 2" xfId="14202" xr:uid="{D0C874EA-FC76-480B-898B-6D4E3BC6D2B3}"/>
    <cellStyle name="20% - Accent3 2 2 5 4" xfId="9984" xr:uid="{1D15F539-7E4F-442F-AD3D-98F16853BB34}"/>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2E761B74-B75A-4201-8EE2-0F45B6C4C1DF}"/>
    <cellStyle name="20% - Accent3 2 2 6 2 3" xfId="12542" xr:uid="{9B3A62DD-68B4-4105-84AC-CDF8DDCE2E14}"/>
    <cellStyle name="20% - Accent3 2 2 6 3" xfId="6176" xr:uid="{00000000-0005-0000-0000-000067010000}"/>
    <cellStyle name="20% - Accent3 2 2 6 3 2" xfId="14615" xr:uid="{AD730E2F-6B33-42CC-B077-C3CF86432B7F}"/>
    <cellStyle name="20% - Accent3 2 2 6 4" xfId="10397" xr:uid="{2D610F51-4BF5-43D7-9975-0DFB8CAE03A1}"/>
    <cellStyle name="20% - Accent3 2 2 7" xfId="2282" xr:uid="{00000000-0005-0000-0000-000068010000}"/>
    <cellStyle name="20% - Accent3 2 2 7 2" xfId="6589" xr:uid="{00000000-0005-0000-0000-000069010000}"/>
    <cellStyle name="20% - Accent3 2 2 7 2 2" xfId="15028" xr:uid="{9395457D-E2FD-487D-A0F9-2B2292FB9D40}"/>
    <cellStyle name="20% - Accent3 2 2 7 3" xfId="10810" xr:uid="{76A988BE-B052-403A-8CFB-BCCC47661038}"/>
    <cellStyle name="20% - Accent3 2 2 8" xfId="4523" xr:uid="{00000000-0005-0000-0000-00006A010000}"/>
    <cellStyle name="20% - Accent3 2 2 8 2" xfId="12962" xr:uid="{48C7B5DC-048F-4098-94EA-9E223C444143}"/>
    <cellStyle name="20% - Accent3 2 2 9" xfId="8744" xr:uid="{618F7AFA-80B3-4257-A401-CC38D149AC89}"/>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D30F1238-90B5-40D2-B43E-14E5F92FD563}"/>
    <cellStyle name="20% - Accent3 2 3 2 2 3" xfId="11305" xr:uid="{9370C807-16FE-44E0-8BB4-21E5EC80861B}"/>
    <cellStyle name="20% - Accent3 2 3 2 3" xfId="4939" xr:uid="{00000000-0005-0000-0000-00006F010000}"/>
    <cellStyle name="20% - Accent3 2 3 2 3 2" xfId="13378" xr:uid="{66242A41-2088-43B0-99AD-348F6A21A210}"/>
    <cellStyle name="20% - Accent3 2 3 2 4" xfId="9160" xr:uid="{41E35CBD-8135-4453-9983-C033E130A9FE}"/>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A14EC1EC-55C9-4BA1-9660-ED269BA28684}"/>
    <cellStyle name="20% - Accent3 2 3 3 2 3" xfId="11718" xr:uid="{2A8CB717-01D5-4906-8F91-E3F81750C2F3}"/>
    <cellStyle name="20% - Accent3 2 3 3 3" xfId="5352" xr:uid="{00000000-0005-0000-0000-000073010000}"/>
    <cellStyle name="20% - Accent3 2 3 3 3 2" xfId="13791" xr:uid="{65827662-3728-404C-80AA-ECC10F6C7D5D}"/>
    <cellStyle name="20% - Accent3 2 3 3 4" xfId="9573" xr:uid="{4BC59B33-0398-4523-A62F-2ED83064461D}"/>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E0D5356E-CC5E-40F5-98F0-0279F4E7477B}"/>
    <cellStyle name="20% - Accent3 2 3 4 2 3" xfId="12131" xr:uid="{E3976789-253F-4266-BA33-264B5C8CA8BB}"/>
    <cellStyle name="20% - Accent3 2 3 4 3" xfId="5765" xr:uid="{00000000-0005-0000-0000-000077010000}"/>
    <cellStyle name="20% - Accent3 2 3 4 3 2" xfId="14204" xr:uid="{30BB9AE2-FF36-404E-843E-2D98AFE959D8}"/>
    <cellStyle name="20% - Accent3 2 3 4 4" xfId="9986" xr:uid="{3D2F8563-C29A-4CDD-99F4-E0AA76F86353}"/>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7F744DA8-0A67-4047-8C05-824587D6FF9F}"/>
    <cellStyle name="20% - Accent3 2 3 5 2 3" xfId="12544" xr:uid="{E819EEEF-D5BE-45E2-8719-2D13C51028CA}"/>
    <cellStyle name="20% - Accent3 2 3 5 3" xfId="6178" xr:uid="{00000000-0005-0000-0000-00007B010000}"/>
    <cellStyle name="20% - Accent3 2 3 5 3 2" xfId="14617" xr:uid="{C56466E5-77AE-4381-AB00-87A2309B77D5}"/>
    <cellStyle name="20% - Accent3 2 3 5 4" xfId="10399" xr:uid="{3D1A8FE3-F919-4300-A2A9-053276CAA306}"/>
    <cellStyle name="20% - Accent3 2 3 6" xfId="2284" xr:uid="{00000000-0005-0000-0000-00007C010000}"/>
    <cellStyle name="20% - Accent3 2 3 6 2" xfId="6591" xr:uid="{00000000-0005-0000-0000-00007D010000}"/>
    <cellStyle name="20% - Accent3 2 3 6 2 2" xfId="15030" xr:uid="{31522B67-AAF2-42A3-B1AF-D9A482098E15}"/>
    <cellStyle name="20% - Accent3 2 3 6 3" xfId="10812" xr:uid="{966DB20B-54ED-42D3-97D8-1391C6BF612C}"/>
    <cellStyle name="20% - Accent3 2 3 7" xfId="4525" xr:uid="{00000000-0005-0000-0000-00007E010000}"/>
    <cellStyle name="20% - Accent3 2 3 7 2" xfId="12964" xr:uid="{C3F457DF-01D3-4335-B92C-718560F6B992}"/>
    <cellStyle name="20% - Accent3 2 3 8" xfId="8746" xr:uid="{EDAAAE6C-A3A2-448D-A531-365DB2816ECF}"/>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238EF740-2EA4-4947-86C3-5438003331F7}"/>
    <cellStyle name="20% - Accent3 2 4 2 3" xfId="11302" xr:uid="{6F0C887B-E5F8-4B6D-A765-E9C8A7E8CFB6}"/>
    <cellStyle name="20% - Accent3 2 4 3" xfId="4936" xr:uid="{00000000-0005-0000-0000-000082010000}"/>
    <cellStyle name="20% - Accent3 2 4 3 2" xfId="13375" xr:uid="{3836C15A-E0A1-4852-AA90-745A697E77A5}"/>
    <cellStyle name="20% - Accent3 2 4 4" xfId="9157" xr:uid="{335D2FB0-0661-4FFF-94DD-1967CE007BD1}"/>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0A6A1E35-1787-4C59-A732-F93071551512}"/>
    <cellStyle name="20% - Accent3 2 5 2 3" xfId="11715" xr:uid="{1BFD7085-8BE2-4379-9864-54187453D70D}"/>
    <cellStyle name="20% - Accent3 2 5 3" xfId="5349" xr:uid="{00000000-0005-0000-0000-000086010000}"/>
    <cellStyle name="20% - Accent3 2 5 3 2" xfId="13788" xr:uid="{61176660-F1F4-47C3-BBFD-AFA433F27907}"/>
    <cellStyle name="20% - Accent3 2 5 4" xfId="9570" xr:uid="{D4AC1C37-6A8D-4D82-B1B1-FE38E38D42D1}"/>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491F1177-9E01-4577-AF9F-B5AE2DEA4B57}"/>
    <cellStyle name="20% - Accent3 2 6 2 3" xfId="12128" xr:uid="{4276C754-DC6B-44CB-9C2B-F51ABC5FCB7A}"/>
    <cellStyle name="20% - Accent3 2 6 3" xfId="5762" xr:uid="{00000000-0005-0000-0000-00008A010000}"/>
    <cellStyle name="20% - Accent3 2 6 3 2" xfId="14201" xr:uid="{4E0A14D8-6D84-46D0-86DB-8E5574B39B62}"/>
    <cellStyle name="20% - Accent3 2 6 4" xfId="9983" xr:uid="{729902E8-D9AD-4311-A628-633F3F0B3332}"/>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38EA48AB-161D-4485-B783-BB7B2137734B}"/>
    <cellStyle name="20% - Accent3 2 7 2 3" xfId="12541" xr:uid="{4DBA54C8-B227-4E28-9FFF-20EE4F2ADF93}"/>
    <cellStyle name="20% - Accent3 2 7 3" xfId="6175" xr:uid="{00000000-0005-0000-0000-00008E010000}"/>
    <cellStyle name="20% - Accent3 2 7 3 2" xfId="14614" xr:uid="{A941DEC5-AF10-4999-878F-A6AFC42D302B}"/>
    <cellStyle name="20% - Accent3 2 7 4" xfId="10396" xr:uid="{C10B6F59-4F75-4B44-BC4B-356F874575C5}"/>
    <cellStyle name="20% - Accent3 2 8" xfId="2281" xr:uid="{00000000-0005-0000-0000-00008F010000}"/>
    <cellStyle name="20% - Accent3 2 8 2" xfId="6588" xr:uid="{00000000-0005-0000-0000-000090010000}"/>
    <cellStyle name="20% - Accent3 2 8 2 2" xfId="15027" xr:uid="{B0E0039F-2750-4776-BBB7-A5EA06901B8D}"/>
    <cellStyle name="20% - Accent3 2 8 3" xfId="10809" xr:uid="{5B9D7792-2864-46FA-A720-793F1F326AB3}"/>
    <cellStyle name="20% - Accent3 2 9" xfId="4522" xr:uid="{00000000-0005-0000-0000-000091010000}"/>
    <cellStyle name="20% - Accent3 2 9 2" xfId="12961" xr:uid="{346AC23B-F589-4B59-B71F-0E7F5DA3A6F9}"/>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36CBC9B7-2502-48B7-B289-F70D942B70A3}"/>
    <cellStyle name="20% - Accent3 3 2 2 2 3" xfId="11307" xr:uid="{2929FDB1-3BDF-4ECA-A055-3B5F36BE84B2}"/>
    <cellStyle name="20% - Accent3 3 2 2 3" xfId="4941" xr:uid="{00000000-0005-0000-0000-000097010000}"/>
    <cellStyle name="20% - Accent3 3 2 2 3 2" xfId="13380" xr:uid="{98EC5A2D-A1E9-47F8-85AB-86D5C68F79DA}"/>
    <cellStyle name="20% - Accent3 3 2 2 4" xfId="9162" xr:uid="{3ED5ECF9-F9DF-427D-833C-FADEC47610BD}"/>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F8822E9F-0EC8-4898-8D55-371D508757C0}"/>
    <cellStyle name="20% - Accent3 3 2 3 2 3" xfId="11720" xr:uid="{3FC85D95-94FC-40E4-A804-A0FF5495359B}"/>
    <cellStyle name="20% - Accent3 3 2 3 3" xfId="5354" xr:uid="{00000000-0005-0000-0000-00009B010000}"/>
    <cellStyle name="20% - Accent3 3 2 3 3 2" xfId="13793" xr:uid="{8AAE65C0-170D-406D-BCFC-0987064A7B16}"/>
    <cellStyle name="20% - Accent3 3 2 3 4" xfId="9575" xr:uid="{23293FC8-ABE7-49C4-84CE-EC49399E1E70}"/>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59F8CB32-5AC7-4D6B-BBE2-DE3097A185E5}"/>
    <cellStyle name="20% - Accent3 3 2 4 2 3" xfId="12133" xr:uid="{F61A6F61-28FB-48BB-B109-D3B25407EF84}"/>
    <cellStyle name="20% - Accent3 3 2 4 3" xfId="5767" xr:uid="{00000000-0005-0000-0000-00009F010000}"/>
    <cellStyle name="20% - Accent3 3 2 4 3 2" xfId="14206" xr:uid="{E4466ACE-00AA-47B4-87A2-68A94060700F}"/>
    <cellStyle name="20% - Accent3 3 2 4 4" xfId="9988" xr:uid="{40BB8DD7-3DDE-432D-8204-87CC18BB8F9F}"/>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FA6A584A-5F51-49ED-829D-CC0D479AA943}"/>
    <cellStyle name="20% - Accent3 3 2 5 2 3" xfId="12546" xr:uid="{CCB40E40-0A21-40D3-A25F-3C2AD504DA74}"/>
    <cellStyle name="20% - Accent3 3 2 5 3" xfId="6180" xr:uid="{00000000-0005-0000-0000-0000A3010000}"/>
    <cellStyle name="20% - Accent3 3 2 5 3 2" xfId="14619" xr:uid="{9331FED0-A404-4006-9D97-949D6FA957BA}"/>
    <cellStyle name="20% - Accent3 3 2 5 4" xfId="10401" xr:uid="{B69E25BA-682E-457C-959F-6E02FE581B52}"/>
    <cellStyle name="20% - Accent3 3 2 6" xfId="2286" xr:uid="{00000000-0005-0000-0000-0000A4010000}"/>
    <cellStyle name="20% - Accent3 3 2 6 2" xfId="6593" xr:uid="{00000000-0005-0000-0000-0000A5010000}"/>
    <cellStyle name="20% - Accent3 3 2 6 2 2" xfId="15032" xr:uid="{196F1F80-9D86-449E-BFAE-7D6B6F7B7CE2}"/>
    <cellStyle name="20% - Accent3 3 2 6 3" xfId="10814" xr:uid="{75A0F343-B311-4DA6-A5E6-DE27DD249951}"/>
    <cellStyle name="20% - Accent3 3 2 7" xfId="4527" xr:uid="{00000000-0005-0000-0000-0000A6010000}"/>
    <cellStyle name="20% - Accent3 3 2 7 2" xfId="12966" xr:uid="{09AF8B78-FE63-4121-9D45-76D1E1A669C3}"/>
    <cellStyle name="20% - Accent3 3 2 8" xfId="8748" xr:uid="{E57F8017-DE43-4872-B4D9-F5EF2210CE16}"/>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030DE05E-696F-409C-898F-9C9AA3AC05C3}"/>
    <cellStyle name="20% - Accent3 3 3 2 3" xfId="11306" xr:uid="{E9D51345-A6DF-4E4A-8568-D408CDA59CB9}"/>
    <cellStyle name="20% - Accent3 3 3 3" xfId="4940" xr:uid="{00000000-0005-0000-0000-0000AA010000}"/>
    <cellStyle name="20% - Accent3 3 3 3 2" xfId="13379" xr:uid="{357F76AD-3EFA-4AB5-A46A-DDD9B12EB0AC}"/>
    <cellStyle name="20% - Accent3 3 3 4" xfId="9161" xr:uid="{FE810054-F7BD-491D-A9D9-2CB95070B056}"/>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31E0FF99-9CF3-478C-80B6-5AA745B81228}"/>
    <cellStyle name="20% - Accent3 3 4 2 3" xfId="11719" xr:uid="{56FB79E8-B234-447F-9A0E-FE57CA942D2F}"/>
    <cellStyle name="20% - Accent3 3 4 3" xfId="5353" xr:uid="{00000000-0005-0000-0000-0000AE010000}"/>
    <cellStyle name="20% - Accent3 3 4 3 2" xfId="13792" xr:uid="{9095BE89-69C5-4820-B917-9BA271EE305F}"/>
    <cellStyle name="20% - Accent3 3 4 4" xfId="9574" xr:uid="{988D32A2-A204-40EC-98BC-912E5526A86A}"/>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3844F2C0-299C-44B6-AF60-DF04492057CC}"/>
    <cellStyle name="20% - Accent3 3 5 2 3" xfId="12132" xr:uid="{59EAC8E9-8266-44E4-9510-8F4F6E746046}"/>
    <cellStyle name="20% - Accent3 3 5 3" xfId="5766" xr:uid="{00000000-0005-0000-0000-0000B2010000}"/>
    <cellStyle name="20% - Accent3 3 5 3 2" xfId="14205" xr:uid="{4C10A904-AE81-4B15-B8CA-67FDB288D9C5}"/>
    <cellStyle name="20% - Accent3 3 5 4" xfId="9987" xr:uid="{4B140B62-573C-4E38-A8F6-1C891D549734}"/>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EDA61E30-366E-4953-AB46-780993E9F019}"/>
    <cellStyle name="20% - Accent3 3 6 2 3" xfId="12545" xr:uid="{57DDCF67-9AA6-48C8-80BD-D17C96AEEC04}"/>
    <cellStyle name="20% - Accent3 3 6 3" xfId="6179" xr:uid="{00000000-0005-0000-0000-0000B6010000}"/>
    <cellStyle name="20% - Accent3 3 6 3 2" xfId="14618" xr:uid="{BB3F23EF-9FD5-4026-B507-F748FE248885}"/>
    <cellStyle name="20% - Accent3 3 6 4" xfId="10400" xr:uid="{3F94D4CF-A080-487F-A6FF-2EE1CF60CE31}"/>
    <cellStyle name="20% - Accent3 3 7" xfId="2285" xr:uid="{00000000-0005-0000-0000-0000B7010000}"/>
    <cellStyle name="20% - Accent3 3 7 2" xfId="6592" xr:uid="{00000000-0005-0000-0000-0000B8010000}"/>
    <cellStyle name="20% - Accent3 3 7 2 2" xfId="15031" xr:uid="{D591C2B2-89E4-43BC-AD4C-8642C87D8B13}"/>
    <cellStyle name="20% - Accent3 3 7 3" xfId="10813" xr:uid="{A163A12F-4406-4602-B0F5-36666BA5342D}"/>
    <cellStyle name="20% - Accent3 3 8" xfId="4526" xr:uid="{00000000-0005-0000-0000-0000B9010000}"/>
    <cellStyle name="20% - Accent3 3 8 2" xfId="12965" xr:uid="{A6073E6E-0BFC-44B2-A0A4-63D678AFEAEF}"/>
    <cellStyle name="20% - Accent3 3 9" xfId="8747" xr:uid="{A41E448F-DB26-4664-82BC-95853DCE8518}"/>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68E1F0B6-18C5-4871-890F-961FA922D2CD}"/>
    <cellStyle name="20% - Accent3 4 2 2 3" xfId="11308" xr:uid="{20EE0D60-16AF-4A14-AD8C-99FBFF46276E}"/>
    <cellStyle name="20% - Accent3 4 2 3" xfId="4942" xr:uid="{00000000-0005-0000-0000-0000BE010000}"/>
    <cellStyle name="20% - Accent3 4 2 3 2" xfId="13381" xr:uid="{4F5BE177-FDBF-4AF4-9E71-AFFA3319B1EB}"/>
    <cellStyle name="20% - Accent3 4 2 4" xfId="9163" xr:uid="{BC3CEC45-E157-469B-9BF7-B1B1B60DB0B5}"/>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F9A33086-FFD0-42EA-B716-8CDECEEF6B40}"/>
    <cellStyle name="20% - Accent3 4 3 2 3" xfId="11721" xr:uid="{8A469498-8388-4421-B0FA-AD0127E5F4BC}"/>
    <cellStyle name="20% - Accent3 4 3 3" xfId="5355" xr:uid="{00000000-0005-0000-0000-0000C2010000}"/>
    <cellStyle name="20% - Accent3 4 3 3 2" xfId="13794" xr:uid="{49C362ED-8F76-4A3D-BC45-2FFA254942A1}"/>
    <cellStyle name="20% - Accent3 4 3 4" xfId="9576" xr:uid="{2020133C-5405-404C-B11E-5E2EEFA98170}"/>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2BAE78A3-1E24-4D48-8E33-B570E157B0FF}"/>
    <cellStyle name="20% - Accent3 4 4 2 3" xfId="12134" xr:uid="{E6708766-528B-4C80-8A5E-6A062E90C02C}"/>
    <cellStyle name="20% - Accent3 4 4 3" xfId="5768" xr:uid="{00000000-0005-0000-0000-0000C6010000}"/>
    <cellStyle name="20% - Accent3 4 4 3 2" xfId="14207" xr:uid="{21C9984F-4F5C-4D9B-A0EC-FE67F8DBFFD0}"/>
    <cellStyle name="20% - Accent3 4 4 4" xfId="9989" xr:uid="{9FD7A105-BAE2-43A0-AAA3-1BC126D5D836}"/>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5DBDFBA8-2757-4B6C-BCD0-E73D29F93132}"/>
    <cellStyle name="20% - Accent3 4 5 2 3" xfId="12547" xr:uid="{8DD0C1BD-3D91-4B13-ADDC-552D068EE261}"/>
    <cellStyle name="20% - Accent3 4 5 3" xfId="6181" xr:uid="{00000000-0005-0000-0000-0000CA010000}"/>
    <cellStyle name="20% - Accent3 4 5 3 2" xfId="14620" xr:uid="{5B979768-EA28-4CE6-8D50-F0011F9E98EF}"/>
    <cellStyle name="20% - Accent3 4 5 4" xfId="10402" xr:uid="{9F9450B8-7A0F-42B9-A5DE-1C3C08EAD4CF}"/>
    <cellStyle name="20% - Accent3 4 6" xfId="2287" xr:uid="{00000000-0005-0000-0000-0000CB010000}"/>
    <cellStyle name="20% - Accent3 4 6 2" xfId="6594" xr:uid="{00000000-0005-0000-0000-0000CC010000}"/>
    <cellStyle name="20% - Accent3 4 6 2 2" xfId="15033" xr:uid="{7BFD7A55-8525-408F-B2B9-06A4DF33AB30}"/>
    <cellStyle name="20% - Accent3 4 6 3" xfId="10815" xr:uid="{AAB8EDB3-DD8A-48BB-A45F-A503195C7005}"/>
    <cellStyle name="20% - Accent3 4 7" xfId="4528" xr:uid="{00000000-0005-0000-0000-0000CD010000}"/>
    <cellStyle name="20% - Accent3 4 7 2" xfId="12967" xr:uid="{9F1C7F6F-5817-4A71-9672-7940EE556F6D}"/>
    <cellStyle name="20% - Accent3 4 8" xfId="8749" xr:uid="{3661ADFF-3D4A-419A-99D9-178A2EA2DEDA}"/>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19775213-1542-48EB-8672-5F49057B5133}"/>
    <cellStyle name="20% - Accent3 5 2 3" xfId="11301" xr:uid="{EEEC1CAB-2762-4393-9789-430546D9023A}"/>
    <cellStyle name="20% - Accent3 5 3" xfId="4935" xr:uid="{00000000-0005-0000-0000-0000D1010000}"/>
    <cellStyle name="20% - Accent3 5 3 2" xfId="13374" xr:uid="{736EAA84-30E0-4433-9B41-6E7E7A9623E7}"/>
    <cellStyle name="20% - Accent3 5 4" xfId="9156" xr:uid="{F553E79E-65EE-41AA-9962-A0F86AEA543B}"/>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5FB8C71C-3C9F-4E82-A8E1-90FD295FE72A}"/>
    <cellStyle name="20% - Accent3 6 2 3" xfId="11714" xr:uid="{701F6043-0518-4379-92E5-9B868EB298CF}"/>
    <cellStyle name="20% - Accent3 6 3" xfId="5348" xr:uid="{00000000-0005-0000-0000-0000D5010000}"/>
    <cellStyle name="20% - Accent3 6 3 2" xfId="13787" xr:uid="{DB6A8EDB-B936-46A4-B1E4-36A524EC94E0}"/>
    <cellStyle name="20% - Accent3 6 4" xfId="9569" xr:uid="{18CE48B7-F672-4804-9AB8-9DA9A9257E7E}"/>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5C45BD4F-A711-4512-85A4-DA3B3BD22B1A}"/>
    <cellStyle name="20% - Accent3 7 2 3" xfId="12127" xr:uid="{4203B437-1C63-4673-84AD-FAB82BBB4FF2}"/>
    <cellStyle name="20% - Accent3 7 3" xfId="5761" xr:uid="{00000000-0005-0000-0000-0000D9010000}"/>
    <cellStyle name="20% - Accent3 7 3 2" xfId="14200" xr:uid="{7C8A8B14-01F3-4F99-8554-99CE28661BBB}"/>
    <cellStyle name="20% - Accent3 7 4" xfId="9982" xr:uid="{658EB36B-F8F3-4BB2-A43B-686CF646D649}"/>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A048C403-30BC-4AC2-86F8-13100B956F94}"/>
    <cellStyle name="20% - Accent3 8 2 3" xfId="12540" xr:uid="{FA1C1F01-EF96-4695-9F50-25BCF075551F}"/>
    <cellStyle name="20% - Accent3 8 3" xfId="6174" xr:uid="{00000000-0005-0000-0000-0000DD010000}"/>
    <cellStyle name="20% - Accent3 8 3 2" xfId="14613" xr:uid="{0BC9C08E-7962-4D73-B2A1-18DE1168DEA3}"/>
    <cellStyle name="20% - Accent3 8 4" xfId="10395" xr:uid="{250B76A7-D87E-4D14-82B4-99F709A33E98}"/>
    <cellStyle name="20% - Accent3 9" xfId="2280" xr:uid="{00000000-0005-0000-0000-0000DE010000}"/>
    <cellStyle name="20% - Accent3 9 2" xfId="6587" xr:uid="{00000000-0005-0000-0000-0000DF010000}"/>
    <cellStyle name="20% - Accent3 9 2 2" xfId="15026" xr:uid="{0E4F6082-1D42-4A93-9496-87168BF51109}"/>
    <cellStyle name="20% - Accent3 9 3" xfId="10808" xr:uid="{4ED59C15-6DE9-4FFB-8154-9C3BD206500F}"/>
    <cellStyle name="20% - Accent4" xfId="25" builtinId="42" customBuiltin="1"/>
    <cellStyle name="20% - Accent4 10" xfId="4529" xr:uid="{00000000-0005-0000-0000-0000E1010000}"/>
    <cellStyle name="20% - Accent4 10 2" xfId="12968" xr:uid="{ED74B77C-20AA-477D-8BA2-EDBF988059C9}"/>
    <cellStyle name="20% - Accent4 11" xfId="8750" xr:uid="{7F15EAA8-8DFE-4DAB-AA93-686ED0AA90FC}"/>
    <cellStyle name="20% - Accent4 2" xfId="26" xr:uid="{00000000-0005-0000-0000-0000E2010000}"/>
    <cellStyle name="20% - Accent4 2 10" xfId="8751" xr:uid="{41324344-94AC-4B17-8B5D-E6BA642636B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955B02B8-AABB-4ACF-A5EF-6B5812C23708}"/>
    <cellStyle name="20% - Accent4 2 2 2 2 2 3" xfId="11312" xr:uid="{FB8D6B31-780B-4060-9FAA-0B2FD2A03FB2}"/>
    <cellStyle name="20% - Accent4 2 2 2 2 3" xfId="4946" xr:uid="{00000000-0005-0000-0000-0000E8010000}"/>
    <cellStyle name="20% - Accent4 2 2 2 2 3 2" xfId="13385" xr:uid="{12194036-F7E1-436C-B840-643F5CB824FB}"/>
    <cellStyle name="20% - Accent4 2 2 2 2 4" xfId="9167" xr:uid="{FE0C0991-AFEA-446F-B4DB-C9CE396D8E7B}"/>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C0357CE3-6DB6-4EE6-A751-BF2E363445AD}"/>
    <cellStyle name="20% - Accent4 2 2 2 3 2 3" xfId="11725" xr:uid="{724B0CBE-6FC8-4C07-9686-72A4E385D8E2}"/>
    <cellStyle name="20% - Accent4 2 2 2 3 3" xfId="5359" xr:uid="{00000000-0005-0000-0000-0000EC010000}"/>
    <cellStyle name="20% - Accent4 2 2 2 3 3 2" xfId="13798" xr:uid="{2B51515C-659E-4DB1-ADFE-56DF46434ED8}"/>
    <cellStyle name="20% - Accent4 2 2 2 3 4" xfId="9580" xr:uid="{835187D3-D112-4611-AB81-9CE0F6ED095A}"/>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2B7A0C28-DCD9-4D95-AC14-1F3D9612D41E}"/>
    <cellStyle name="20% - Accent4 2 2 2 4 2 3" xfId="12138" xr:uid="{737558E0-20C1-4943-8AA5-8526D928571A}"/>
    <cellStyle name="20% - Accent4 2 2 2 4 3" xfId="5772" xr:uid="{00000000-0005-0000-0000-0000F0010000}"/>
    <cellStyle name="20% - Accent4 2 2 2 4 3 2" xfId="14211" xr:uid="{253BC05F-41BC-4615-8B3B-C27F05485BFE}"/>
    <cellStyle name="20% - Accent4 2 2 2 4 4" xfId="9993" xr:uid="{9D2DBFB8-23B6-4DCF-AF1D-4A4787F1B94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802BDDA8-9D56-4575-8C7A-7306A604E402}"/>
    <cellStyle name="20% - Accent4 2 2 2 5 2 3" xfId="12551" xr:uid="{B9174437-73B7-4105-ACC2-90F396C289C8}"/>
    <cellStyle name="20% - Accent4 2 2 2 5 3" xfId="6185" xr:uid="{00000000-0005-0000-0000-0000F4010000}"/>
    <cellStyle name="20% - Accent4 2 2 2 5 3 2" xfId="14624" xr:uid="{52B2C1FB-07B3-429B-B636-9CCAB23A7C5C}"/>
    <cellStyle name="20% - Accent4 2 2 2 5 4" xfId="10406" xr:uid="{4053925A-8E17-4BAB-9EBC-DAED2DFF833B}"/>
    <cellStyle name="20% - Accent4 2 2 2 6" xfId="2291" xr:uid="{00000000-0005-0000-0000-0000F5010000}"/>
    <cellStyle name="20% - Accent4 2 2 2 6 2" xfId="6598" xr:uid="{00000000-0005-0000-0000-0000F6010000}"/>
    <cellStyle name="20% - Accent4 2 2 2 6 2 2" xfId="15037" xr:uid="{30555595-3FE6-4DDA-A860-5B929E4A753C}"/>
    <cellStyle name="20% - Accent4 2 2 2 6 3" xfId="10819" xr:uid="{747F0956-3653-4E7E-B5A2-4B2C2FD89341}"/>
    <cellStyle name="20% - Accent4 2 2 2 7" xfId="4532" xr:uid="{00000000-0005-0000-0000-0000F7010000}"/>
    <cellStyle name="20% - Accent4 2 2 2 7 2" xfId="12971" xr:uid="{68FBFD20-C178-4145-87D1-19351B443DDC}"/>
    <cellStyle name="20% - Accent4 2 2 2 8" xfId="8753" xr:uid="{F11DA94B-C586-41C4-B8DC-261FD7951B3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DB486A37-4F50-4E96-A025-E8D7BFFD3AC5}"/>
    <cellStyle name="20% - Accent4 2 2 3 2 3" xfId="11311" xr:uid="{195626A8-F40F-4F1F-B562-D94F4F2C9BD7}"/>
    <cellStyle name="20% - Accent4 2 2 3 3" xfId="4945" xr:uid="{00000000-0005-0000-0000-0000FB010000}"/>
    <cellStyle name="20% - Accent4 2 2 3 3 2" xfId="13384" xr:uid="{9A3D00C6-17E1-4704-875A-C02213069542}"/>
    <cellStyle name="20% - Accent4 2 2 3 4" xfId="9166" xr:uid="{521E7CBA-D85A-4DA4-A16F-29597973EAE4}"/>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4BE088C5-141B-4CA5-8E0F-2A04FD4A8C67}"/>
    <cellStyle name="20% - Accent4 2 2 4 2 3" xfId="11724" xr:uid="{CE7E7781-7400-4218-9FE7-C1EBDEAA8CA0}"/>
    <cellStyle name="20% - Accent4 2 2 4 3" xfId="5358" xr:uid="{00000000-0005-0000-0000-0000FF010000}"/>
    <cellStyle name="20% - Accent4 2 2 4 3 2" xfId="13797" xr:uid="{A8118D76-2A15-4755-A8F4-07678FE7ACCD}"/>
    <cellStyle name="20% - Accent4 2 2 4 4" xfId="9579" xr:uid="{0A9DD599-71BB-4D2C-ABBD-65B00D3794F1}"/>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24D9D7B4-1C5D-4795-9EAD-3A5BFB3CADE3}"/>
    <cellStyle name="20% - Accent4 2 2 5 2 3" xfId="12137" xr:uid="{C892CF4B-477E-4BF7-9CE5-12FFC6EFA364}"/>
    <cellStyle name="20% - Accent4 2 2 5 3" xfId="5771" xr:uid="{00000000-0005-0000-0000-000003020000}"/>
    <cellStyle name="20% - Accent4 2 2 5 3 2" xfId="14210" xr:uid="{4249BF1A-DAEE-49BD-B7DE-0AE758F2D28C}"/>
    <cellStyle name="20% - Accent4 2 2 5 4" xfId="9992" xr:uid="{8CCEB572-79A5-4839-81D7-67656E7AD54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E33A2C86-2BE9-46E6-A297-823DA273C07F}"/>
    <cellStyle name="20% - Accent4 2 2 6 2 3" xfId="12550" xr:uid="{F7F95CA6-1541-4AD1-B030-952BFD7CCC6A}"/>
    <cellStyle name="20% - Accent4 2 2 6 3" xfId="6184" xr:uid="{00000000-0005-0000-0000-000007020000}"/>
    <cellStyle name="20% - Accent4 2 2 6 3 2" xfId="14623" xr:uid="{7357D47C-F1CB-473B-8358-CAB8EE0C96D1}"/>
    <cellStyle name="20% - Accent4 2 2 6 4" xfId="10405" xr:uid="{D9DC5CE1-1C39-47D2-B4DA-A136DEB5ED9E}"/>
    <cellStyle name="20% - Accent4 2 2 7" xfId="2290" xr:uid="{00000000-0005-0000-0000-000008020000}"/>
    <cellStyle name="20% - Accent4 2 2 7 2" xfId="6597" xr:uid="{00000000-0005-0000-0000-000009020000}"/>
    <cellStyle name="20% - Accent4 2 2 7 2 2" xfId="15036" xr:uid="{0C24C822-C0D4-40A1-9AAA-8952D7F77BC9}"/>
    <cellStyle name="20% - Accent4 2 2 7 3" xfId="10818" xr:uid="{06A90B1D-C7CC-403F-8EA1-14FD1170B13A}"/>
    <cellStyle name="20% - Accent4 2 2 8" xfId="4531" xr:uid="{00000000-0005-0000-0000-00000A020000}"/>
    <cellStyle name="20% - Accent4 2 2 8 2" xfId="12970" xr:uid="{33FD4483-F9B1-4FA8-9AD4-9BDED63540D5}"/>
    <cellStyle name="20% - Accent4 2 2 9" xfId="8752" xr:uid="{671B2EE8-B53D-4B56-A960-A025C1FACEE1}"/>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ACB7BF56-57E5-4DCF-B6AE-E2259DA27D12}"/>
    <cellStyle name="20% - Accent4 2 3 2 2 3" xfId="11313" xr:uid="{2587CB4C-9F3D-4C21-8CE2-1F6545000229}"/>
    <cellStyle name="20% - Accent4 2 3 2 3" xfId="4947" xr:uid="{00000000-0005-0000-0000-00000F020000}"/>
    <cellStyle name="20% - Accent4 2 3 2 3 2" xfId="13386" xr:uid="{EF5E146B-5527-42FB-9827-F72C89F05B0C}"/>
    <cellStyle name="20% - Accent4 2 3 2 4" xfId="9168" xr:uid="{AFE4D04D-4346-47B8-9B91-8B7149E60675}"/>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71E58E01-AA56-450B-A7CD-E324D698CE1E}"/>
    <cellStyle name="20% - Accent4 2 3 3 2 3" xfId="11726" xr:uid="{D56AB7D1-917B-4480-A420-48C87A18B3D8}"/>
    <cellStyle name="20% - Accent4 2 3 3 3" xfId="5360" xr:uid="{00000000-0005-0000-0000-000013020000}"/>
    <cellStyle name="20% - Accent4 2 3 3 3 2" xfId="13799" xr:uid="{D0849850-66E3-4591-BE9D-02F7C9EA2942}"/>
    <cellStyle name="20% - Accent4 2 3 3 4" xfId="9581" xr:uid="{62EB401B-676D-43B3-8F89-8BA88DDBB693}"/>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99128F4C-8049-49BF-A6DD-1E514E942CC0}"/>
    <cellStyle name="20% - Accent4 2 3 4 2 3" xfId="12139" xr:uid="{EF8741F1-3359-4E85-B127-FF2562DF3942}"/>
    <cellStyle name="20% - Accent4 2 3 4 3" xfId="5773" xr:uid="{00000000-0005-0000-0000-000017020000}"/>
    <cellStyle name="20% - Accent4 2 3 4 3 2" xfId="14212" xr:uid="{BEFF8EF2-9AEC-4294-BA72-AFAA7463441E}"/>
    <cellStyle name="20% - Accent4 2 3 4 4" xfId="9994" xr:uid="{90BE031D-E100-42B1-B98C-97EDF4CD150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F506BE34-0494-444D-AC19-8D4D93722927}"/>
    <cellStyle name="20% - Accent4 2 3 5 2 3" xfId="12552" xr:uid="{CE553126-F3C1-41DE-B0F1-227CAADF0809}"/>
    <cellStyle name="20% - Accent4 2 3 5 3" xfId="6186" xr:uid="{00000000-0005-0000-0000-00001B020000}"/>
    <cellStyle name="20% - Accent4 2 3 5 3 2" xfId="14625" xr:uid="{81716DDC-C334-4BC3-82A9-94FA0ADAA736}"/>
    <cellStyle name="20% - Accent4 2 3 5 4" xfId="10407" xr:uid="{E0BDB4AB-CAB2-434A-90F6-9B12C815315B}"/>
    <cellStyle name="20% - Accent4 2 3 6" xfId="2292" xr:uid="{00000000-0005-0000-0000-00001C020000}"/>
    <cellStyle name="20% - Accent4 2 3 6 2" xfId="6599" xr:uid="{00000000-0005-0000-0000-00001D020000}"/>
    <cellStyle name="20% - Accent4 2 3 6 2 2" xfId="15038" xr:uid="{DD83B7C4-036C-4561-806C-2F1CA948BAF1}"/>
    <cellStyle name="20% - Accent4 2 3 6 3" xfId="10820" xr:uid="{7DB7AEE1-4494-4BFE-AA81-52945C9E8D00}"/>
    <cellStyle name="20% - Accent4 2 3 7" xfId="4533" xr:uid="{00000000-0005-0000-0000-00001E020000}"/>
    <cellStyle name="20% - Accent4 2 3 7 2" xfId="12972" xr:uid="{E83CB1A0-8B6B-4F9F-925B-E3E276E08C4D}"/>
    <cellStyle name="20% - Accent4 2 3 8" xfId="8754" xr:uid="{914A73DD-EF28-418E-A1E6-25ECF998B572}"/>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79394201-7B79-469C-B29A-F0D03CD3206E}"/>
    <cellStyle name="20% - Accent4 2 4 2 3" xfId="11310" xr:uid="{2040B9C0-FC3C-4FDA-A002-74234815075E}"/>
    <cellStyle name="20% - Accent4 2 4 3" xfId="4944" xr:uid="{00000000-0005-0000-0000-000022020000}"/>
    <cellStyle name="20% - Accent4 2 4 3 2" xfId="13383" xr:uid="{1155982A-5713-42AD-AB1C-515D7F68AAD8}"/>
    <cellStyle name="20% - Accent4 2 4 4" xfId="9165" xr:uid="{04C304EA-4CD0-4F74-83A9-20A3491A821F}"/>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6D49E20D-BDBA-457B-A9FC-48D1D04E28C5}"/>
    <cellStyle name="20% - Accent4 2 5 2 3" xfId="11723" xr:uid="{0B2E81C4-EC5F-4822-9206-7E20832C4BA0}"/>
    <cellStyle name="20% - Accent4 2 5 3" xfId="5357" xr:uid="{00000000-0005-0000-0000-000026020000}"/>
    <cellStyle name="20% - Accent4 2 5 3 2" xfId="13796" xr:uid="{7F0B29FC-D55A-4455-AE8A-95994AEAEC9F}"/>
    <cellStyle name="20% - Accent4 2 5 4" xfId="9578" xr:uid="{0FFFDB6C-8B12-4028-BF42-AD250C81DC99}"/>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9B87BF70-44B3-460E-8ED9-BB19382BB1D5}"/>
    <cellStyle name="20% - Accent4 2 6 2 3" xfId="12136" xr:uid="{398BBA2F-47BF-450C-95FA-8669DF8D93E1}"/>
    <cellStyle name="20% - Accent4 2 6 3" xfId="5770" xr:uid="{00000000-0005-0000-0000-00002A020000}"/>
    <cellStyle name="20% - Accent4 2 6 3 2" xfId="14209" xr:uid="{46E08A77-9AC5-42DC-BD0A-BAC59368B4C3}"/>
    <cellStyle name="20% - Accent4 2 6 4" xfId="9991" xr:uid="{F41C10B8-B617-41FB-9E61-9801534A0827}"/>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621082FD-B203-4D2D-A3CA-5D7A15BFFF22}"/>
    <cellStyle name="20% - Accent4 2 7 2 3" xfId="12549" xr:uid="{EF2ADA46-940D-4125-839F-4D940E7E8656}"/>
    <cellStyle name="20% - Accent4 2 7 3" xfId="6183" xr:uid="{00000000-0005-0000-0000-00002E020000}"/>
    <cellStyle name="20% - Accent4 2 7 3 2" xfId="14622" xr:uid="{E87B8A03-80A0-4CDE-B813-B72D63D68798}"/>
    <cellStyle name="20% - Accent4 2 7 4" xfId="10404" xr:uid="{B51C80D3-2096-4FBC-871E-D9A766BF6BFB}"/>
    <cellStyle name="20% - Accent4 2 8" xfId="2289" xr:uid="{00000000-0005-0000-0000-00002F020000}"/>
    <cellStyle name="20% - Accent4 2 8 2" xfId="6596" xr:uid="{00000000-0005-0000-0000-000030020000}"/>
    <cellStyle name="20% - Accent4 2 8 2 2" xfId="15035" xr:uid="{8A5EC447-2F37-4F6D-B773-069682300E7F}"/>
    <cellStyle name="20% - Accent4 2 8 3" xfId="10817" xr:uid="{8BA37265-3EEF-42D2-A986-7A7C51447150}"/>
    <cellStyle name="20% - Accent4 2 9" xfId="4530" xr:uid="{00000000-0005-0000-0000-000031020000}"/>
    <cellStyle name="20% - Accent4 2 9 2" xfId="12969" xr:uid="{62F39E9E-1DA4-472C-A9FC-BB8BD523F813}"/>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FB3AEA3D-6DD4-4C23-B4D3-E4F5D2FD51AD}"/>
    <cellStyle name="20% - Accent4 3 2 2 2 3" xfId="11315" xr:uid="{D755D482-F6B8-485F-907B-6F9B71B9A9E5}"/>
    <cellStyle name="20% - Accent4 3 2 2 3" xfId="4949" xr:uid="{00000000-0005-0000-0000-000037020000}"/>
    <cellStyle name="20% - Accent4 3 2 2 3 2" xfId="13388" xr:uid="{97DABB53-79D8-4396-84D2-8BD716E5E50C}"/>
    <cellStyle name="20% - Accent4 3 2 2 4" xfId="9170" xr:uid="{19868FE5-FA90-450C-B5D2-5D839D90608B}"/>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D20BD57E-30B7-4F8F-9D27-21C5AA1E2B2F}"/>
    <cellStyle name="20% - Accent4 3 2 3 2 3" xfId="11728" xr:uid="{75CC937A-C599-4D26-A0E7-681E2A263911}"/>
    <cellStyle name="20% - Accent4 3 2 3 3" xfId="5362" xr:uid="{00000000-0005-0000-0000-00003B020000}"/>
    <cellStyle name="20% - Accent4 3 2 3 3 2" xfId="13801" xr:uid="{6564534F-65C3-48C9-9C82-951D65DB5E1D}"/>
    <cellStyle name="20% - Accent4 3 2 3 4" xfId="9583" xr:uid="{C8B1A8E1-D6EF-4A0C-90EA-3CD509BC8D2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E613FC78-18BB-4E03-B90F-4F9C53213DFA}"/>
    <cellStyle name="20% - Accent4 3 2 4 2 3" xfId="12141" xr:uid="{B826DADF-6284-4BF3-9D2E-FEA83D8129A2}"/>
    <cellStyle name="20% - Accent4 3 2 4 3" xfId="5775" xr:uid="{00000000-0005-0000-0000-00003F020000}"/>
    <cellStyle name="20% - Accent4 3 2 4 3 2" xfId="14214" xr:uid="{26F6DFED-732B-41EE-BF59-C69377CC9B47}"/>
    <cellStyle name="20% - Accent4 3 2 4 4" xfId="9996" xr:uid="{EDF830E3-DBC8-46A0-930D-7C147902DFEB}"/>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02AE28AB-1CB6-4F15-B18E-A9A9FD94124D}"/>
    <cellStyle name="20% - Accent4 3 2 5 2 3" xfId="12554" xr:uid="{4665ED37-5FF9-4AC9-BF95-DD7864AFB239}"/>
    <cellStyle name="20% - Accent4 3 2 5 3" xfId="6188" xr:uid="{00000000-0005-0000-0000-000043020000}"/>
    <cellStyle name="20% - Accent4 3 2 5 3 2" xfId="14627" xr:uid="{CDDAD5B8-0773-44D8-BE9B-672FEE51CBF4}"/>
    <cellStyle name="20% - Accent4 3 2 5 4" xfId="10409" xr:uid="{D50787E3-4E1E-4632-9465-2591F71C7D93}"/>
    <cellStyle name="20% - Accent4 3 2 6" xfId="2294" xr:uid="{00000000-0005-0000-0000-000044020000}"/>
    <cellStyle name="20% - Accent4 3 2 6 2" xfId="6601" xr:uid="{00000000-0005-0000-0000-000045020000}"/>
    <cellStyle name="20% - Accent4 3 2 6 2 2" xfId="15040" xr:uid="{310433B0-EAB8-46A6-B5D2-32731083C3D8}"/>
    <cellStyle name="20% - Accent4 3 2 6 3" xfId="10822" xr:uid="{67753244-8B8F-475A-B382-738D28FF907A}"/>
    <cellStyle name="20% - Accent4 3 2 7" xfId="4535" xr:uid="{00000000-0005-0000-0000-000046020000}"/>
    <cellStyle name="20% - Accent4 3 2 7 2" xfId="12974" xr:uid="{4B4901AB-323F-4225-910E-2A945F51C204}"/>
    <cellStyle name="20% - Accent4 3 2 8" xfId="8756" xr:uid="{F9F7574B-E58C-400F-84E5-9ED78CC63DE7}"/>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871CFDD1-D735-428D-981F-9CE8DBAD2F85}"/>
    <cellStyle name="20% - Accent4 3 3 2 3" xfId="11314" xr:uid="{E635BF58-7B9F-42D3-9AF7-9EFC058FC1AE}"/>
    <cellStyle name="20% - Accent4 3 3 3" xfId="4948" xr:uid="{00000000-0005-0000-0000-00004A020000}"/>
    <cellStyle name="20% - Accent4 3 3 3 2" xfId="13387" xr:uid="{FDF769DF-BC89-4B38-B24A-AEAF47BB1FAD}"/>
    <cellStyle name="20% - Accent4 3 3 4" xfId="9169" xr:uid="{576990B5-7FD3-49E9-AD8D-A42EAC265008}"/>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AF12301C-B7E9-489E-91A1-76852D1DE76C}"/>
    <cellStyle name="20% - Accent4 3 4 2 3" xfId="11727" xr:uid="{815841CB-726B-4ECF-829D-EB1BD9DE70BC}"/>
    <cellStyle name="20% - Accent4 3 4 3" xfId="5361" xr:uid="{00000000-0005-0000-0000-00004E020000}"/>
    <cellStyle name="20% - Accent4 3 4 3 2" xfId="13800" xr:uid="{7DAEF65F-2F33-49D0-9DBB-04E8BE65500C}"/>
    <cellStyle name="20% - Accent4 3 4 4" xfId="9582" xr:uid="{8DD461D1-E38F-4324-9800-20446DCBD57B}"/>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BE01CDD5-B032-43D1-B836-571E355303E5}"/>
    <cellStyle name="20% - Accent4 3 5 2 3" xfId="12140" xr:uid="{54F20FD4-2932-4516-8F1B-EA47680C8AA6}"/>
    <cellStyle name="20% - Accent4 3 5 3" xfId="5774" xr:uid="{00000000-0005-0000-0000-000052020000}"/>
    <cellStyle name="20% - Accent4 3 5 3 2" xfId="14213" xr:uid="{86E247B2-CAD1-43CA-9416-837585173052}"/>
    <cellStyle name="20% - Accent4 3 5 4" xfId="9995" xr:uid="{C0057F71-C308-4F6D-8A82-5E721B56A3D7}"/>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354238B7-A776-4461-A808-61665537AADF}"/>
    <cellStyle name="20% - Accent4 3 6 2 3" xfId="12553" xr:uid="{55D3167C-CD51-4740-93D7-DB85FAA1CF34}"/>
    <cellStyle name="20% - Accent4 3 6 3" xfId="6187" xr:uid="{00000000-0005-0000-0000-000056020000}"/>
    <cellStyle name="20% - Accent4 3 6 3 2" xfId="14626" xr:uid="{652EBE2D-7D7D-4604-8D33-A972F0C676E9}"/>
    <cellStyle name="20% - Accent4 3 6 4" xfId="10408" xr:uid="{5DE3A567-ECA9-40EB-BF2F-5F75D8A09276}"/>
    <cellStyle name="20% - Accent4 3 7" xfId="2293" xr:uid="{00000000-0005-0000-0000-000057020000}"/>
    <cellStyle name="20% - Accent4 3 7 2" xfId="6600" xr:uid="{00000000-0005-0000-0000-000058020000}"/>
    <cellStyle name="20% - Accent4 3 7 2 2" xfId="15039" xr:uid="{C2732B66-50A6-4552-8F3B-84319F8A75D5}"/>
    <cellStyle name="20% - Accent4 3 7 3" xfId="10821" xr:uid="{7246CC7C-5399-4128-AAD3-09EB5F06C2CA}"/>
    <cellStyle name="20% - Accent4 3 8" xfId="4534" xr:uid="{00000000-0005-0000-0000-000059020000}"/>
    <cellStyle name="20% - Accent4 3 8 2" xfId="12973" xr:uid="{AFDA02E4-BE90-4009-8EF7-CDBBD538D85A}"/>
    <cellStyle name="20% - Accent4 3 9" xfId="8755" xr:uid="{CB08ADE7-B9F9-40A7-AF43-7C0BF1C2DAEF}"/>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AB7A56D4-2D3B-4328-B708-D77FC17FEF24}"/>
    <cellStyle name="20% - Accent4 4 2 2 3" xfId="11316" xr:uid="{4C4511AE-4F8D-4881-BC5B-9B7A28BC831A}"/>
    <cellStyle name="20% - Accent4 4 2 3" xfId="4950" xr:uid="{00000000-0005-0000-0000-00005E020000}"/>
    <cellStyle name="20% - Accent4 4 2 3 2" xfId="13389" xr:uid="{B1BB2FDC-06F8-450D-9348-EBAB70B3399C}"/>
    <cellStyle name="20% - Accent4 4 2 4" xfId="9171" xr:uid="{CD57C608-A67B-4A04-88F0-6F88FD163888}"/>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5BA908A5-B191-47CE-9983-9D098362D676}"/>
    <cellStyle name="20% - Accent4 4 3 2 3" xfId="11729" xr:uid="{5AC6E4B8-0479-413F-8666-07262899AED4}"/>
    <cellStyle name="20% - Accent4 4 3 3" xfId="5363" xr:uid="{00000000-0005-0000-0000-000062020000}"/>
    <cellStyle name="20% - Accent4 4 3 3 2" xfId="13802" xr:uid="{814D135A-CA35-48E8-B3F3-FD074196338D}"/>
    <cellStyle name="20% - Accent4 4 3 4" xfId="9584" xr:uid="{724F63E7-D2FD-47D2-A9CE-C309A55490EE}"/>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9AF2B8B7-5918-431C-B200-ED419CB705C9}"/>
    <cellStyle name="20% - Accent4 4 4 2 3" xfId="12142" xr:uid="{93338740-3C2C-4398-8E3D-D12B62AAA502}"/>
    <cellStyle name="20% - Accent4 4 4 3" xfId="5776" xr:uid="{00000000-0005-0000-0000-000066020000}"/>
    <cellStyle name="20% - Accent4 4 4 3 2" xfId="14215" xr:uid="{68CBF69B-0C31-4447-A8CA-EEF3F17C7385}"/>
    <cellStyle name="20% - Accent4 4 4 4" xfId="9997" xr:uid="{B78CC1E7-9E67-4820-9B6C-5EEE223FF64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3B008039-E417-4746-AC21-002E8B6C88FA}"/>
    <cellStyle name="20% - Accent4 4 5 2 3" xfId="12555" xr:uid="{41DF02B7-E670-471D-863D-3CEE7E2DC766}"/>
    <cellStyle name="20% - Accent4 4 5 3" xfId="6189" xr:uid="{00000000-0005-0000-0000-00006A020000}"/>
    <cellStyle name="20% - Accent4 4 5 3 2" xfId="14628" xr:uid="{B8E6C735-7A5F-4456-93CD-36056DCF19B5}"/>
    <cellStyle name="20% - Accent4 4 5 4" xfId="10410" xr:uid="{525685BC-50FB-4B27-9294-0F9CE8541C0C}"/>
    <cellStyle name="20% - Accent4 4 6" xfId="2295" xr:uid="{00000000-0005-0000-0000-00006B020000}"/>
    <cellStyle name="20% - Accent4 4 6 2" xfId="6602" xr:uid="{00000000-0005-0000-0000-00006C020000}"/>
    <cellStyle name="20% - Accent4 4 6 2 2" xfId="15041" xr:uid="{D31AAFA0-A0CB-466E-B11A-FC0BBCB3C4B2}"/>
    <cellStyle name="20% - Accent4 4 6 3" xfId="10823" xr:uid="{49465065-61A1-4353-9217-C5D58051BBA6}"/>
    <cellStyle name="20% - Accent4 4 7" xfId="4536" xr:uid="{00000000-0005-0000-0000-00006D020000}"/>
    <cellStyle name="20% - Accent4 4 7 2" xfId="12975" xr:uid="{F71AABE5-4CC7-4664-93FB-3390B555854F}"/>
    <cellStyle name="20% - Accent4 4 8" xfId="8757" xr:uid="{3F7DDC7F-2CCA-4016-A666-263C152F4C77}"/>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4434336E-934D-49CE-9671-2EF2D526826C}"/>
    <cellStyle name="20% - Accent4 5 2 3" xfId="11309" xr:uid="{8170390A-5B9A-4ED5-A198-A7FDC0D5E713}"/>
    <cellStyle name="20% - Accent4 5 3" xfId="4943" xr:uid="{00000000-0005-0000-0000-000071020000}"/>
    <cellStyle name="20% - Accent4 5 3 2" xfId="13382" xr:uid="{7A9C8BB6-2271-4308-8E52-31127F5CCB6F}"/>
    <cellStyle name="20% - Accent4 5 4" xfId="9164" xr:uid="{1DEB0937-870A-46B3-856D-031F53C208A8}"/>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4F166450-64FF-4617-9B23-C6DF0C6F0C7A}"/>
    <cellStyle name="20% - Accent4 6 2 3" xfId="11722" xr:uid="{BA054534-7E9A-4A30-9563-7725BEBFD5ED}"/>
    <cellStyle name="20% - Accent4 6 3" xfId="5356" xr:uid="{00000000-0005-0000-0000-000075020000}"/>
    <cellStyle name="20% - Accent4 6 3 2" xfId="13795" xr:uid="{4E1C5143-01B0-4461-9C66-5D6315654CF9}"/>
    <cellStyle name="20% - Accent4 6 4" xfId="9577" xr:uid="{56DD5973-D8D6-4383-AA8E-4F3CF8C642B8}"/>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863F89FA-718B-4BAE-A58B-243DE9361B5C}"/>
    <cellStyle name="20% - Accent4 7 2 3" xfId="12135" xr:uid="{15B024C0-BA65-4DBC-8A28-66A9D36F0710}"/>
    <cellStyle name="20% - Accent4 7 3" xfId="5769" xr:uid="{00000000-0005-0000-0000-000079020000}"/>
    <cellStyle name="20% - Accent4 7 3 2" xfId="14208" xr:uid="{3D01F33B-6B52-4D30-B175-406C7D97B448}"/>
    <cellStyle name="20% - Accent4 7 4" xfId="9990" xr:uid="{4A32EB03-F27B-4A9D-BEA9-26692934FEDF}"/>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73E64965-14E9-4FF2-87CF-44DD1C910D0B}"/>
    <cellStyle name="20% - Accent4 8 2 3" xfId="12548" xr:uid="{C45154A6-9EEB-4258-80C9-91C8290AC394}"/>
    <cellStyle name="20% - Accent4 8 3" xfId="6182" xr:uid="{00000000-0005-0000-0000-00007D020000}"/>
    <cellStyle name="20% - Accent4 8 3 2" xfId="14621" xr:uid="{81AF9356-FBFE-4C60-9B27-78CBC91CD7E3}"/>
    <cellStyle name="20% - Accent4 8 4" xfId="10403" xr:uid="{CF502A60-A09B-4387-8202-7068513B892C}"/>
    <cellStyle name="20% - Accent4 9" xfId="2288" xr:uid="{00000000-0005-0000-0000-00007E020000}"/>
    <cellStyle name="20% - Accent4 9 2" xfId="6595" xr:uid="{00000000-0005-0000-0000-00007F020000}"/>
    <cellStyle name="20% - Accent4 9 2 2" xfId="15034" xr:uid="{6CF77DFB-31E4-4172-B37B-741AC4C247C9}"/>
    <cellStyle name="20% - Accent4 9 3" xfId="10816" xr:uid="{81006904-CDFB-40E9-9424-497C5F295106}"/>
    <cellStyle name="20% - Accent5" xfId="33" builtinId="46" customBuiltin="1"/>
    <cellStyle name="20% - Accent5 10" xfId="4537" xr:uid="{00000000-0005-0000-0000-000081020000}"/>
    <cellStyle name="20% - Accent5 10 2" xfId="12976" xr:uid="{6729D086-707F-4719-A162-568BB2725E8F}"/>
    <cellStyle name="20% - Accent5 11" xfId="8758" xr:uid="{4E450BE2-ED9A-4BCB-AE68-EDF05D11050C}"/>
    <cellStyle name="20% - Accent5 2" xfId="34" xr:uid="{00000000-0005-0000-0000-000082020000}"/>
    <cellStyle name="20% - Accent5 2 10" xfId="8759" xr:uid="{70AF6A8F-98F7-4DF1-B8A4-FE6B65D4222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BC1A91C1-0650-4361-9A78-04B20021FB36}"/>
    <cellStyle name="20% - Accent5 2 2 2 2 2 3" xfId="11320" xr:uid="{75311B14-3D90-48B9-B918-74629DC17C3C}"/>
    <cellStyle name="20% - Accent5 2 2 2 2 3" xfId="4954" xr:uid="{00000000-0005-0000-0000-000088020000}"/>
    <cellStyle name="20% - Accent5 2 2 2 2 3 2" xfId="13393" xr:uid="{D17894FA-8C8F-4EBA-A0F8-35CF311E7D65}"/>
    <cellStyle name="20% - Accent5 2 2 2 2 4" xfId="9175" xr:uid="{0C42ED4E-A10F-480D-A605-15EE96C58807}"/>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C0D09C47-A3C8-43F2-8072-DA8CB76BC98D}"/>
    <cellStyle name="20% - Accent5 2 2 2 3 2 3" xfId="11733" xr:uid="{9E25A17C-34E4-4ACE-9BE8-84F87F7CD11F}"/>
    <cellStyle name="20% - Accent5 2 2 2 3 3" xfId="5367" xr:uid="{00000000-0005-0000-0000-00008C020000}"/>
    <cellStyle name="20% - Accent5 2 2 2 3 3 2" xfId="13806" xr:uid="{D8DEFB0E-2A44-4EF1-B8FD-A63C875BB928}"/>
    <cellStyle name="20% - Accent5 2 2 2 3 4" xfId="9588" xr:uid="{F5EF306C-2FBB-4370-A9CA-72B24B904B1A}"/>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F69F0BF1-9987-4226-AC7F-909B5BAC6F31}"/>
    <cellStyle name="20% - Accent5 2 2 2 4 2 3" xfId="12146" xr:uid="{3F815A3C-A661-4227-87D1-46DB2EB3F450}"/>
    <cellStyle name="20% - Accent5 2 2 2 4 3" xfId="5780" xr:uid="{00000000-0005-0000-0000-000090020000}"/>
    <cellStyle name="20% - Accent5 2 2 2 4 3 2" xfId="14219" xr:uid="{BAE82071-71F5-4E0E-B05E-40262727AEE0}"/>
    <cellStyle name="20% - Accent5 2 2 2 4 4" xfId="10001" xr:uid="{434888C0-4071-4D0C-A759-78D0CD7D0B54}"/>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33EEFA75-4D4A-4577-8CA3-E6E6676F5C1A}"/>
    <cellStyle name="20% - Accent5 2 2 2 5 2 3" xfId="12559" xr:uid="{E813AB50-6DFE-4672-A9D3-E18579A95CAE}"/>
    <cellStyle name="20% - Accent5 2 2 2 5 3" xfId="6193" xr:uid="{00000000-0005-0000-0000-000094020000}"/>
    <cellStyle name="20% - Accent5 2 2 2 5 3 2" xfId="14632" xr:uid="{0B103B84-078A-4447-AFFD-F57D6694BB9E}"/>
    <cellStyle name="20% - Accent5 2 2 2 5 4" xfId="10414" xr:uid="{4103BDCF-3CAE-439D-8FB2-6CD4C0049C61}"/>
    <cellStyle name="20% - Accent5 2 2 2 6" xfId="2299" xr:uid="{00000000-0005-0000-0000-000095020000}"/>
    <cellStyle name="20% - Accent5 2 2 2 6 2" xfId="6606" xr:uid="{00000000-0005-0000-0000-000096020000}"/>
    <cellStyle name="20% - Accent5 2 2 2 6 2 2" xfId="15045" xr:uid="{9303FFDD-E051-4272-86E0-7C914B633C77}"/>
    <cellStyle name="20% - Accent5 2 2 2 6 3" xfId="10827" xr:uid="{2102BF0C-4967-4F38-BF85-657870597098}"/>
    <cellStyle name="20% - Accent5 2 2 2 7" xfId="4540" xr:uid="{00000000-0005-0000-0000-000097020000}"/>
    <cellStyle name="20% - Accent5 2 2 2 7 2" xfId="12979" xr:uid="{C098FB27-5D02-4E5A-A475-DF5D5FA4248A}"/>
    <cellStyle name="20% - Accent5 2 2 2 8" xfId="8761" xr:uid="{8A53D1BF-B078-4EF0-A64A-FC1CD4CB3FC1}"/>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E1AF2069-2A20-451D-96C1-D1BCF816B284}"/>
    <cellStyle name="20% - Accent5 2 2 3 2 3" xfId="11319" xr:uid="{0D1A219F-A89A-4810-8F45-1897DD7E9991}"/>
    <cellStyle name="20% - Accent5 2 2 3 3" xfId="4953" xr:uid="{00000000-0005-0000-0000-00009B020000}"/>
    <cellStyle name="20% - Accent5 2 2 3 3 2" xfId="13392" xr:uid="{D029B795-FAB9-4846-86D3-86FCBC648E96}"/>
    <cellStyle name="20% - Accent5 2 2 3 4" xfId="9174" xr:uid="{D62FDF03-BB61-43CB-BD64-05C250B0C2D5}"/>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09938762-691F-4BE3-AC9A-06BB78D9B41A}"/>
    <cellStyle name="20% - Accent5 2 2 4 2 3" xfId="11732" xr:uid="{DCD99E6A-80D0-444D-9FD1-32E8887679C8}"/>
    <cellStyle name="20% - Accent5 2 2 4 3" xfId="5366" xr:uid="{00000000-0005-0000-0000-00009F020000}"/>
    <cellStyle name="20% - Accent5 2 2 4 3 2" xfId="13805" xr:uid="{C828A476-FC75-4869-9235-E93D8E88E552}"/>
    <cellStyle name="20% - Accent5 2 2 4 4" xfId="9587" xr:uid="{74D1129F-1A37-450A-86F2-95DC8D207B19}"/>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848BA56D-B3B9-4961-9772-D269E0E50AF1}"/>
    <cellStyle name="20% - Accent5 2 2 5 2 3" xfId="12145" xr:uid="{FF40D51B-E67E-4D4E-8C31-848982AB588F}"/>
    <cellStyle name="20% - Accent5 2 2 5 3" xfId="5779" xr:uid="{00000000-0005-0000-0000-0000A3020000}"/>
    <cellStyle name="20% - Accent5 2 2 5 3 2" xfId="14218" xr:uid="{E7594C46-E72A-4DCA-86A3-44389811D335}"/>
    <cellStyle name="20% - Accent5 2 2 5 4" xfId="10000" xr:uid="{18513B82-46DC-4D2D-91D1-7ABADE093929}"/>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6B8E8FB9-0C40-49F3-8838-F1D78EFFA5D1}"/>
    <cellStyle name="20% - Accent5 2 2 6 2 3" xfId="12558" xr:uid="{7376DA56-F278-45C1-B379-596A1ACAD689}"/>
    <cellStyle name="20% - Accent5 2 2 6 3" xfId="6192" xr:uid="{00000000-0005-0000-0000-0000A7020000}"/>
    <cellStyle name="20% - Accent5 2 2 6 3 2" xfId="14631" xr:uid="{57885C5C-A42C-41E9-9D3A-C9A9B718EC06}"/>
    <cellStyle name="20% - Accent5 2 2 6 4" xfId="10413" xr:uid="{D1CE76AC-A0B1-4391-844F-047AB0F83634}"/>
    <cellStyle name="20% - Accent5 2 2 7" xfId="2298" xr:uid="{00000000-0005-0000-0000-0000A8020000}"/>
    <cellStyle name="20% - Accent5 2 2 7 2" xfId="6605" xr:uid="{00000000-0005-0000-0000-0000A9020000}"/>
    <cellStyle name="20% - Accent5 2 2 7 2 2" xfId="15044" xr:uid="{E46FA33A-1427-49BE-A640-C0FA4B3674C2}"/>
    <cellStyle name="20% - Accent5 2 2 7 3" xfId="10826" xr:uid="{83B2C2CC-C362-4C4D-AC76-BD6FE0D8F668}"/>
    <cellStyle name="20% - Accent5 2 2 8" xfId="4539" xr:uid="{00000000-0005-0000-0000-0000AA020000}"/>
    <cellStyle name="20% - Accent5 2 2 8 2" xfId="12978" xr:uid="{A7AEF852-E5D7-46D5-B20F-6A28E3DEBF3A}"/>
    <cellStyle name="20% - Accent5 2 2 9" xfId="8760" xr:uid="{AB8354C6-86E1-425B-A685-D46B9A7203F7}"/>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97282478-2962-4455-9F94-1F8426A527F7}"/>
    <cellStyle name="20% - Accent5 2 3 2 2 3" xfId="11321" xr:uid="{52D177C1-A3C2-4CBF-A1AE-BD3458187952}"/>
    <cellStyle name="20% - Accent5 2 3 2 3" xfId="4955" xr:uid="{00000000-0005-0000-0000-0000AF020000}"/>
    <cellStyle name="20% - Accent5 2 3 2 3 2" xfId="13394" xr:uid="{3E4679E5-C5CD-40CE-B219-9FF355DB0192}"/>
    <cellStyle name="20% - Accent5 2 3 2 4" xfId="9176" xr:uid="{3E272070-2CFE-4DD3-B0A6-D880439D02FE}"/>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A42BBBC9-BA57-4C63-838F-EBDE42A3AFFD}"/>
    <cellStyle name="20% - Accent5 2 3 3 2 3" xfId="11734" xr:uid="{CE360FE0-418C-452C-965D-6FAA7D41FAD1}"/>
    <cellStyle name="20% - Accent5 2 3 3 3" xfId="5368" xr:uid="{00000000-0005-0000-0000-0000B3020000}"/>
    <cellStyle name="20% - Accent5 2 3 3 3 2" xfId="13807" xr:uid="{F4ED15C2-82C1-4DCE-B69B-66EE8C85C87E}"/>
    <cellStyle name="20% - Accent5 2 3 3 4" xfId="9589" xr:uid="{364F3F52-EC9D-45E5-8F9B-BA3557723BB3}"/>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4F5C3E17-7DE8-453B-A633-B23C6D877931}"/>
    <cellStyle name="20% - Accent5 2 3 4 2 3" xfId="12147" xr:uid="{35A02B30-6D45-4F56-9B00-C09F6EDB687D}"/>
    <cellStyle name="20% - Accent5 2 3 4 3" xfId="5781" xr:uid="{00000000-0005-0000-0000-0000B7020000}"/>
    <cellStyle name="20% - Accent5 2 3 4 3 2" xfId="14220" xr:uid="{63664A5F-0AA0-417D-8B94-30CBE73C2E9A}"/>
    <cellStyle name="20% - Accent5 2 3 4 4" xfId="10002" xr:uid="{5FA772F2-A05C-4F2C-904E-68ADF2A70F6F}"/>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7FAE6AFC-418B-4430-8C0E-B5B644A52A39}"/>
    <cellStyle name="20% - Accent5 2 3 5 2 3" xfId="12560" xr:uid="{BD0ECB0A-EBB0-4EAF-B347-64C2B4CE4A5F}"/>
    <cellStyle name="20% - Accent5 2 3 5 3" xfId="6194" xr:uid="{00000000-0005-0000-0000-0000BB020000}"/>
    <cellStyle name="20% - Accent5 2 3 5 3 2" xfId="14633" xr:uid="{F741C301-E79F-4A8D-BEC9-E1E138FECB52}"/>
    <cellStyle name="20% - Accent5 2 3 5 4" xfId="10415" xr:uid="{01C9D203-5847-47F6-8330-77106A2D630B}"/>
    <cellStyle name="20% - Accent5 2 3 6" xfId="2300" xr:uid="{00000000-0005-0000-0000-0000BC020000}"/>
    <cellStyle name="20% - Accent5 2 3 6 2" xfId="6607" xr:uid="{00000000-0005-0000-0000-0000BD020000}"/>
    <cellStyle name="20% - Accent5 2 3 6 2 2" xfId="15046" xr:uid="{FD066200-2B81-4A1B-9EFC-7BF7B93C4753}"/>
    <cellStyle name="20% - Accent5 2 3 6 3" xfId="10828" xr:uid="{05AE7DB9-7186-42CE-A1C0-FD119DECADFA}"/>
    <cellStyle name="20% - Accent5 2 3 7" xfId="4541" xr:uid="{00000000-0005-0000-0000-0000BE020000}"/>
    <cellStyle name="20% - Accent5 2 3 7 2" xfId="12980" xr:uid="{570A0266-9DA9-430A-BE85-A773309FEE86}"/>
    <cellStyle name="20% - Accent5 2 3 8" xfId="8762" xr:uid="{79A1F84B-081B-45A1-94C8-9D93A7B23612}"/>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6FECF677-1FDC-4792-B7AE-2C220F374F2B}"/>
    <cellStyle name="20% - Accent5 2 4 2 3" xfId="11318" xr:uid="{2D67058C-69D2-4B7D-A124-89B368085371}"/>
    <cellStyle name="20% - Accent5 2 4 3" xfId="4952" xr:uid="{00000000-0005-0000-0000-0000C2020000}"/>
    <cellStyle name="20% - Accent5 2 4 3 2" xfId="13391" xr:uid="{FAC1A2D4-3FC8-495D-9A86-9476D47B63CC}"/>
    <cellStyle name="20% - Accent5 2 4 4" xfId="9173" xr:uid="{DEB8D667-DF34-4CF0-836D-8BF7DF90FBEB}"/>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2C72054F-1FB3-4301-A086-49EA28925ED8}"/>
    <cellStyle name="20% - Accent5 2 5 2 3" xfId="11731" xr:uid="{04B18C7B-3EF5-4C8D-84B8-984B127140AC}"/>
    <cellStyle name="20% - Accent5 2 5 3" xfId="5365" xr:uid="{00000000-0005-0000-0000-0000C6020000}"/>
    <cellStyle name="20% - Accent5 2 5 3 2" xfId="13804" xr:uid="{8F49AEAD-3676-4ECC-946B-5DDE16E2DD06}"/>
    <cellStyle name="20% - Accent5 2 5 4" xfId="9586" xr:uid="{54B3E08A-E3E7-4A4F-9B07-364EF6143676}"/>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897C4D5D-33FD-412F-B1E1-06D916CFF9B7}"/>
    <cellStyle name="20% - Accent5 2 6 2 3" xfId="12144" xr:uid="{A1BBE1F7-1D95-4B1D-BD59-5903CCEA297D}"/>
    <cellStyle name="20% - Accent5 2 6 3" xfId="5778" xr:uid="{00000000-0005-0000-0000-0000CA020000}"/>
    <cellStyle name="20% - Accent5 2 6 3 2" xfId="14217" xr:uid="{08AC6CF5-6456-4772-80A9-6EA72921B494}"/>
    <cellStyle name="20% - Accent5 2 6 4" xfId="9999" xr:uid="{CAF48214-AF08-4FC6-A12D-4E38E295E3C5}"/>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43CFC2E5-118E-4848-96E3-E76595D6E171}"/>
    <cellStyle name="20% - Accent5 2 7 2 3" xfId="12557" xr:uid="{D275556B-37F9-4626-9971-24D3E94D8983}"/>
    <cellStyle name="20% - Accent5 2 7 3" xfId="6191" xr:uid="{00000000-0005-0000-0000-0000CE020000}"/>
    <cellStyle name="20% - Accent5 2 7 3 2" xfId="14630" xr:uid="{761DAE3A-7B4D-4446-8143-CE251BC09E65}"/>
    <cellStyle name="20% - Accent5 2 7 4" xfId="10412" xr:uid="{510EA603-339A-4C64-88F8-81293B3BA5EF}"/>
    <cellStyle name="20% - Accent5 2 8" xfId="2297" xr:uid="{00000000-0005-0000-0000-0000CF020000}"/>
    <cellStyle name="20% - Accent5 2 8 2" xfId="6604" xr:uid="{00000000-0005-0000-0000-0000D0020000}"/>
    <cellStyle name="20% - Accent5 2 8 2 2" xfId="15043" xr:uid="{1A58E9F1-5CED-4CB9-84E1-1107B7F967C6}"/>
    <cellStyle name="20% - Accent5 2 8 3" xfId="10825" xr:uid="{7C0D117F-C604-4CD8-B70A-9342C2C7D6EA}"/>
    <cellStyle name="20% - Accent5 2 9" xfId="4538" xr:uid="{00000000-0005-0000-0000-0000D1020000}"/>
    <cellStyle name="20% - Accent5 2 9 2" xfId="12977" xr:uid="{56DEA6FC-A9EA-43C5-A075-984A05163985}"/>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7F37DC98-9143-4EFA-AF04-F905E6D16CA3}"/>
    <cellStyle name="20% - Accent5 3 2 2 2 3" xfId="11323" xr:uid="{673A7BFD-11EB-4D61-BE38-1E061A0D4CE2}"/>
    <cellStyle name="20% - Accent5 3 2 2 3" xfId="4957" xr:uid="{00000000-0005-0000-0000-0000D7020000}"/>
    <cellStyle name="20% - Accent5 3 2 2 3 2" xfId="13396" xr:uid="{1CFF310E-11C5-4FB9-B2C8-340337D83C59}"/>
    <cellStyle name="20% - Accent5 3 2 2 4" xfId="9178" xr:uid="{6E2BD139-2239-4A2E-8ECD-39DDC7729899}"/>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4F8B3961-3322-46B3-96D6-C962CC6282FF}"/>
    <cellStyle name="20% - Accent5 3 2 3 2 3" xfId="11736" xr:uid="{37D1D744-B6FD-43C2-A625-F77AB427071C}"/>
    <cellStyle name="20% - Accent5 3 2 3 3" xfId="5370" xr:uid="{00000000-0005-0000-0000-0000DB020000}"/>
    <cellStyle name="20% - Accent5 3 2 3 3 2" xfId="13809" xr:uid="{8659D311-24D4-4C45-83A5-72A4C550323E}"/>
    <cellStyle name="20% - Accent5 3 2 3 4" xfId="9591" xr:uid="{577F8FEC-CF36-4043-AEA9-5761C1F08037}"/>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D326AEA9-97DE-4C90-82F7-4135A4BE17FD}"/>
    <cellStyle name="20% - Accent5 3 2 4 2 3" xfId="12149" xr:uid="{B3BB1B64-352F-4AF3-A3C6-7A92C031BF8C}"/>
    <cellStyle name="20% - Accent5 3 2 4 3" xfId="5783" xr:uid="{00000000-0005-0000-0000-0000DF020000}"/>
    <cellStyle name="20% - Accent5 3 2 4 3 2" xfId="14222" xr:uid="{6310EDCF-B593-4858-AD4B-17EF7333CB88}"/>
    <cellStyle name="20% - Accent5 3 2 4 4" xfId="10004" xr:uid="{F05DC251-9FA2-4E23-836F-0A8CDF357D69}"/>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1404C562-A2FD-4BF1-A90F-3F051F580846}"/>
    <cellStyle name="20% - Accent5 3 2 5 2 3" xfId="12562" xr:uid="{9019B570-3D58-41AC-B03D-712F57529A8A}"/>
    <cellStyle name="20% - Accent5 3 2 5 3" xfId="6196" xr:uid="{00000000-0005-0000-0000-0000E3020000}"/>
    <cellStyle name="20% - Accent5 3 2 5 3 2" xfId="14635" xr:uid="{6CCA5826-AD15-4E06-AF7C-BB52FB21BFAD}"/>
    <cellStyle name="20% - Accent5 3 2 5 4" xfId="10417" xr:uid="{F30485D2-A6EE-4EBE-8230-2BACF9ED4929}"/>
    <cellStyle name="20% - Accent5 3 2 6" xfId="2302" xr:uid="{00000000-0005-0000-0000-0000E4020000}"/>
    <cellStyle name="20% - Accent5 3 2 6 2" xfId="6609" xr:uid="{00000000-0005-0000-0000-0000E5020000}"/>
    <cellStyle name="20% - Accent5 3 2 6 2 2" xfId="15048" xr:uid="{6A66AD68-F151-4379-9B50-A0DBD1A56FA9}"/>
    <cellStyle name="20% - Accent5 3 2 6 3" xfId="10830" xr:uid="{4D9FCBAD-3D90-4443-9A40-06F2278C885A}"/>
    <cellStyle name="20% - Accent5 3 2 7" xfId="4543" xr:uid="{00000000-0005-0000-0000-0000E6020000}"/>
    <cellStyle name="20% - Accent5 3 2 7 2" xfId="12982" xr:uid="{CEC6E5B7-A4FB-40CE-A5A4-5CA93168AD1B}"/>
    <cellStyle name="20% - Accent5 3 2 8" xfId="8764" xr:uid="{06AE90C9-EB08-48DE-A90B-E2404EF40F8D}"/>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D276D7AA-313D-4F2E-B86B-0525C6D5B155}"/>
    <cellStyle name="20% - Accent5 3 3 2 3" xfId="11322" xr:uid="{6A5382E9-EEFC-4AB2-A976-41BC508D1D20}"/>
    <cellStyle name="20% - Accent5 3 3 3" xfId="4956" xr:uid="{00000000-0005-0000-0000-0000EA020000}"/>
    <cellStyle name="20% - Accent5 3 3 3 2" xfId="13395" xr:uid="{993286CB-7F2A-42C0-86A8-7AC5AEB5727D}"/>
    <cellStyle name="20% - Accent5 3 3 4" xfId="9177" xr:uid="{A8FB54D3-B9D6-4A7C-958D-C0DD0DADA480}"/>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D33A8001-24B5-4054-BC9C-1F3137F00E36}"/>
    <cellStyle name="20% - Accent5 3 4 2 3" xfId="11735" xr:uid="{A1DDF18B-4FE7-4A58-AEB0-891FFC412298}"/>
    <cellStyle name="20% - Accent5 3 4 3" xfId="5369" xr:uid="{00000000-0005-0000-0000-0000EE020000}"/>
    <cellStyle name="20% - Accent5 3 4 3 2" xfId="13808" xr:uid="{4DBB502B-84BA-46FF-BF2A-E7AF7F31094B}"/>
    <cellStyle name="20% - Accent5 3 4 4" xfId="9590" xr:uid="{6448A532-682F-4B41-895A-DC5313BE6FA3}"/>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AB2054F8-BEF8-4025-857F-118A1C9CD97A}"/>
    <cellStyle name="20% - Accent5 3 5 2 3" xfId="12148" xr:uid="{D2D7D90E-FE2F-4C63-9B35-8CF0EC93218D}"/>
    <cellStyle name="20% - Accent5 3 5 3" xfId="5782" xr:uid="{00000000-0005-0000-0000-0000F2020000}"/>
    <cellStyle name="20% - Accent5 3 5 3 2" xfId="14221" xr:uid="{911FF1B4-37D1-491F-8568-845F4A4DE6EB}"/>
    <cellStyle name="20% - Accent5 3 5 4" xfId="10003" xr:uid="{56093357-CEDC-4B77-9BAF-E76FDD269C29}"/>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A2C4DB3D-211C-4A43-A2F4-E617A8AA57DF}"/>
    <cellStyle name="20% - Accent5 3 6 2 3" xfId="12561" xr:uid="{7A22ED2D-BA0B-4851-BEEC-E339F7118B08}"/>
    <cellStyle name="20% - Accent5 3 6 3" xfId="6195" xr:uid="{00000000-0005-0000-0000-0000F6020000}"/>
    <cellStyle name="20% - Accent5 3 6 3 2" xfId="14634" xr:uid="{F0A77E4A-949F-4725-B489-D7ADC10B2668}"/>
    <cellStyle name="20% - Accent5 3 6 4" xfId="10416" xr:uid="{6827D063-7434-4B6B-BA0E-B206D1EE5A2A}"/>
    <cellStyle name="20% - Accent5 3 7" xfId="2301" xr:uid="{00000000-0005-0000-0000-0000F7020000}"/>
    <cellStyle name="20% - Accent5 3 7 2" xfId="6608" xr:uid="{00000000-0005-0000-0000-0000F8020000}"/>
    <cellStyle name="20% - Accent5 3 7 2 2" xfId="15047" xr:uid="{92B7A296-2C7F-4E7B-9F06-EA65DD7510B5}"/>
    <cellStyle name="20% - Accent5 3 7 3" xfId="10829" xr:uid="{3A9B1EBB-CACD-4732-BE1F-B4D2F64323A9}"/>
    <cellStyle name="20% - Accent5 3 8" xfId="4542" xr:uid="{00000000-0005-0000-0000-0000F9020000}"/>
    <cellStyle name="20% - Accent5 3 8 2" xfId="12981" xr:uid="{36885261-F861-4D5A-8D37-8235987F1486}"/>
    <cellStyle name="20% - Accent5 3 9" xfId="8763" xr:uid="{E587BF09-AF3D-4BA5-9E6A-524C5740144D}"/>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DFAA321E-57C6-48C6-B049-729F5A10F7D6}"/>
    <cellStyle name="20% - Accent5 4 2 2 3" xfId="11324" xr:uid="{18261936-77CD-4737-AD00-9637123C859C}"/>
    <cellStyle name="20% - Accent5 4 2 3" xfId="4958" xr:uid="{00000000-0005-0000-0000-0000FE020000}"/>
    <cellStyle name="20% - Accent5 4 2 3 2" xfId="13397" xr:uid="{B6EAEFC8-93D6-4288-B090-27B862929555}"/>
    <cellStyle name="20% - Accent5 4 2 4" xfId="9179" xr:uid="{673EE40B-C881-4648-9D32-6FD3DE88434A}"/>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8D78B16D-2F11-46A8-9635-8257E24F8FB2}"/>
    <cellStyle name="20% - Accent5 4 3 2 3" xfId="11737" xr:uid="{5E05D5FD-7074-48E9-A386-595C0AD0EFBD}"/>
    <cellStyle name="20% - Accent5 4 3 3" xfId="5371" xr:uid="{00000000-0005-0000-0000-000002030000}"/>
    <cellStyle name="20% - Accent5 4 3 3 2" xfId="13810" xr:uid="{57A6105E-41C6-45F9-8054-2140F7C889B4}"/>
    <cellStyle name="20% - Accent5 4 3 4" xfId="9592" xr:uid="{7F8F04DC-579E-49BE-8283-9BCB5CD5AD85}"/>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14316F09-D468-481D-9821-6406551DD3AD}"/>
    <cellStyle name="20% - Accent5 4 4 2 3" xfId="12150" xr:uid="{563B3906-2948-4550-881A-0031C3DDEA30}"/>
    <cellStyle name="20% - Accent5 4 4 3" xfId="5784" xr:uid="{00000000-0005-0000-0000-000006030000}"/>
    <cellStyle name="20% - Accent5 4 4 3 2" xfId="14223" xr:uid="{3A7B9ACA-60C2-4A4A-B790-1081997AA5F4}"/>
    <cellStyle name="20% - Accent5 4 4 4" xfId="10005" xr:uid="{D094E65C-2159-4A38-8791-8FF3B14DF7E4}"/>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7C1D6CAB-674A-400B-8F73-874BDB3BBAEF}"/>
    <cellStyle name="20% - Accent5 4 5 2 3" xfId="12563" xr:uid="{50D2F439-7F18-41EA-B21C-CBD948590AA6}"/>
    <cellStyle name="20% - Accent5 4 5 3" xfId="6197" xr:uid="{00000000-0005-0000-0000-00000A030000}"/>
    <cellStyle name="20% - Accent5 4 5 3 2" xfId="14636" xr:uid="{A9EDB7C7-EBC5-4982-BF77-3BD06D1DE02E}"/>
    <cellStyle name="20% - Accent5 4 5 4" xfId="10418" xr:uid="{FDA9B3B4-0E69-4246-8C29-21397858D121}"/>
    <cellStyle name="20% - Accent5 4 6" xfId="2303" xr:uid="{00000000-0005-0000-0000-00000B030000}"/>
    <cellStyle name="20% - Accent5 4 6 2" xfId="6610" xr:uid="{00000000-0005-0000-0000-00000C030000}"/>
    <cellStyle name="20% - Accent5 4 6 2 2" xfId="15049" xr:uid="{52BE1365-8CA5-477D-A491-0C7CD302E454}"/>
    <cellStyle name="20% - Accent5 4 6 3" xfId="10831" xr:uid="{833B145E-C636-4CA6-A49F-3310CBFC7ABB}"/>
    <cellStyle name="20% - Accent5 4 7" xfId="4544" xr:uid="{00000000-0005-0000-0000-00000D030000}"/>
    <cellStyle name="20% - Accent5 4 7 2" xfId="12983" xr:uid="{8B09141A-7D5C-490A-BEB9-4390B0213C9A}"/>
    <cellStyle name="20% - Accent5 4 8" xfId="8765" xr:uid="{0127DBF5-9C43-4D6C-A68A-A727B5BA50E0}"/>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B59D0E3C-FCA3-4025-ACA2-11D897E0AEBE}"/>
    <cellStyle name="20% - Accent5 5 2 3" xfId="11317" xr:uid="{01EB4E4F-ABD5-4C4B-AD9E-68BE610CB705}"/>
    <cellStyle name="20% - Accent5 5 3" xfId="4951" xr:uid="{00000000-0005-0000-0000-000011030000}"/>
    <cellStyle name="20% - Accent5 5 3 2" xfId="13390" xr:uid="{1F834BCE-8134-4282-8664-87CE3F96CC8E}"/>
    <cellStyle name="20% - Accent5 5 4" xfId="9172" xr:uid="{6FDA10CB-89D6-413B-BDA2-50FA82E2CEF0}"/>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620E5A28-71E0-4644-81C3-CF813F1C80DA}"/>
    <cellStyle name="20% - Accent5 6 2 3" xfId="11730" xr:uid="{EFECD31E-D9C1-4D65-B35D-2AE8EFF19452}"/>
    <cellStyle name="20% - Accent5 6 3" xfId="5364" xr:uid="{00000000-0005-0000-0000-000015030000}"/>
    <cellStyle name="20% - Accent5 6 3 2" xfId="13803" xr:uid="{C501E00A-EEFD-4844-9404-87B37751AFEF}"/>
    <cellStyle name="20% - Accent5 6 4" xfId="9585" xr:uid="{D74A10B7-5F6C-406C-AEE6-0654A060B799}"/>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7C461BCC-888B-4605-B85D-A37B30395199}"/>
    <cellStyle name="20% - Accent5 7 2 3" xfId="12143" xr:uid="{AC228EB4-4F70-41CC-9E39-C2835CDE7B67}"/>
    <cellStyle name="20% - Accent5 7 3" xfId="5777" xr:uid="{00000000-0005-0000-0000-000019030000}"/>
    <cellStyle name="20% - Accent5 7 3 2" xfId="14216" xr:uid="{BCD38755-6E79-453C-B0E2-92325521B415}"/>
    <cellStyle name="20% - Accent5 7 4" xfId="9998" xr:uid="{9388CEF8-7AEE-4F54-86C1-07038EDB48C1}"/>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D4833F92-DCCE-4BF7-84C4-1DE5BA68A4EC}"/>
    <cellStyle name="20% - Accent5 8 2 3" xfId="12556" xr:uid="{A8DABDF0-19E1-4570-8AB6-0AACCBE482F5}"/>
    <cellStyle name="20% - Accent5 8 3" xfId="6190" xr:uid="{00000000-0005-0000-0000-00001D030000}"/>
    <cellStyle name="20% - Accent5 8 3 2" xfId="14629" xr:uid="{57632947-9FFF-42B6-A313-965BB1C36CD7}"/>
    <cellStyle name="20% - Accent5 8 4" xfId="10411" xr:uid="{953F71C3-7554-42A5-B102-4FA0E91B9029}"/>
    <cellStyle name="20% - Accent5 9" xfId="2296" xr:uid="{00000000-0005-0000-0000-00001E030000}"/>
    <cellStyle name="20% - Accent5 9 2" xfId="6603" xr:uid="{00000000-0005-0000-0000-00001F030000}"/>
    <cellStyle name="20% - Accent5 9 2 2" xfId="15042" xr:uid="{9B44C4F7-810A-4697-A641-E085BDF69253}"/>
    <cellStyle name="20% - Accent5 9 3" xfId="10824" xr:uid="{51E768BE-CAFA-4DE6-962F-1B15EF77608B}"/>
    <cellStyle name="20% - Accent6" xfId="41" builtinId="50" customBuiltin="1"/>
    <cellStyle name="20% - Accent6 10" xfId="4545" xr:uid="{00000000-0005-0000-0000-000021030000}"/>
    <cellStyle name="20% - Accent6 10 2" xfId="12984" xr:uid="{2688E179-473B-473A-AEE4-84B2E7A4C99F}"/>
    <cellStyle name="20% - Accent6 11" xfId="8766" xr:uid="{61B1E980-73F5-4F30-B52C-B333ABAD421A}"/>
    <cellStyle name="20% - Accent6 2" xfId="42" xr:uid="{00000000-0005-0000-0000-000022030000}"/>
    <cellStyle name="20% - Accent6 2 10" xfId="8767" xr:uid="{DB82E2BD-1C1B-4DBF-80A0-10808D46FC8C}"/>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6A606E91-F71C-481F-BA30-969B653F85A7}"/>
    <cellStyle name="20% - Accent6 2 2 2 2 2 3" xfId="11328" xr:uid="{0564AF5D-8ACE-4702-B4BC-79090E6EDFCC}"/>
    <cellStyle name="20% - Accent6 2 2 2 2 3" xfId="4962" xr:uid="{00000000-0005-0000-0000-000028030000}"/>
    <cellStyle name="20% - Accent6 2 2 2 2 3 2" xfId="13401" xr:uid="{2A186E7D-BE87-44E6-AC85-FE6540ECDE0E}"/>
    <cellStyle name="20% - Accent6 2 2 2 2 4" xfId="9183" xr:uid="{551360F1-DC11-445B-9B14-5BFB051498BE}"/>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22BD4E6A-8214-472E-8D42-2BB9AA6F2F2F}"/>
    <cellStyle name="20% - Accent6 2 2 2 3 2 3" xfId="11741" xr:uid="{FF2BF52A-A528-476F-B4E4-DC1401376EBE}"/>
    <cellStyle name="20% - Accent6 2 2 2 3 3" xfId="5375" xr:uid="{00000000-0005-0000-0000-00002C030000}"/>
    <cellStyle name="20% - Accent6 2 2 2 3 3 2" xfId="13814" xr:uid="{7C39D396-4D2F-4850-8D49-90DC0059AD11}"/>
    <cellStyle name="20% - Accent6 2 2 2 3 4" xfId="9596" xr:uid="{123DA2D9-7B76-4F40-BCD9-374BEF3574E9}"/>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AB62288A-FD44-4ABF-9098-6B3209FD2CE1}"/>
    <cellStyle name="20% - Accent6 2 2 2 4 2 3" xfId="12154" xr:uid="{F04DA52E-BF17-4A5E-A367-2870BB534F11}"/>
    <cellStyle name="20% - Accent6 2 2 2 4 3" xfId="5788" xr:uid="{00000000-0005-0000-0000-000030030000}"/>
    <cellStyle name="20% - Accent6 2 2 2 4 3 2" xfId="14227" xr:uid="{B7A3F3BD-2B68-47E0-B71F-8C64D164060F}"/>
    <cellStyle name="20% - Accent6 2 2 2 4 4" xfId="10009" xr:uid="{CD8930C4-4D1B-4DFD-8961-CA8176205726}"/>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08222DB8-326D-42C3-A9AF-FD08B82545EF}"/>
    <cellStyle name="20% - Accent6 2 2 2 5 2 3" xfId="12567" xr:uid="{FE8B9F91-AF32-4E98-B298-62DF2554B69B}"/>
    <cellStyle name="20% - Accent6 2 2 2 5 3" xfId="6201" xr:uid="{00000000-0005-0000-0000-000034030000}"/>
    <cellStyle name="20% - Accent6 2 2 2 5 3 2" xfId="14640" xr:uid="{04B037E1-58EE-409A-BC2C-49C4B062F000}"/>
    <cellStyle name="20% - Accent6 2 2 2 5 4" xfId="10422" xr:uid="{1FED7700-0B56-408C-B42F-953B5047449A}"/>
    <cellStyle name="20% - Accent6 2 2 2 6" xfId="2307" xr:uid="{00000000-0005-0000-0000-000035030000}"/>
    <cellStyle name="20% - Accent6 2 2 2 6 2" xfId="6614" xr:uid="{00000000-0005-0000-0000-000036030000}"/>
    <cellStyle name="20% - Accent6 2 2 2 6 2 2" xfId="15053" xr:uid="{6090262A-FE83-4CF4-864A-9327B7E88C55}"/>
    <cellStyle name="20% - Accent6 2 2 2 6 3" xfId="10835" xr:uid="{55AF1146-E80E-4FC5-872F-57A70895538F}"/>
    <cellStyle name="20% - Accent6 2 2 2 7" xfId="4548" xr:uid="{00000000-0005-0000-0000-000037030000}"/>
    <cellStyle name="20% - Accent6 2 2 2 7 2" xfId="12987" xr:uid="{6D12E91C-CD1C-424A-92C5-84E7DF0C72E4}"/>
    <cellStyle name="20% - Accent6 2 2 2 8" xfId="8769" xr:uid="{2DADFA85-2D2F-4A82-AC95-F826385EDC63}"/>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BA154355-97BF-4DF3-ACA3-A7E4E7054DAD}"/>
    <cellStyle name="20% - Accent6 2 2 3 2 3" xfId="11327" xr:uid="{2DEE5719-2094-4B35-A006-0034C31CC7C9}"/>
    <cellStyle name="20% - Accent6 2 2 3 3" xfId="4961" xr:uid="{00000000-0005-0000-0000-00003B030000}"/>
    <cellStyle name="20% - Accent6 2 2 3 3 2" xfId="13400" xr:uid="{4A4024A5-670E-4ECC-859C-5D35CAB4F0CD}"/>
    <cellStyle name="20% - Accent6 2 2 3 4" xfId="9182" xr:uid="{7592A5BD-FDE3-457F-B483-C3EB9FCE573E}"/>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4F2FEA50-593B-4D1E-A626-F526E7567D14}"/>
    <cellStyle name="20% - Accent6 2 2 4 2 3" xfId="11740" xr:uid="{76D3C2AF-155F-4F60-8114-615053B11DC2}"/>
    <cellStyle name="20% - Accent6 2 2 4 3" xfId="5374" xr:uid="{00000000-0005-0000-0000-00003F030000}"/>
    <cellStyle name="20% - Accent6 2 2 4 3 2" xfId="13813" xr:uid="{55FDDDDB-77D6-4ABE-9538-1D07419B98AC}"/>
    <cellStyle name="20% - Accent6 2 2 4 4" xfId="9595" xr:uid="{DF443424-0776-46EA-B7DF-3B68983FC70E}"/>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64D561D6-2D30-4D27-9C37-5B36A2633777}"/>
    <cellStyle name="20% - Accent6 2 2 5 2 3" xfId="12153" xr:uid="{F65D443F-6901-419B-ABF1-F3FFFD37A762}"/>
    <cellStyle name="20% - Accent6 2 2 5 3" xfId="5787" xr:uid="{00000000-0005-0000-0000-000043030000}"/>
    <cellStyle name="20% - Accent6 2 2 5 3 2" xfId="14226" xr:uid="{C9FD365A-90F4-4B8C-B93D-7E601261C236}"/>
    <cellStyle name="20% - Accent6 2 2 5 4" xfId="10008" xr:uid="{EC465C41-2023-47EE-8BD7-D18141D66B83}"/>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2A1C4F02-DBE2-4115-8EE2-7BA3299A3CA0}"/>
    <cellStyle name="20% - Accent6 2 2 6 2 3" xfId="12566" xr:uid="{181976AD-7D55-499B-8F67-1E4B5EE07630}"/>
    <cellStyle name="20% - Accent6 2 2 6 3" xfId="6200" xr:uid="{00000000-0005-0000-0000-000047030000}"/>
    <cellStyle name="20% - Accent6 2 2 6 3 2" xfId="14639" xr:uid="{8506ADBA-B7ED-4FF7-A937-D3BCC20D67EF}"/>
    <cellStyle name="20% - Accent6 2 2 6 4" xfId="10421" xr:uid="{034A7F81-2807-4515-A41A-3D6DF1C7B9F8}"/>
    <cellStyle name="20% - Accent6 2 2 7" xfId="2306" xr:uid="{00000000-0005-0000-0000-000048030000}"/>
    <cellStyle name="20% - Accent6 2 2 7 2" xfId="6613" xr:uid="{00000000-0005-0000-0000-000049030000}"/>
    <cellStyle name="20% - Accent6 2 2 7 2 2" xfId="15052" xr:uid="{F86B5131-DC3D-4587-8B10-BA6F50BBD749}"/>
    <cellStyle name="20% - Accent6 2 2 7 3" xfId="10834" xr:uid="{F3975029-2EB2-48C3-911A-2F28C33B85A5}"/>
    <cellStyle name="20% - Accent6 2 2 8" xfId="4547" xr:uid="{00000000-0005-0000-0000-00004A030000}"/>
    <cellStyle name="20% - Accent6 2 2 8 2" xfId="12986" xr:uid="{5F0E6B0F-C7C7-40DD-A71D-B29AEB16E0F1}"/>
    <cellStyle name="20% - Accent6 2 2 9" xfId="8768" xr:uid="{9E321F97-3D99-489F-B6AA-717EA54892D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BE951078-0A61-4302-AE78-2E51D603F87B}"/>
    <cellStyle name="20% - Accent6 2 3 2 2 3" xfId="11329" xr:uid="{E977F578-5659-4956-AC62-D5907962DBCA}"/>
    <cellStyle name="20% - Accent6 2 3 2 3" xfId="4963" xr:uid="{00000000-0005-0000-0000-00004F030000}"/>
    <cellStyle name="20% - Accent6 2 3 2 3 2" xfId="13402" xr:uid="{C46BE5E2-E888-4805-B958-6B9B8522686A}"/>
    <cellStyle name="20% - Accent6 2 3 2 4" xfId="9184" xr:uid="{0ECF04BB-9CF6-4E3B-B07A-885C4A17BA85}"/>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DF97E772-834F-4AA9-83EE-214AACCB070C}"/>
    <cellStyle name="20% - Accent6 2 3 3 2 3" xfId="11742" xr:uid="{D74F05AE-8900-494A-9259-2D314C398DA2}"/>
    <cellStyle name="20% - Accent6 2 3 3 3" xfId="5376" xr:uid="{00000000-0005-0000-0000-000053030000}"/>
    <cellStyle name="20% - Accent6 2 3 3 3 2" xfId="13815" xr:uid="{2C6EE63A-D5CA-4BF5-8B7B-C560B8BF4260}"/>
    <cellStyle name="20% - Accent6 2 3 3 4" xfId="9597" xr:uid="{D5AAF50E-B327-4CCB-ABA9-025F5A852287}"/>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DB37F43F-F714-4F7D-9311-7733F6399C9E}"/>
    <cellStyle name="20% - Accent6 2 3 4 2 3" xfId="12155" xr:uid="{83CAB700-E5F4-4BE0-AFAD-30E6DCCE6E72}"/>
    <cellStyle name="20% - Accent6 2 3 4 3" xfId="5789" xr:uid="{00000000-0005-0000-0000-000057030000}"/>
    <cellStyle name="20% - Accent6 2 3 4 3 2" xfId="14228" xr:uid="{27241226-097C-4540-948D-416D8A3FAF8F}"/>
    <cellStyle name="20% - Accent6 2 3 4 4" xfId="10010" xr:uid="{2FF5C23B-50C0-4D72-96DF-3E0A56C19319}"/>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81BA727D-8535-451C-BED1-72F88C32A854}"/>
    <cellStyle name="20% - Accent6 2 3 5 2 3" xfId="12568" xr:uid="{17E0867E-5232-4637-90B8-C3CFAE4D8273}"/>
    <cellStyle name="20% - Accent6 2 3 5 3" xfId="6202" xr:uid="{00000000-0005-0000-0000-00005B030000}"/>
    <cellStyle name="20% - Accent6 2 3 5 3 2" xfId="14641" xr:uid="{B638CD87-7409-403B-8F68-6FED9B37089F}"/>
    <cellStyle name="20% - Accent6 2 3 5 4" xfId="10423" xr:uid="{368A004A-8233-4F54-9D4D-2F029BDD689E}"/>
    <cellStyle name="20% - Accent6 2 3 6" xfId="2308" xr:uid="{00000000-0005-0000-0000-00005C030000}"/>
    <cellStyle name="20% - Accent6 2 3 6 2" xfId="6615" xr:uid="{00000000-0005-0000-0000-00005D030000}"/>
    <cellStyle name="20% - Accent6 2 3 6 2 2" xfId="15054" xr:uid="{EF89509C-BA0E-4149-9DA0-9AA15E248B51}"/>
    <cellStyle name="20% - Accent6 2 3 6 3" xfId="10836" xr:uid="{5227D9C4-F9EF-42B6-A31F-72D010D680E9}"/>
    <cellStyle name="20% - Accent6 2 3 7" xfId="4549" xr:uid="{00000000-0005-0000-0000-00005E030000}"/>
    <cellStyle name="20% - Accent6 2 3 7 2" xfId="12988" xr:uid="{F6C6CFC2-433F-4AB8-8B02-6B5EB57F37EE}"/>
    <cellStyle name="20% - Accent6 2 3 8" xfId="8770" xr:uid="{DA89A411-0B64-43C3-B163-6C8E8FDAA5D6}"/>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FBC6D4C5-EB58-481D-A49F-8C78DC69AE7A}"/>
    <cellStyle name="20% - Accent6 2 4 2 3" xfId="11326" xr:uid="{C5C685E2-D2BD-4B8F-ACBA-57F7558F2285}"/>
    <cellStyle name="20% - Accent6 2 4 3" xfId="4960" xr:uid="{00000000-0005-0000-0000-000062030000}"/>
    <cellStyle name="20% - Accent6 2 4 3 2" xfId="13399" xr:uid="{74C2B577-C85B-4B33-85D7-7AB18EB207FA}"/>
    <cellStyle name="20% - Accent6 2 4 4" xfId="9181" xr:uid="{03154B71-AE21-4A09-B760-5BD8E0E17D05}"/>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6AA3B107-9FDE-4C29-A649-414A19B42437}"/>
    <cellStyle name="20% - Accent6 2 5 2 3" xfId="11739" xr:uid="{10D24D2E-7140-49CC-9F1C-62327AAB5DAA}"/>
    <cellStyle name="20% - Accent6 2 5 3" xfId="5373" xr:uid="{00000000-0005-0000-0000-000066030000}"/>
    <cellStyle name="20% - Accent6 2 5 3 2" xfId="13812" xr:uid="{37B3FF87-25DD-45B3-9181-67354342C960}"/>
    <cellStyle name="20% - Accent6 2 5 4" xfId="9594" xr:uid="{171CDEFA-ED11-4830-807F-021695F85737}"/>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9CB02010-5F6D-4A7B-9BDF-87FE1208A822}"/>
    <cellStyle name="20% - Accent6 2 6 2 3" xfId="12152" xr:uid="{100FC547-4CE6-4286-93EF-90B4F7866AA1}"/>
    <cellStyle name="20% - Accent6 2 6 3" xfId="5786" xr:uid="{00000000-0005-0000-0000-00006A030000}"/>
    <cellStyle name="20% - Accent6 2 6 3 2" xfId="14225" xr:uid="{8D6BE081-FE84-40CF-8879-67859400604C}"/>
    <cellStyle name="20% - Accent6 2 6 4" xfId="10007" xr:uid="{573960D0-BB6A-46B2-B6EA-EC5845D7D839}"/>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7ED8162B-5D87-443E-8CC0-991AC99AFBBA}"/>
    <cellStyle name="20% - Accent6 2 7 2 3" xfId="12565" xr:uid="{DF0D6A23-FCBE-4308-AA00-4CE1C45FA6EE}"/>
    <cellStyle name="20% - Accent6 2 7 3" xfId="6199" xr:uid="{00000000-0005-0000-0000-00006E030000}"/>
    <cellStyle name="20% - Accent6 2 7 3 2" xfId="14638" xr:uid="{752D2510-BA74-4770-91C4-DF8191D7BB72}"/>
    <cellStyle name="20% - Accent6 2 7 4" xfId="10420" xr:uid="{F087D100-5704-4D9F-B96B-167A36F83E35}"/>
    <cellStyle name="20% - Accent6 2 8" xfId="2305" xr:uid="{00000000-0005-0000-0000-00006F030000}"/>
    <cellStyle name="20% - Accent6 2 8 2" xfId="6612" xr:uid="{00000000-0005-0000-0000-000070030000}"/>
    <cellStyle name="20% - Accent6 2 8 2 2" xfId="15051" xr:uid="{B3EA8040-147A-4466-B30A-4BB5E216F345}"/>
    <cellStyle name="20% - Accent6 2 8 3" xfId="10833" xr:uid="{2E483F32-FBCC-4D6F-845F-97FB32F299AA}"/>
    <cellStyle name="20% - Accent6 2 9" xfId="4546" xr:uid="{00000000-0005-0000-0000-000071030000}"/>
    <cellStyle name="20% - Accent6 2 9 2" xfId="12985" xr:uid="{E0A04FC5-0D04-49FC-B9E8-E96481CA972D}"/>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70F9D2C2-01C1-425E-93AF-AC4A252B739F}"/>
    <cellStyle name="20% - Accent6 3 2 2 2 3" xfId="11331" xr:uid="{473783C8-615F-4B9D-9A4B-A71CECE4848A}"/>
    <cellStyle name="20% - Accent6 3 2 2 3" xfId="4965" xr:uid="{00000000-0005-0000-0000-000077030000}"/>
    <cellStyle name="20% - Accent6 3 2 2 3 2" xfId="13404" xr:uid="{C28A427D-4590-4003-AC1C-CBECE2A66E28}"/>
    <cellStyle name="20% - Accent6 3 2 2 4" xfId="9186" xr:uid="{94E262D3-DE45-4E0D-AD70-493CD0ED9705}"/>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A699C5DD-D1B7-4945-8391-A8BA189ACDB1}"/>
    <cellStyle name="20% - Accent6 3 2 3 2 3" xfId="11744" xr:uid="{84B9FF57-6AB5-45C7-86D7-AD1C2B57FBFE}"/>
    <cellStyle name="20% - Accent6 3 2 3 3" xfId="5378" xr:uid="{00000000-0005-0000-0000-00007B030000}"/>
    <cellStyle name="20% - Accent6 3 2 3 3 2" xfId="13817" xr:uid="{E3CC9AEF-9012-4825-A18C-91323F603025}"/>
    <cellStyle name="20% - Accent6 3 2 3 4" xfId="9599" xr:uid="{EF34FDF4-07E5-4804-941E-F47B840E578B}"/>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A1E5E288-4F0A-4271-89A5-7AAD4B2FA373}"/>
    <cellStyle name="20% - Accent6 3 2 4 2 3" xfId="12157" xr:uid="{D7DD206B-C91B-40AC-AE13-153FA8B0D339}"/>
    <cellStyle name="20% - Accent6 3 2 4 3" xfId="5791" xr:uid="{00000000-0005-0000-0000-00007F030000}"/>
    <cellStyle name="20% - Accent6 3 2 4 3 2" xfId="14230" xr:uid="{A42E6942-21C5-4601-8170-8D924D1D1AC2}"/>
    <cellStyle name="20% - Accent6 3 2 4 4" xfId="10012" xr:uid="{D24C41C8-3A88-4791-BBA7-0CA7D5AD1F81}"/>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8A9832F2-58A6-425C-9F63-10207995DD03}"/>
    <cellStyle name="20% - Accent6 3 2 5 2 3" xfId="12570" xr:uid="{8CD4E285-15F8-43B8-B9F5-82DD43093BDA}"/>
    <cellStyle name="20% - Accent6 3 2 5 3" xfId="6204" xr:uid="{00000000-0005-0000-0000-000083030000}"/>
    <cellStyle name="20% - Accent6 3 2 5 3 2" xfId="14643" xr:uid="{BFBB9B89-D38D-431A-97FF-6619E28B7617}"/>
    <cellStyle name="20% - Accent6 3 2 5 4" xfId="10425" xr:uid="{B73083D7-1AD1-4146-B17E-5C4EBB69D812}"/>
    <cellStyle name="20% - Accent6 3 2 6" xfId="2310" xr:uid="{00000000-0005-0000-0000-000084030000}"/>
    <cellStyle name="20% - Accent6 3 2 6 2" xfId="6617" xr:uid="{00000000-0005-0000-0000-000085030000}"/>
    <cellStyle name="20% - Accent6 3 2 6 2 2" xfId="15056" xr:uid="{EAE72F6B-F0C9-4E18-9606-D7A27C7B680E}"/>
    <cellStyle name="20% - Accent6 3 2 6 3" xfId="10838" xr:uid="{F585DF22-9137-4BC2-BD7A-1F5DA512A224}"/>
    <cellStyle name="20% - Accent6 3 2 7" xfId="4551" xr:uid="{00000000-0005-0000-0000-000086030000}"/>
    <cellStyle name="20% - Accent6 3 2 7 2" xfId="12990" xr:uid="{4D47798F-98EB-4D2D-9965-2202B469A3F9}"/>
    <cellStyle name="20% - Accent6 3 2 8" xfId="8772" xr:uid="{E4149738-6433-4DAF-AA7E-21376DB8DE2B}"/>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4C03A2FD-4E86-4EAF-8A01-8169040A6AC3}"/>
    <cellStyle name="20% - Accent6 3 3 2 3" xfId="11330" xr:uid="{31552E52-02C3-45D7-AFA7-F135D5D20341}"/>
    <cellStyle name="20% - Accent6 3 3 3" xfId="4964" xr:uid="{00000000-0005-0000-0000-00008A030000}"/>
    <cellStyle name="20% - Accent6 3 3 3 2" xfId="13403" xr:uid="{EF504D67-EBDB-4AC2-A1C4-6E6AD029F104}"/>
    <cellStyle name="20% - Accent6 3 3 4" xfId="9185" xr:uid="{D7005A67-2DB5-4CB5-850B-54688ECC6118}"/>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90256A44-92E7-4489-B8F0-C7A0F13EDBE1}"/>
    <cellStyle name="20% - Accent6 3 4 2 3" xfId="11743" xr:uid="{12C9962B-0C94-4BB3-95D7-02E94E35027A}"/>
    <cellStyle name="20% - Accent6 3 4 3" xfId="5377" xr:uid="{00000000-0005-0000-0000-00008E030000}"/>
    <cellStyle name="20% - Accent6 3 4 3 2" xfId="13816" xr:uid="{BB7B76C1-79A1-4373-9DCA-BF707441456B}"/>
    <cellStyle name="20% - Accent6 3 4 4" xfId="9598" xr:uid="{50352604-3753-4CFE-8237-FE2F43395A5E}"/>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1172DD90-3BFD-4F11-B154-882E2DF0BCA1}"/>
    <cellStyle name="20% - Accent6 3 5 2 3" xfId="12156" xr:uid="{E37ABCF4-9593-45D6-85C7-C627C92469B0}"/>
    <cellStyle name="20% - Accent6 3 5 3" xfId="5790" xr:uid="{00000000-0005-0000-0000-000092030000}"/>
    <cellStyle name="20% - Accent6 3 5 3 2" xfId="14229" xr:uid="{02BCD405-3892-478A-8FE2-C63E910F9CA1}"/>
    <cellStyle name="20% - Accent6 3 5 4" xfId="10011" xr:uid="{947D956C-162F-4A2C-9D79-D3AD849222FB}"/>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9AFFB0E2-7BEF-44A6-83A8-7F41F26D2DF5}"/>
    <cellStyle name="20% - Accent6 3 6 2 3" xfId="12569" xr:uid="{3979CCF8-64D2-4EB7-8D4E-13A318B92F9B}"/>
    <cellStyle name="20% - Accent6 3 6 3" xfId="6203" xr:uid="{00000000-0005-0000-0000-000096030000}"/>
    <cellStyle name="20% - Accent6 3 6 3 2" xfId="14642" xr:uid="{6A3C9DAF-240A-4313-AE2E-8C19BB9C232A}"/>
    <cellStyle name="20% - Accent6 3 6 4" xfId="10424" xr:uid="{C0B29FBC-5766-4DAB-B2D0-D4547BE1BC24}"/>
    <cellStyle name="20% - Accent6 3 7" xfId="2309" xr:uid="{00000000-0005-0000-0000-000097030000}"/>
    <cellStyle name="20% - Accent6 3 7 2" xfId="6616" xr:uid="{00000000-0005-0000-0000-000098030000}"/>
    <cellStyle name="20% - Accent6 3 7 2 2" xfId="15055" xr:uid="{2D83BBF1-BE09-44C6-A6CE-3F6A64BDB9C8}"/>
    <cellStyle name="20% - Accent6 3 7 3" xfId="10837" xr:uid="{C75FB9F4-63B6-4BB7-8869-575CE30B8475}"/>
    <cellStyle name="20% - Accent6 3 8" xfId="4550" xr:uid="{00000000-0005-0000-0000-000099030000}"/>
    <cellStyle name="20% - Accent6 3 8 2" xfId="12989" xr:uid="{A6C205EA-DFD0-41D2-B51D-8CC886B529C5}"/>
    <cellStyle name="20% - Accent6 3 9" xfId="8771" xr:uid="{91AFCF3F-9714-4C22-9B0F-30CD7B84A4B7}"/>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03E5999B-0A89-4FF9-A35C-43A2D8121440}"/>
    <cellStyle name="20% - Accent6 4 2 2 3" xfId="11332" xr:uid="{E4C5D37A-1798-4741-AB66-330F36D72B7A}"/>
    <cellStyle name="20% - Accent6 4 2 3" xfId="4966" xr:uid="{00000000-0005-0000-0000-00009E030000}"/>
    <cellStyle name="20% - Accent6 4 2 3 2" xfId="13405" xr:uid="{8A02A511-4C51-4DA2-88CD-83EB70FD6ABA}"/>
    <cellStyle name="20% - Accent6 4 2 4" xfId="9187" xr:uid="{F5D6101A-D8F6-4F51-80E2-A488FCEC351B}"/>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55AAF599-915F-4A4A-BF06-58A7B26666E9}"/>
    <cellStyle name="20% - Accent6 4 3 2 3" xfId="11745" xr:uid="{08F335A7-E62A-49E2-B90E-8CDF90820EFE}"/>
    <cellStyle name="20% - Accent6 4 3 3" xfId="5379" xr:uid="{00000000-0005-0000-0000-0000A2030000}"/>
    <cellStyle name="20% - Accent6 4 3 3 2" xfId="13818" xr:uid="{DBECAE14-8027-416A-A31A-981F0ECFCD52}"/>
    <cellStyle name="20% - Accent6 4 3 4" xfId="9600" xr:uid="{12063A05-1D66-4F9E-B40E-F6801FF6B898}"/>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38EE2A97-8AC6-4981-858F-761BDB371D8B}"/>
    <cellStyle name="20% - Accent6 4 4 2 3" xfId="12158" xr:uid="{3BDE704E-C0EC-4573-8387-50559AFB154A}"/>
    <cellStyle name="20% - Accent6 4 4 3" xfId="5792" xr:uid="{00000000-0005-0000-0000-0000A6030000}"/>
    <cellStyle name="20% - Accent6 4 4 3 2" xfId="14231" xr:uid="{5AA5D380-153E-4BB8-8C11-84048B1CE999}"/>
    <cellStyle name="20% - Accent6 4 4 4" xfId="10013" xr:uid="{DE1BB8DF-7E4F-443A-BB49-61F60D5FF494}"/>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54E79BEA-883E-445C-9B52-8E76DD4C770E}"/>
    <cellStyle name="20% - Accent6 4 5 2 3" xfId="12571" xr:uid="{CCE1C60D-71B8-4735-B349-20FD64D9C8DD}"/>
    <cellStyle name="20% - Accent6 4 5 3" xfId="6205" xr:uid="{00000000-0005-0000-0000-0000AA030000}"/>
    <cellStyle name="20% - Accent6 4 5 3 2" xfId="14644" xr:uid="{302645D8-8C6F-4B35-920C-64AD7B020A9D}"/>
    <cellStyle name="20% - Accent6 4 5 4" xfId="10426" xr:uid="{93350B33-E6DD-4F39-A46A-C8EEBF2CC228}"/>
    <cellStyle name="20% - Accent6 4 6" xfId="2311" xr:uid="{00000000-0005-0000-0000-0000AB030000}"/>
    <cellStyle name="20% - Accent6 4 6 2" xfId="6618" xr:uid="{00000000-0005-0000-0000-0000AC030000}"/>
    <cellStyle name="20% - Accent6 4 6 2 2" xfId="15057" xr:uid="{28A5C978-AC83-4C91-AD0C-F4935056C4C5}"/>
    <cellStyle name="20% - Accent6 4 6 3" xfId="10839" xr:uid="{0BCD731D-BBA7-4CA8-A5C4-825B86E96AE0}"/>
    <cellStyle name="20% - Accent6 4 7" xfId="4552" xr:uid="{00000000-0005-0000-0000-0000AD030000}"/>
    <cellStyle name="20% - Accent6 4 7 2" xfId="12991" xr:uid="{AB40174B-86FC-4781-BA8D-BF81A7065182}"/>
    <cellStyle name="20% - Accent6 4 8" xfId="8773" xr:uid="{1B7131EF-1C84-4234-AE69-718C54B35F97}"/>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62EF9C49-897D-4572-8255-D0798771A2A2}"/>
    <cellStyle name="20% - Accent6 5 2 3" xfId="11325" xr:uid="{63E17B59-C9D9-4490-930C-749B32CE9FEA}"/>
    <cellStyle name="20% - Accent6 5 3" xfId="4959" xr:uid="{00000000-0005-0000-0000-0000B1030000}"/>
    <cellStyle name="20% - Accent6 5 3 2" xfId="13398" xr:uid="{E429B83B-7BE7-4A74-A0DA-05C3F44E6697}"/>
    <cellStyle name="20% - Accent6 5 4" xfId="9180" xr:uid="{FC76A3EF-BCB9-4AB5-BC58-D99125A69ABB}"/>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E92795A0-91FF-47B5-B6CC-5D47F3679FE3}"/>
    <cellStyle name="20% - Accent6 6 2 3" xfId="11738" xr:uid="{0A6043F6-3BDA-4F02-B292-BF76ED7C1C03}"/>
    <cellStyle name="20% - Accent6 6 3" xfId="5372" xr:uid="{00000000-0005-0000-0000-0000B5030000}"/>
    <cellStyle name="20% - Accent6 6 3 2" xfId="13811" xr:uid="{981EE321-F0EC-4170-B913-5258A2742543}"/>
    <cellStyle name="20% - Accent6 6 4" xfId="9593" xr:uid="{7A6E1C33-4641-4503-BED3-01CEED0571A8}"/>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C960D3E4-C84C-4C98-AB79-251F68E60461}"/>
    <cellStyle name="20% - Accent6 7 2 3" xfId="12151" xr:uid="{93BE0489-0E67-4D79-AC28-D05BF79A8EF5}"/>
    <cellStyle name="20% - Accent6 7 3" xfId="5785" xr:uid="{00000000-0005-0000-0000-0000B9030000}"/>
    <cellStyle name="20% - Accent6 7 3 2" xfId="14224" xr:uid="{891109D0-7F24-4926-A408-15BA4126C1C4}"/>
    <cellStyle name="20% - Accent6 7 4" xfId="10006" xr:uid="{8BA41F27-624E-47C9-A805-2540EB530A4C}"/>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88BC9207-EF7F-440F-976F-E5A17A333073}"/>
    <cellStyle name="20% - Accent6 8 2 3" xfId="12564" xr:uid="{184B6D9F-BFD1-430E-B852-D274D6958296}"/>
    <cellStyle name="20% - Accent6 8 3" xfId="6198" xr:uid="{00000000-0005-0000-0000-0000BD030000}"/>
    <cellStyle name="20% - Accent6 8 3 2" xfId="14637" xr:uid="{4D3611FD-9360-4B67-BDF0-1CA13B1E3097}"/>
    <cellStyle name="20% - Accent6 8 4" xfId="10419" xr:uid="{FA3488C6-8046-47CD-869E-289CA069C573}"/>
    <cellStyle name="20% - Accent6 9" xfId="2304" xr:uid="{00000000-0005-0000-0000-0000BE030000}"/>
    <cellStyle name="20% - Accent6 9 2" xfId="6611" xr:uid="{00000000-0005-0000-0000-0000BF030000}"/>
    <cellStyle name="20% - Accent6 9 2 2" xfId="15050" xr:uid="{0617D0A0-2B93-4150-A94B-3727921BFB05}"/>
    <cellStyle name="20% - Accent6 9 3" xfId="10832" xr:uid="{B88149ED-4C49-41E3-ACC9-BA836DC1D9B3}"/>
    <cellStyle name="40% - Accent1" xfId="49" builtinId="31" customBuiltin="1"/>
    <cellStyle name="40% - Accent1 10" xfId="4553" xr:uid="{00000000-0005-0000-0000-0000C1030000}"/>
    <cellStyle name="40% - Accent1 10 2" xfId="12992" xr:uid="{EBF340F5-F939-42A9-B7A5-F518A85CAE0E}"/>
    <cellStyle name="40% - Accent1 11" xfId="8774" xr:uid="{D1AD5CE9-1FA7-490F-B4B7-5DEBA8E0FA49}"/>
    <cellStyle name="40% - Accent1 2" xfId="50" xr:uid="{00000000-0005-0000-0000-0000C2030000}"/>
    <cellStyle name="40% - Accent1 2 10" xfId="8775" xr:uid="{2BEE4182-6B76-4C88-AD0E-E6B04ABAB457}"/>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940D19C4-77CA-48C6-82CE-D11754EE6FFB}"/>
    <cellStyle name="40% - Accent1 2 2 2 2 2 3" xfId="11336" xr:uid="{B42EB74A-2788-4E70-8AC2-FD00B86F51E2}"/>
    <cellStyle name="40% - Accent1 2 2 2 2 3" xfId="4970" xr:uid="{00000000-0005-0000-0000-0000C8030000}"/>
    <cellStyle name="40% - Accent1 2 2 2 2 3 2" xfId="13409" xr:uid="{CECE0ADD-983E-48FB-9D90-9315F0E3581E}"/>
    <cellStyle name="40% - Accent1 2 2 2 2 4" xfId="9191" xr:uid="{E66BAD30-093A-4073-A65A-74D3DCA4F1BB}"/>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362E41C7-07CA-4986-A792-13BFD82FE708}"/>
    <cellStyle name="40% - Accent1 2 2 2 3 2 3" xfId="11749" xr:uid="{4BCE03F7-4E53-4815-852E-0912C385380F}"/>
    <cellStyle name="40% - Accent1 2 2 2 3 3" xfId="5383" xr:uid="{00000000-0005-0000-0000-0000CC030000}"/>
    <cellStyle name="40% - Accent1 2 2 2 3 3 2" xfId="13822" xr:uid="{A2262531-2F3E-4082-B0E0-AF9C05FF77AA}"/>
    <cellStyle name="40% - Accent1 2 2 2 3 4" xfId="9604" xr:uid="{9C725414-14AD-455A-B629-7D88956FE09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0B91DDA7-28C5-4E9F-BFA1-EE17A03791CE}"/>
    <cellStyle name="40% - Accent1 2 2 2 4 2 3" xfId="12162" xr:uid="{E7BD7B10-BD97-4351-81D1-D7FA54322A6A}"/>
    <cellStyle name="40% - Accent1 2 2 2 4 3" xfId="5796" xr:uid="{00000000-0005-0000-0000-0000D0030000}"/>
    <cellStyle name="40% - Accent1 2 2 2 4 3 2" xfId="14235" xr:uid="{7F31CD1D-30B4-4175-A608-693B9FE22DE6}"/>
    <cellStyle name="40% - Accent1 2 2 2 4 4" xfId="10017" xr:uid="{8D2060E4-F4D4-42D2-B4A5-0E6474ED0604}"/>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873523D6-7971-4B8E-9502-965F0D42B09D}"/>
    <cellStyle name="40% - Accent1 2 2 2 5 2 3" xfId="12575" xr:uid="{BD5D5ABF-6E95-4E82-89B9-5A80EFF7B413}"/>
    <cellStyle name="40% - Accent1 2 2 2 5 3" xfId="6209" xr:uid="{00000000-0005-0000-0000-0000D4030000}"/>
    <cellStyle name="40% - Accent1 2 2 2 5 3 2" xfId="14648" xr:uid="{C57DB2A7-3866-4276-B736-CA9AABEB79BD}"/>
    <cellStyle name="40% - Accent1 2 2 2 5 4" xfId="10430" xr:uid="{D4258188-0851-47A0-B14B-0C8D7402D4A6}"/>
    <cellStyle name="40% - Accent1 2 2 2 6" xfId="2315" xr:uid="{00000000-0005-0000-0000-0000D5030000}"/>
    <cellStyle name="40% - Accent1 2 2 2 6 2" xfId="6622" xr:uid="{00000000-0005-0000-0000-0000D6030000}"/>
    <cellStyle name="40% - Accent1 2 2 2 6 2 2" xfId="15061" xr:uid="{7C488D90-14AC-4FBA-B40E-41E321A72C72}"/>
    <cellStyle name="40% - Accent1 2 2 2 6 3" xfId="10843" xr:uid="{F55B3293-C41E-46F2-84C8-E6A1C2DC572F}"/>
    <cellStyle name="40% - Accent1 2 2 2 7" xfId="4556" xr:uid="{00000000-0005-0000-0000-0000D7030000}"/>
    <cellStyle name="40% - Accent1 2 2 2 7 2" xfId="12995" xr:uid="{E26E2E4F-0EE4-40D8-B861-4A039B9FF280}"/>
    <cellStyle name="40% - Accent1 2 2 2 8" xfId="8777" xr:uid="{2B306596-ED49-4414-88FC-4AD6882F7E89}"/>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75B8B12F-0980-40FC-B20C-4AAAB7448D96}"/>
    <cellStyle name="40% - Accent1 2 2 3 2 3" xfId="11335" xr:uid="{BBD254E9-2632-46DC-8A2E-D17BD177C236}"/>
    <cellStyle name="40% - Accent1 2 2 3 3" xfId="4969" xr:uid="{00000000-0005-0000-0000-0000DB030000}"/>
    <cellStyle name="40% - Accent1 2 2 3 3 2" xfId="13408" xr:uid="{8CC78837-7194-45EF-9C35-83311EB14DFF}"/>
    <cellStyle name="40% - Accent1 2 2 3 4" xfId="9190" xr:uid="{B0979F57-5719-43E6-ACC8-E2F705513FED}"/>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B40DA3E8-F1B2-4535-A6ED-54DDA6D7BAE8}"/>
    <cellStyle name="40% - Accent1 2 2 4 2 3" xfId="11748" xr:uid="{DA1DD44D-1DE5-4566-9DA1-E3C9B6224F67}"/>
    <cellStyle name="40% - Accent1 2 2 4 3" xfId="5382" xr:uid="{00000000-0005-0000-0000-0000DF030000}"/>
    <cellStyle name="40% - Accent1 2 2 4 3 2" xfId="13821" xr:uid="{2828911F-76BE-4F96-B3EC-3DDCEA42D39C}"/>
    <cellStyle name="40% - Accent1 2 2 4 4" xfId="9603" xr:uid="{EEBBD73D-3270-4451-85F4-1B3D329340B5}"/>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BDB6B342-E00E-4703-B989-EC8AA5AE88BC}"/>
    <cellStyle name="40% - Accent1 2 2 5 2 3" xfId="12161" xr:uid="{932FFA3D-310C-45A1-8C7E-48398066CB2C}"/>
    <cellStyle name="40% - Accent1 2 2 5 3" xfId="5795" xr:uid="{00000000-0005-0000-0000-0000E3030000}"/>
    <cellStyle name="40% - Accent1 2 2 5 3 2" xfId="14234" xr:uid="{A790A944-2308-48A3-BE95-7A499FBC4FB2}"/>
    <cellStyle name="40% - Accent1 2 2 5 4" xfId="10016" xr:uid="{8B81C634-CDA8-4AC6-960D-B988D9EFC880}"/>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BC8BBBC8-8EC2-435C-95CC-2D3D088DD3E8}"/>
    <cellStyle name="40% - Accent1 2 2 6 2 3" xfId="12574" xr:uid="{A9D51D08-B5F7-4ED3-8675-D6181922126D}"/>
    <cellStyle name="40% - Accent1 2 2 6 3" xfId="6208" xr:uid="{00000000-0005-0000-0000-0000E7030000}"/>
    <cellStyle name="40% - Accent1 2 2 6 3 2" xfId="14647" xr:uid="{A7D2FA28-81DF-47BB-B773-F760C45714C1}"/>
    <cellStyle name="40% - Accent1 2 2 6 4" xfId="10429" xr:uid="{249C9AD1-3823-4837-AF04-D5CC850B104D}"/>
    <cellStyle name="40% - Accent1 2 2 7" xfId="2314" xr:uid="{00000000-0005-0000-0000-0000E8030000}"/>
    <cellStyle name="40% - Accent1 2 2 7 2" xfId="6621" xr:uid="{00000000-0005-0000-0000-0000E9030000}"/>
    <cellStyle name="40% - Accent1 2 2 7 2 2" xfId="15060" xr:uid="{BA832245-B338-4005-A20B-2A1F3E7A8560}"/>
    <cellStyle name="40% - Accent1 2 2 7 3" xfId="10842" xr:uid="{C16521A6-3B9D-4094-A319-E5CDE0E31551}"/>
    <cellStyle name="40% - Accent1 2 2 8" xfId="4555" xr:uid="{00000000-0005-0000-0000-0000EA030000}"/>
    <cellStyle name="40% - Accent1 2 2 8 2" xfId="12994" xr:uid="{CF0B9747-2870-45A5-B719-F0B49F5BA411}"/>
    <cellStyle name="40% - Accent1 2 2 9" xfId="8776" xr:uid="{C91510DA-3772-4FE3-B79B-7A0CE24C489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8B4B6E14-A8AA-4681-8F0D-DE8E2F103A7D}"/>
    <cellStyle name="40% - Accent1 2 3 2 2 3" xfId="11337" xr:uid="{DF356F54-5BE6-4A39-B31F-5C270D16093C}"/>
    <cellStyle name="40% - Accent1 2 3 2 3" xfId="4971" xr:uid="{00000000-0005-0000-0000-0000EF030000}"/>
    <cellStyle name="40% - Accent1 2 3 2 3 2" xfId="13410" xr:uid="{E183FE2E-3BB2-454F-9D9E-04ED9D61D2FD}"/>
    <cellStyle name="40% - Accent1 2 3 2 4" xfId="9192" xr:uid="{035FAAE7-E986-43C0-A583-5EBCDCDC8505}"/>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EBDE5479-1B62-462F-9157-2BC6F57F5118}"/>
    <cellStyle name="40% - Accent1 2 3 3 2 3" xfId="11750" xr:uid="{738C1CB0-B951-4659-A41C-7E67657DCCFF}"/>
    <cellStyle name="40% - Accent1 2 3 3 3" xfId="5384" xr:uid="{00000000-0005-0000-0000-0000F3030000}"/>
    <cellStyle name="40% - Accent1 2 3 3 3 2" xfId="13823" xr:uid="{6111429C-032D-467A-BF92-A65D7DAF1B1E}"/>
    <cellStyle name="40% - Accent1 2 3 3 4" xfId="9605" xr:uid="{FB4EF5C3-9813-402A-8E5D-21DCC6606C3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41B6835C-A19F-4852-81E0-C9333792BF5B}"/>
    <cellStyle name="40% - Accent1 2 3 4 2 3" xfId="12163" xr:uid="{B2A1FBAF-D6F8-4673-B7A4-534AD3105312}"/>
    <cellStyle name="40% - Accent1 2 3 4 3" xfId="5797" xr:uid="{00000000-0005-0000-0000-0000F7030000}"/>
    <cellStyle name="40% - Accent1 2 3 4 3 2" xfId="14236" xr:uid="{EE806077-1FB7-4F9E-9D7E-68EE737E3C24}"/>
    <cellStyle name="40% - Accent1 2 3 4 4" xfId="10018" xr:uid="{80E7C108-2736-4C50-B0A7-B0290790E527}"/>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512A92C2-4932-47A1-83D2-B6FB3747C455}"/>
    <cellStyle name="40% - Accent1 2 3 5 2 3" xfId="12576" xr:uid="{E9E0ED28-5BB2-43BC-84C7-0C9150FCA426}"/>
    <cellStyle name="40% - Accent1 2 3 5 3" xfId="6210" xr:uid="{00000000-0005-0000-0000-0000FB030000}"/>
    <cellStyle name="40% - Accent1 2 3 5 3 2" xfId="14649" xr:uid="{FBFCE4A6-AE18-4604-A9F7-DCA07852B9E3}"/>
    <cellStyle name="40% - Accent1 2 3 5 4" xfId="10431" xr:uid="{49E9396B-2C9B-4C38-9E0D-CE91B6391B61}"/>
    <cellStyle name="40% - Accent1 2 3 6" xfId="2316" xr:uid="{00000000-0005-0000-0000-0000FC030000}"/>
    <cellStyle name="40% - Accent1 2 3 6 2" xfId="6623" xr:uid="{00000000-0005-0000-0000-0000FD030000}"/>
    <cellStyle name="40% - Accent1 2 3 6 2 2" xfId="15062" xr:uid="{9A2B4482-7408-4062-AB9C-5D91F9A17CA0}"/>
    <cellStyle name="40% - Accent1 2 3 6 3" xfId="10844" xr:uid="{08A89612-EF83-4F02-9D03-89DC280E907F}"/>
    <cellStyle name="40% - Accent1 2 3 7" xfId="4557" xr:uid="{00000000-0005-0000-0000-0000FE030000}"/>
    <cellStyle name="40% - Accent1 2 3 7 2" xfId="12996" xr:uid="{8BE316B0-AF78-4FA0-B399-79054F958A25}"/>
    <cellStyle name="40% - Accent1 2 3 8" xfId="8778" xr:uid="{86962541-C889-43AF-9D0C-378E7A7E34DA}"/>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B8978295-6709-43B6-ADFF-258865397995}"/>
    <cellStyle name="40% - Accent1 2 4 2 3" xfId="11334" xr:uid="{DB080408-03B9-434D-BD9D-4E278EBAF552}"/>
    <cellStyle name="40% - Accent1 2 4 3" xfId="4968" xr:uid="{00000000-0005-0000-0000-000002040000}"/>
    <cellStyle name="40% - Accent1 2 4 3 2" xfId="13407" xr:uid="{0B9B3D8B-571E-47C6-828C-619E18FAB613}"/>
    <cellStyle name="40% - Accent1 2 4 4" xfId="9189" xr:uid="{82B06166-9609-478B-AEAC-3AC614F3342F}"/>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22841DBE-1D7C-405F-BBAB-ABBECD197AC6}"/>
    <cellStyle name="40% - Accent1 2 5 2 3" xfId="11747" xr:uid="{E1422069-A7F0-4730-B133-DAD63E97AF5A}"/>
    <cellStyle name="40% - Accent1 2 5 3" xfId="5381" xr:uid="{00000000-0005-0000-0000-000006040000}"/>
    <cellStyle name="40% - Accent1 2 5 3 2" xfId="13820" xr:uid="{E99A8730-96DC-40BF-B038-BF6B37566E7B}"/>
    <cellStyle name="40% - Accent1 2 5 4" xfId="9602" xr:uid="{3064B439-B8E7-446B-9FD2-09E00798972E}"/>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B70956ED-8218-462A-9C9A-A85E5BC7B186}"/>
    <cellStyle name="40% - Accent1 2 6 2 3" xfId="12160" xr:uid="{1B7A8575-6851-4472-B7D5-FE5B2AFA448F}"/>
    <cellStyle name="40% - Accent1 2 6 3" xfId="5794" xr:uid="{00000000-0005-0000-0000-00000A040000}"/>
    <cellStyle name="40% - Accent1 2 6 3 2" xfId="14233" xr:uid="{CA0D39D4-E5E3-4B3F-8144-69175C4058F3}"/>
    <cellStyle name="40% - Accent1 2 6 4" xfId="10015" xr:uid="{888BC4E4-3CF9-4E03-AA8E-E10EEE696B0F}"/>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62BDD4E8-16F3-4781-8956-158A9C00A1E9}"/>
    <cellStyle name="40% - Accent1 2 7 2 3" xfId="12573" xr:uid="{5CBC8A5A-3ACC-4137-AED0-BE0596922166}"/>
    <cellStyle name="40% - Accent1 2 7 3" xfId="6207" xr:uid="{00000000-0005-0000-0000-00000E040000}"/>
    <cellStyle name="40% - Accent1 2 7 3 2" xfId="14646" xr:uid="{6C2A52FF-E04F-47F9-88CB-E7650909207D}"/>
    <cellStyle name="40% - Accent1 2 7 4" xfId="10428" xr:uid="{72FE57DE-25D7-45F1-A702-75D59B8C8F26}"/>
    <cellStyle name="40% - Accent1 2 8" xfId="2313" xr:uid="{00000000-0005-0000-0000-00000F040000}"/>
    <cellStyle name="40% - Accent1 2 8 2" xfId="6620" xr:uid="{00000000-0005-0000-0000-000010040000}"/>
    <cellStyle name="40% - Accent1 2 8 2 2" xfId="15059" xr:uid="{2ACFC6E3-90B2-4FB0-BCD1-2E4C1AAD9C52}"/>
    <cellStyle name="40% - Accent1 2 8 3" xfId="10841" xr:uid="{C37B0EAD-7ED2-4AC7-9D75-18B4F47B5083}"/>
    <cellStyle name="40% - Accent1 2 9" xfId="4554" xr:uid="{00000000-0005-0000-0000-000011040000}"/>
    <cellStyle name="40% - Accent1 2 9 2" xfId="12993" xr:uid="{7F905462-F8DB-4152-B54A-929E0AC72283}"/>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156B4F7B-5933-455E-986F-B9655DD68C8A}"/>
    <cellStyle name="40% - Accent1 3 2 2 2 3" xfId="11339" xr:uid="{C3AAC4DD-5D1C-4570-A7D6-441830A252DB}"/>
    <cellStyle name="40% - Accent1 3 2 2 3" xfId="4973" xr:uid="{00000000-0005-0000-0000-000017040000}"/>
    <cellStyle name="40% - Accent1 3 2 2 3 2" xfId="13412" xr:uid="{654DF085-B16A-4DB8-B889-0AE69F88715D}"/>
    <cellStyle name="40% - Accent1 3 2 2 4" xfId="9194" xr:uid="{FE65F91F-CE34-44A6-BF73-87AE5FC2FB89}"/>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CC09A32E-C056-4651-BE4D-BA8AC5606F17}"/>
    <cellStyle name="40% - Accent1 3 2 3 2 3" xfId="11752" xr:uid="{DCF54BF6-C657-45EE-8609-8DA3088CB1C7}"/>
    <cellStyle name="40% - Accent1 3 2 3 3" xfId="5386" xr:uid="{00000000-0005-0000-0000-00001B040000}"/>
    <cellStyle name="40% - Accent1 3 2 3 3 2" xfId="13825" xr:uid="{0F2E89F4-1A39-4784-A3B2-C2062620E1FA}"/>
    <cellStyle name="40% - Accent1 3 2 3 4" xfId="9607" xr:uid="{C269D10A-4581-4770-8F04-2B38B45757B9}"/>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FDE17C67-9631-4234-BB0E-9DD836A02737}"/>
    <cellStyle name="40% - Accent1 3 2 4 2 3" xfId="12165" xr:uid="{0D75FA65-3BD4-4381-9A5C-7E6ABE929DB9}"/>
    <cellStyle name="40% - Accent1 3 2 4 3" xfId="5799" xr:uid="{00000000-0005-0000-0000-00001F040000}"/>
    <cellStyle name="40% - Accent1 3 2 4 3 2" xfId="14238" xr:uid="{799EBDF0-6E26-4AD5-B309-A334EDD0CA8C}"/>
    <cellStyle name="40% - Accent1 3 2 4 4" xfId="10020" xr:uid="{B9A1CEA6-9386-4DFB-98CC-DB5D9AD669E4}"/>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73B8ACE4-1500-4388-A1AD-EEA2EC84427D}"/>
    <cellStyle name="40% - Accent1 3 2 5 2 3" xfId="12578" xr:uid="{92561DBD-1CB4-46B6-A1DA-63C2D107E687}"/>
    <cellStyle name="40% - Accent1 3 2 5 3" xfId="6212" xr:uid="{00000000-0005-0000-0000-000023040000}"/>
    <cellStyle name="40% - Accent1 3 2 5 3 2" xfId="14651" xr:uid="{EF82E0C6-1B66-498E-AFDE-C90844FC173F}"/>
    <cellStyle name="40% - Accent1 3 2 5 4" xfId="10433" xr:uid="{469814AF-7338-4D2D-AB19-B11267699C3F}"/>
    <cellStyle name="40% - Accent1 3 2 6" xfId="2318" xr:uid="{00000000-0005-0000-0000-000024040000}"/>
    <cellStyle name="40% - Accent1 3 2 6 2" xfId="6625" xr:uid="{00000000-0005-0000-0000-000025040000}"/>
    <cellStyle name="40% - Accent1 3 2 6 2 2" xfId="15064" xr:uid="{79E96AFB-D5B5-4508-8D0E-361D23FD5AB5}"/>
    <cellStyle name="40% - Accent1 3 2 6 3" xfId="10846" xr:uid="{3FFCEEDC-F78C-4B99-A45F-A869F8BCB4C1}"/>
    <cellStyle name="40% - Accent1 3 2 7" xfId="4559" xr:uid="{00000000-0005-0000-0000-000026040000}"/>
    <cellStyle name="40% - Accent1 3 2 7 2" xfId="12998" xr:uid="{6CEFD395-7580-4112-8FFA-B39AC3CD9158}"/>
    <cellStyle name="40% - Accent1 3 2 8" xfId="8780" xr:uid="{379B5ABE-7B5E-4AA9-A010-4E08FD03DDFC}"/>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DC6AB5CF-5B39-44DD-8A12-8E90440489C9}"/>
    <cellStyle name="40% - Accent1 3 3 2 3" xfId="11338" xr:uid="{72F86658-8B6F-4157-9A93-5BF54B5DD948}"/>
    <cellStyle name="40% - Accent1 3 3 3" xfId="4972" xr:uid="{00000000-0005-0000-0000-00002A040000}"/>
    <cellStyle name="40% - Accent1 3 3 3 2" xfId="13411" xr:uid="{30ED30C7-35EC-4174-BBF9-F01778823446}"/>
    <cellStyle name="40% - Accent1 3 3 4" xfId="9193" xr:uid="{C3F57F4A-66C5-4BFF-A244-2700C556A9C4}"/>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3D675BEE-DC9F-43A5-A7F8-711D2675F939}"/>
    <cellStyle name="40% - Accent1 3 4 2 3" xfId="11751" xr:uid="{F8CB0053-9D57-41FF-9CFC-C52A88CEC542}"/>
    <cellStyle name="40% - Accent1 3 4 3" xfId="5385" xr:uid="{00000000-0005-0000-0000-00002E040000}"/>
    <cellStyle name="40% - Accent1 3 4 3 2" xfId="13824" xr:uid="{34773316-699C-48B9-B2CA-A685D4EE4E4D}"/>
    <cellStyle name="40% - Accent1 3 4 4" xfId="9606" xr:uid="{7E9EB5C2-6C7C-4A46-B41E-2AA09AA003E4}"/>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BB9D5189-E62B-4518-B24E-6E29E6EB3565}"/>
    <cellStyle name="40% - Accent1 3 5 2 3" xfId="12164" xr:uid="{238ADAB8-027E-4D22-AFF7-ECE029BF6525}"/>
    <cellStyle name="40% - Accent1 3 5 3" xfId="5798" xr:uid="{00000000-0005-0000-0000-000032040000}"/>
    <cellStyle name="40% - Accent1 3 5 3 2" xfId="14237" xr:uid="{D0D7562D-CC2B-47AA-BBC0-792F540EDAD3}"/>
    <cellStyle name="40% - Accent1 3 5 4" xfId="10019" xr:uid="{A1A4D0AD-9076-48C7-8374-79E88CB1A4E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4647F0E3-6BDA-4582-A0E5-F90652591D12}"/>
    <cellStyle name="40% - Accent1 3 6 2 3" xfId="12577" xr:uid="{99730BAF-9FEB-42CD-9310-B391D23586EF}"/>
    <cellStyle name="40% - Accent1 3 6 3" xfId="6211" xr:uid="{00000000-0005-0000-0000-000036040000}"/>
    <cellStyle name="40% - Accent1 3 6 3 2" xfId="14650" xr:uid="{65C59F01-8EE7-45B7-8297-E4FE7B8591E5}"/>
    <cellStyle name="40% - Accent1 3 6 4" xfId="10432" xr:uid="{A5ECF6FA-9D25-48B4-A08F-52F885EE3D67}"/>
    <cellStyle name="40% - Accent1 3 7" xfId="2317" xr:uid="{00000000-0005-0000-0000-000037040000}"/>
    <cellStyle name="40% - Accent1 3 7 2" xfId="6624" xr:uid="{00000000-0005-0000-0000-000038040000}"/>
    <cellStyle name="40% - Accent1 3 7 2 2" xfId="15063" xr:uid="{DF1FED31-F006-4CEA-BCC0-173B1C286CDC}"/>
    <cellStyle name="40% - Accent1 3 7 3" xfId="10845" xr:uid="{2126FE6B-6DB5-4756-898B-9A541CA5BACA}"/>
    <cellStyle name="40% - Accent1 3 8" xfId="4558" xr:uid="{00000000-0005-0000-0000-000039040000}"/>
    <cellStyle name="40% - Accent1 3 8 2" xfId="12997" xr:uid="{3E81F05D-27A3-485B-8424-E97D23A03276}"/>
    <cellStyle name="40% - Accent1 3 9" xfId="8779" xr:uid="{50234651-75FB-4EBF-B3B8-6E811395AD6D}"/>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D266D892-6915-4194-BA39-60C44E0B5B73}"/>
    <cellStyle name="40% - Accent1 4 2 2 3" xfId="11340" xr:uid="{1086839B-F97B-4CCE-9302-74B58768045A}"/>
    <cellStyle name="40% - Accent1 4 2 3" xfId="4974" xr:uid="{00000000-0005-0000-0000-00003E040000}"/>
    <cellStyle name="40% - Accent1 4 2 3 2" xfId="13413" xr:uid="{B7CCFAA8-1672-4C60-9308-E38D47B53DBC}"/>
    <cellStyle name="40% - Accent1 4 2 4" xfId="9195" xr:uid="{6BEC7498-9E19-4266-B803-BDE9A87DF6CA}"/>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DC09E00F-47D4-4FEF-B2AA-512ADE4F35AF}"/>
    <cellStyle name="40% - Accent1 4 3 2 3" xfId="11753" xr:uid="{3CD4CE00-B2D1-4425-B385-F7DD8ECF56FF}"/>
    <cellStyle name="40% - Accent1 4 3 3" xfId="5387" xr:uid="{00000000-0005-0000-0000-000042040000}"/>
    <cellStyle name="40% - Accent1 4 3 3 2" xfId="13826" xr:uid="{4DB2F60C-8B1D-46A8-9103-924F0A7F57D2}"/>
    <cellStyle name="40% - Accent1 4 3 4" xfId="9608" xr:uid="{BF7C3A27-E290-4BA9-B744-C387FDBA52AE}"/>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53AC0039-6B0C-400B-97D0-DA672BCCAA27}"/>
    <cellStyle name="40% - Accent1 4 4 2 3" xfId="12166" xr:uid="{720F1292-D210-4098-8385-F7C6D0490488}"/>
    <cellStyle name="40% - Accent1 4 4 3" xfId="5800" xr:uid="{00000000-0005-0000-0000-000046040000}"/>
    <cellStyle name="40% - Accent1 4 4 3 2" xfId="14239" xr:uid="{7A984816-44DA-406D-92DC-C474B18DD2BA}"/>
    <cellStyle name="40% - Accent1 4 4 4" xfId="10021" xr:uid="{789DFDFC-3F46-438E-A8FA-48B58C0BB482}"/>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18D45187-9847-4C7C-AB67-A98D832E3D0E}"/>
    <cellStyle name="40% - Accent1 4 5 2 3" xfId="12579" xr:uid="{D5AB1E9B-EDC8-49D8-9016-CE5E37F6B3A0}"/>
    <cellStyle name="40% - Accent1 4 5 3" xfId="6213" xr:uid="{00000000-0005-0000-0000-00004A040000}"/>
    <cellStyle name="40% - Accent1 4 5 3 2" xfId="14652" xr:uid="{306D9599-FADE-4DC5-9871-921B083176AC}"/>
    <cellStyle name="40% - Accent1 4 5 4" xfId="10434" xr:uid="{B68C1F5E-9358-4F37-AF23-79AA0AD50FD1}"/>
    <cellStyle name="40% - Accent1 4 6" xfId="2319" xr:uid="{00000000-0005-0000-0000-00004B040000}"/>
    <cellStyle name="40% - Accent1 4 6 2" xfId="6626" xr:uid="{00000000-0005-0000-0000-00004C040000}"/>
    <cellStyle name="40% - Accent1 4 6 2 2" xfId="15065" xr:uid="{BD8E9DCD-815C-4E42-8D91-95845019E040}"/>
    <cellStyle name="40% - Accent1 4 6 3" xfId="10847" xr:uid="{FB1CAD62-4D43-4D76-B4FC-4E6DCF46EEE8}"/>
    <cellStyle name="40% - Accent1 4 7" xfId="4560" xr:uid="{00000000-0005-0000-0000-00004D040000}"/>
    <cellStyle name="40% - Accent1 4 7 2" xfId="12999" xr:uid="{746339D3-01FC-4E74-AC4F-4A7E1B9DCC77}"/>
    <cellStyle name="40% - Accent1 4 8" xfId="8781" xr:uid="{496AFC45-5BD0-459B-B1D4-577444EB0721}"/>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52FE1030-28A5-4258-8BA7-AFDD41567C08}"/>
    <cellStyle name="40% - Accent1 5 2 3" xfId="11333" xr:uid="{BB07629B-976C-4328-9178-3FA71E51DA48}"/>
    <cellStyle name="40% - Accent1 5 3" xfId="4967" xr:uid="{00000000-0005-0000-0000-000051040000}"/>
    <cellStyle name="40% - Accent1 5 3 2" xfId="13406" xr:uid="{13681FFF-86E9-4176-B5DC-506A7C4E71BD}"/>
    <cellStyle name="40% - Accent1 5 4" xfId="9188" xr:uid="{3E76AFE8-5C10-4668-9A43-DEB531208F5D}"/>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349A7968-6791-4C96-9B5B-F266F7CB7B3F}"/>
    <cellStyle name="40% - Accent1 6 2 3" xfId="11746" xr:uid="{DB0FCBE6-2B71-467F-BCB0-870B3D791E66}"/>
    <cellStyle name="40% - Accent1 6 3" xfId="5380" xr:uid="{00000000-0005-0000-0000-000055040000}"/>
    <cellStyle name="40% - Accent1 6 3 2" xfId="13819" xr:uid="{C23F1EAE-F3E2-4B89-8551-7DFE0CB158B1}"/>
    <cellStyle name="40% - Accent1 6 4" xfId="9601" xr:uid="{E384DE64-8A3D-4A6F-B927-F2236D37DB09}"/>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327DD0B6-2306-4D14-A3F5-6BF348AF0C6C}"/>
    <cellStyle name="40% - Accent1 7 2 3" xfId="12159" xr:uid="{363F0488-D409-4AE4-A96D-0F3140CC9FDD}"/>
    <cellStyle name="40% - Accent1 7 3" xfId="5793" xr:uid="{00000000-0005-0000-0000-000059040000}"/>
    <cellStyle name="40% - Accent1 7 3 2" xfId="14232" xr:uid="{7E49835B-7250-4040-BD6A-F24115CBD4EB}"/>
    <cellStyle name="40% - Accent1 7 4" xfId="10014" xr:uid="{A388A0A1-571C-4ACD-8BFD-A4EB05B29BA5}"/>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F4BFE6F0-91EF-4851-83BE-6943FB7EC998}"/>
    <cellStyle name="40% - Accent1 8 2 3" xfId="12572" xr:uid="{9D762A41-BB8F-4264-BF61-9CD4E84146FA}"/>
    <cellStyle name="40% - Accent1 8 3" xfId="6206" xr:uid="{00000000-0005-0000-0000-00005D040000}"/>
    <cellStyle name="40% - Accent1 8 3 2" xfId="14645" xr:uid="{E9ABED94-6E0F-4A17-9468-802CD71134F5}"/>
    <cellStyle name="40% - Accent1 8 4" xfId="10427" xr:uid="{63FE3DCB-8468-485C-98E7-9B23EE3E6F6C}"/>
    <cellStyle name="40% - Accent1 9" xfId="2312" xr:uid="{00000000-0005-0000-0000-00005E040000}"/>
    <cellStyle name="40% - Accent1 9 2" xfId="6619" xr:uid="{00000000-0005-0000-0000-00005F040000}"/>
    <cellStyle name="40% - Accent1 9 2 2" xfId="15058" xr:uid="{15D5BC9C-E950-40C4-8D61-8BEDF850DC8B}"/>
    <cellStyle name="40% - Accent1 9 3" xfId="10840" xr:uid="{2EA2235E-E139-4C48-BB8A-CCD8EDE32E5D}"/>
    <cellStyle name="40% - Accent2" xfId="57" builtinId="35" customBuiltin="1"/>
    <cellStyle name="40% - Accent2 10" xfId="4561" xr:uid="{00000000-0005-0000-0000-000061040000}"/>
    <cellStyle name="40% - Accent2 10 2" xfId="13000" xr:uid="{1F0030AE-7852-451C-87E1-628965E39315}"/>
    <cellStyle name="40% - Accent2 11" xfId="8782" xr:uid="{F673F5BC-FC76-4628-AF43-2DFF0894E947}"/>
    <cellStyle name="40% - Accent2 2" xfId="58" xr:uid="{00000000-0005-0000-0000-000062040000}"/>
    <cellStyle name="40% - Accent2 2 10" xfId="8783" xr:uid="{DEF4E0D4-52C7-4440-810C-B64678DE28CC}"/>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BFD85695-D164-4E06-A232-9882FEEA4B3F}"/>
    <cellStyle name="40% - Accent2 2 2 2 2 2 3" xfId="11344" xr:uid="{5ADD3C45-F2C6-445B-B046-FCB7325ECC1F}"/>
    <cellStyle name="40% - Accent2 2 2 2 2 3" xfId="4978" xr:uid="{00000000-0005-0000-0000-000068040000}"/>
    <cellStyle name="40% - Accent2 2 2 2 2 3 2" xfId="13417" xr:uid="{DC5BCE76-C78C-4F59-A426-36D6F0ABFD83}"/>
    <cellStyle name="40% - Accent2 2 2 2 2 4" xfId="9199" xr:uid="{FDAFEB13-FFEA-4F58-B853-21830EF6DF66}"/>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8D9FACA5-26E9-49EA-AD34-9E837AEE1816}"/>
    <cellStyle name="40% - Accent2 2 2 2 3 2 3" xfId="11757" xr:uid="{4DDD3E16-8210-463C-B439-F76A10CD5A4A}"/>
    <cellStyle name="40% - Accent2 2 2 2 3 3" xfId="5391" xr:uid="{00000000-0005-0000-0000-00006C040000}"/>
    <cellStyle name="40% - Accent2 2 2 2 3 3 2" xfId="13830" xr:uid="{4C5D1ADC-C3F2-41D5-BE1E-F4725D316F8E}"/>
    <cellStyle name="40% - Accent2 2 2 2 3 4" xfId="9612" xr:uid="{BF4C46F6-53A7-4220-987E-81521CCCB2B9}"/>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1FAAC49C-DC09-4489-9B9C-6F093B9840CF}"/>
    <cellStyle name="40% - Accent2 2 2 2 4 2 3" xfId="12170" xr:uid="{AC75FFB7-54A2-4BAD-88B0-E3AA147FA286}"/>
    <cellStyle name="40% - Accent2 2 2 2 4 3" xfId="5804" xr:uid="{00000000-0005-0000-0000-000070040000}"/>
    <cellStyle name="40% - Accent2 2 2 2 4 3 2" xfId="14243" xr:uid="{556AE468-379A-456A-9824-97455FF05D0A}"/>
    <cellStyle name="40% - Accent2 2 2 2 4 4" xfId="10025" xr:uid="{386932E0-50E7-4893-A232-AF4E484EA452}"/>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B0CB50EE-6267-4902-80A8-88B6F842D050}"/>
    <cellStyle name="40% - Accent2 2 2 2 5 2 3" xfId="12583" xr:uid="{14E0D01B-54D1-4BBF-82D8-871288BB9B24}"/>
    <cellStyle name="40% - Accent2 2 2 2 5 3" xfId="6217" xr:uid="{00000000-0005-0000-0000-000074040000}"/>
    <cellStyle name="40% - Accent2 2 2 2 5 3 2" xfId="14656" xr:uid="{348B610C-BEC3-4AAD-8D7D-A8B19B3C0E99}"/>
    <cellStyle name="40% - Accent2 2 2 2 5 4" xfId="10438" xr:uid="{F3F13D5B-1668-4FC7-A3EB-9B268C76E161}"/>
    <cellStyle name="40% - Accent2 2 2 2 6" xfId="2323" xr:uid="{00000000-0005-0000-0000-000075040000}"/>
    <cellStyle name="40% - Accent2 2 2 2 6 2" xfId="6630" xr:uid="{00000000-0005-0000-0000-000076040000}"/>
    <cellStyle name="40% - Accent2 2 2 2 6 2 2" xfId="15069" xr:uid="{5F0BA48D-4BA4-4B49-8AB3-D827209ECA8F}"/>
    <cellStyle name="40% - Accent2 2 2 2 6 3" xfId="10851" xr:uid="{4C120A42-5602-4F5A-9404-40A69EDC8C0B}"/>
    <cellStyle name="40% - Accent2 2 2 2 7" xfId="4564" xr:uid="{00000000-0005-0000-0000-000077040000}"/>
    <cellStyle name="40% - Accent2 2 2 2 7 2" xfId="13003" xr:uid="{8A8F0CD7-1138-4E59-88FD-6B9E65745894}"/>
    <cellStyle name="40% - Accent2 2 2 2 8" xfId="8785" xr:uid="{8017D5FC-26B8-4B19-9451-B216EF46DFB9}"/>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DBC5E311-7132-4914-B90F-C3FAE95241DE}"/>
    <cellStyle name="40% - Accent2 2 2 3 2 3" xfId="11343" xr:uid="{492A93D3-95D2-486C-809F-12B85426A02A}"/>
    <cellStyle name="40% - Accent2 2 2 3 3" xfId="4977" xr:uid="{00000000-0005-0000-0000-00007B040000}"/>
    <cellStyle name="40% - Accent2 2 2 3 3 2" xfId="13416" xr:uid="{21029521-0BA5-49E0-8B8C-5875B0584EFB}"/>
    <cellStyle name="40% - Accent2 2 2 3 4" xfId="9198" xr:uid="{8C273DBC-20F0-4D9E-B269-AC9795AE899E}"/>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0535A808-3C0B-4A6B-A8F4-F4FECF8946E9}"/>
    <cellStyle name="40% - Accent2 2 2 4 2 3" xfId="11756" xr:uid="{5FA3B445-C72D-46CC-84D3-6FFD42FA44D3}"/>
    <cellStyle name="40% - Accent2 2 2 4 3" xfId="5390" xr:uid="{00000000-0005-0000-0000-00007F040000}"/>
    <cellStyle name="40% - Accent2 2 2 4 3 2" xfId="13829" xr:uid="{A39730AF-62C4-4E50-8C90-7D513EA75A16}"/>
    <cellStyle name="40% - Accent2 2 2 4 4" xfId="9611" xr:uid="{F21B4BBE-09F6-4F30-9AA9-E9FBDB7923B5}"/>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627AA48E-B137-43FD-A290-6668CBAB436A}"/>
    <cellStyle name="40% - Accent2 2 2 5 2 3" xfId="12169" xr:uid="{A0ED4A41-6108-49F4-AD60-DD08781728A5}"/>
    <cellStyle name="40% - Accent2 2 2 5 3" xfId="5803" xr:uid="{00000000-0005-0000-0000-000083040000}"/>
    <cellStyle name="40% - Accent2 2 2 5 3 2" xfId="14242" xr:uid="{221BC5B3-38A3-4B09-A2A1-A41D6FC7E5BD}"/>
    <cellStyle name="40% - Accent2 2 2 5 4" xfId="10024" xr:uid="{7BDC6683-2261-46EA-B957-DD4EED083EE4}"/>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743C70FE-22A1-4339-8131-469D5F5406C3}"/>
    <cellStyle name="40% - Accent2 2 2 6 2 3" xfId="12582" xr:uid="{7C18C880-3B08-479F-BC7F-D9C42882EAA4}"/>
    <cellStyle name="40% - Accent2 2 2 6 3" xfId="6216" xr:uid="{00000000-0005-0000-0000-000087040000}"/>
    <cellStyle name="40% - Accent2 2 2 6 3 2" xfId="14655" xr:uid="{B6DB39FD-100E-4A1F-884C-FAA7F92F5431}"/>
    <cellStyle name="40% - Accent2 2 2 6 4" xfId="10437" xr:uid="{C5188895-5F56-4F33-9D5F-B7F4BC1A13CA}"/>
    <cellStyle name="40% - Accent2 2 2 7" xfId="2322" xr:uid="{00000000-0005-0000-0000-000088040000}"/>
    <cellStyle name="40% - Accent2 2 2 7 2" xfId="6629" xr:uid="{00000000-0005-0000-0000-000089040000}"/>
    <cellStyle name="40% - Accent2 2 2 7 2 2" xfId="15068" xr:uid="{1EBDE6F4-A4A2-4A13-83A6-515AD0E2B356}"/>
    <cellStyle name="40% - Accent2 2 2 7 3" xfId="10850" xr:uid="{DEEF06E1-8982-40F6-BA74-EC545D831DCE}"/>
    <cellStyle name="40% - Accent2 2 2 8" xfId="4563" xr:uid="{00000000-0005-0000-0000-00008A040000}"/>
    <cellStyle name="40% - Accent2 2 2 8 2" xfId="13002" xr:uid="{F708E8EB-9919-4D47-9F23-D5C1C2604DA8}"/>
    <cellStyle name="40% - Accent2 2 2 9" xfId="8784" xr:uid="{DB6D1112-0005-4E2F-8441-0EFD60ECFACA}"/>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EAA6F0AF-FF95-4A17-8873-F9967E0098D6}"/>
    <cellStyle name="40% - Accent2 2 3 2 2 3" xfId="11345" xr:uid="{7C94A4AE-9238-4ECB-A66A-9FDA158EE75F}"/>
    <cellStyle name="40% - Accent2 2 3 2 3" xfId="4979" xr:uid="{00000000-0005-0000-0000-00008F040000}"/>
    <cellStyle name="40% - Accent2 2 3 2 3 2" xfId="13418" xr:uid="{D77365F7-276C-4A89-BB8F-1645B15813EC}"/>
    <cellStyle name="40% - Accent2 2 3 2 4" xfId="9200" xr:uid="{EF576025-6D8E-4E8C-BBAF-D0383A8C8398}"/>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03C01C82-BD25-440B-8A06-1A37889A933D}"/>
    <cellStyle name="40% - Accent2 2 3 3 2 3" xfId="11758" xr:uid="{ED1305AE-514E-42D3-8629-3F95B80CFBBA}"/>
    <cellStyle name="40% - Accent2 2 3 3 3" xfId="5392" xr:uid="{00000000-0005-0000-0000-000093040000}"/>
    <cellStyle name="40% - Accent2 2 3 3 3 2" xfId="13831" xr:uid="{34E0EE31-859F-4DD9-B931-C25D8C0D6369}"/>
    <cellStyle name="40% - Accent2 2 3 3 4" xfId="9613" xr:uid="{E5E84C34-778E-48B3-AEDF-AD09CA8984D5}"/>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289EE171-773C-432D-8BF8-6A37C45D0038}"/>
    <cellStyle name="40% - Accent2 2 3 4 2 3" xfId="12171" xr:uid="{608DC5E5-0B01-4ED4-99BF-6DD450EE8276}"/>
    <cellStyle name="40% - Accent2 2 3 4 3" xfId="5805" xr:uid="{00000000-0005-0000-0000-000097040000}"/>
    <cellStyle name="40% - Accent2 2 3 4 3 2" xfId="14244" xr:uid="{E77FC82B-8C10-46D0-9F49-CC6FC2CA4996}"/>
    <cellStyle name="40% - Accent2 2 3 4 4" xfId="10026" xr:uid="{93B6F1F5-E36F-4D46-BA47-49A50643B923}"/>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5D702041-360C-4A14-A846-9B1DF8DFEDB2}"/>
    <cellStyle name="40% - Accent2 2 3 5 2 3" xfId="12584" xr:uid="{668C0DE2-2D1D-4CB8-B8FC-36A8903E3BF8}"/>
    <cellStyle name="40% - Accent2 2 3 5 3" xfId="6218" xr:uid="{00000000-0005-0000-0000-00009B040000}"/>
    <cellStyle name="40% - Accent2 2 3 5 3 2" xfId="14657" xr:uid="{C6BAD7D0-91A0-4974-86B5-6E502F3CF4C7}"/>
    <cellStyle name="40% - Accent2 2 3 5 4" xfId="10439" xr:uid="{4A0A7B7E-B96C-413E-86DE-F1E117EABC0C}"/>
    <cellStyle name="40% - Accent2 2 3 6" xfId="2324" xr:uid="{00000000-0005-0000-0000-00009C040000}"/>
    <cellStyle name="40% - Accent2 2 3 6 2" xfId="6631" xr:uid="{00000000-0005-0000-0000-00009D040000}"/>
    <cellStyle name="40% - Accent2 2 3 6 2 2" xfId="15070" xr:uid="{AF7AA7BE-4ACE-4EA0-8059-66B4D5417F38}"/>
    <cellStyle name="40% - Accent2 2 3 6 3" xfId="10852" xr:uid="{21681E05-26A0-4F29-A3DD-19648FFBB5B2}"/>
    <cellStyle name="40% - Accent2 2 3 7" xfId="4565" xr:uid="{00000000-0005-0000-0000-00009E040000}"/>
    <cellStyle name="40% - Accent2 2 3 7 2" xfId="13004" xr:uid="{D3E8CBB6-6DDC-4B72-B867-084C70087738}"/>
    <cellStyle name="40% - Accent2 2 3 8" xfId="8786" xr:uid="{1877763D-E328-4BEC-A3B2-FE7CBFD7B1AD}"/>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AD5E8895-B551-448E-BC97-CF307FA1B85A}"/>
    <cellStyle name="40% - Accent2 2 4 2 3" xfId="11342" xr:uid="{39968F8E-38BF-47CA-ADC1-01105FBF8814}"/>
    <cellStyle name="40% - Accent2 2 4 3" xfId="4976" xr:uid="{00000000-0005-0000-0000-0000A2040000}"/>
    <cellStyle name="40% - Accent2 2 4 3 2" xfId="13415" xr:uid="{1EF09752-710D-49A3-97DF-07FBE406AC90}"/>
    <cellStyle name="40% - Accent2 2 4 4" xfId="9197" xr:uid="{1D30CF6C-4B2F-4FB0-B300-C3FBF2BAED26}"/>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A1DBC618-1674-43CB-B49B-16859476B0BE}"/>
    <cellStyle name="40% - Accent2 2 5 2 3" xfId="11755" xr:uid="{EB59517C-F47C-4774-B58F-485A280CB508}"/>
    <cellStyle name="40% - Accent2 2 5 3" xfId="5389" xr:uid="{00000000-0005-0000-0000-0000A6040000}"/>
    <cellStyle name="40% - Accent2 2 5 3 2" xfId="13828" xr:uid="{D71EE455-93CB-49BF-BA8C-CD6D886CCBA6}"/>
    <cellStyle name="40% - Accent2 2 5 4" xfId="9610" xr:uid="{6E1F5BD5-12C7-4648-ACF8-E09162C240D4}"/>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E4FB8CC3-A495-483A-8471-F861545A050F}"/>
    <cellStyle name="40% - Accent2 2 6 2 3" xfId="12168" xr:uid="{AC84FD39-2183-4E7C-A859-08E39FEBC4EB}"/>
    <cellStyle name="40% - Accent2 2 6 3" xfId="5802" xr:uid="{00000000-0005-0000-0000-0000AA040000}"/>
    <cellStyle name="40% - Accent2 2 6 3 2" xfId="14241" xr:uid="{F7B20DBF-F9F8-4BB8-B981-13667FDCD19A}"/>
    <cellStyle name="40% - Accent2 2 6 4" xfId="10023" xr:uid="{C82A5B27-BE3D-4A0E-856F-E61EB622892E}"/>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10E89316-4352-4450-AC32-6077D2214C9C}"/>
    <cellStyle name="40% - Accent2 2 7 2 3" xfId="12581" xr:uid="{64FF923A-7FBE-47CB-B75A-CA103A3917CF}"/>
    <cellStyle name="40% - Accent2 2 7 3" xfId="6215" xr:uid="{00000000-0005-0000-0000-0000AE040000}"/>
    <cellStyle name="40% - Accent2 2 7 3 2" xfId="14654" xr:uid="{96A9AC09-A555-49DB-B9C2-191BFA4C13B8}"/>
    <cellStyle name="40% - Accent2 2 7 4" xfId="10436" xr:uid="{D19F1C9E-B9D9-42A1-B3A0-5EF6433FB484}"/>
    <cellStyle name="40% - Accent2 2 8" xfId="2321" xr:uid="{00000000-0005-0000-0000-0000AF040000}"/>
    <cellStyle name="40% - Accent2 2 8 2" xfId="6628" xr:uid="{00000000-0005-0000-0000-0000B0040000}"/>
    <cellStyle name="40% - Accent2 2 8 2 2" xfId="15067" xr:uid="{9F70F4C9-07F0-4E4A-80CC-8C7673AD93D5}"/>
    <cellStyle name="40% - Accent2 2 8 3" xfId="10849" xr:uid="{C4E8F5CF-95E1-487A-95ED-0F7BBEB99C9D}"/>
    <cellStyle name="40% - Accent2 2 9" xfId="4562" xr:uid="{00000000-0005-0000-0000-0000B1040000}"/>
    <cellStyle name="40% - Accent2 2 9 2" xfId="13001" xr:uid="{D5F567D3-FE36-4691-9159-D247F99A96D9}"/>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05C91BB4-5B77-4B37-AAEB-23E4FD4B4157}"/>
    <cellStyle name="40% - Accent2 3 2 2 2 3" xfId="11347" xr:uid="{99C79080-7ECC-47A8-8177-0D98A8F03AB5}"/>
    <cellStyle name="40% - Accent2 3 2 2 3" xfId="4981" xr:uid="{00000000-0005-0000-0000-0000B7040000}"/>
    <cellStyle name="40% - Accent2 3 2 2 3 2" xfId="13420" xr:uid="{D27F8E33-3C61-4EA8-84ED-3C1939816316}"/>
    <cellStyle name="40% - Accent2 3 2 2 4" xfId="9202" xr:uid="{0C38FEC5-9B5F-443A-9BAA-809383273BEC}"/>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5196662A-7157-4595-863A-93E08A14FF95}"/>
    <cellStyle name="40% - Accent2 3 2 3 2 3" xfId="11760" xr:uid="{883BC168-C8B3-4218-8440-6FAAE4DC25BF}"/>
    <cellStyle name="40% - Accent2 3 2 3 3" xfId="5394" xr:uid="{00000000-0005-0000-0000-0000BB040000}"/>
    <cellStyle name="40% - Accent2 3 2 3 3 2" xfId="13833" xr:uid="{FC51B79E-9A22-45E8-8256-7770B17CC2AC}"/>
    <cellStyle name="40% - Accent2 3 2 3 4" xfId="9615" xr:uid="{F71759E2-43F3-42F3-832F-89862CC59B85}"/>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BB49FF22-9C81-4FA0-A420-6C0CD8D70FCA}"/>
    <cellStyle name="40% - Accent2 3 2 4 2 3" xfId="12173" xr:uid="{9BD7B9E6-3881-4D05-86DD-30E5D1F66627}"/>
    <cellStyle name="40% - Accent2 3 2 4 3" xfId="5807" xr:uid="{00000000-0005-0000-0000-0000BF040000}"/>
    <cellStyle name="40% - Accent2 3 2 4 3 2" xfId="14246" xr:uid="{2B13988D-B180-485C-93DE-9F6490FA9EF8}"/>
    <cellStyle name="40% - Accent2 3 2 4 4" xfId="10028" xr:uid="{1348B79D-2606-4DEA-A140-F2F15671303F}"/>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663BF6DE-4C03-48F6-967C-92016F9B7C1E}"/>
    <cellStyle name="40% - Accent2 3 2 5 2 3" xfId="12586" xr:uid="{D730B6DB-09C1-4454-9158-8456A8A67563}"/>
    <cellStyle name="40% - Accent2 3 2 5 3" xfId="6220" xr:uid="{00000000-0005-0000-0000-0000C3040000}"/>
    <cellStyle name="40% - Accent2 3 2 5 3 2" xfId="14659" xr:uid="{FC7030E5-9068-4338-BFE9-C03393177A7B}"/>
    <cellStyle name="40% - Accent2 3 2 5 4" xfId="10441" xr:uid="{517807FF-BE90-46F6-AC1B-B900AE65CE25}"/>
    <cellStyle name="40% - Accent2 3 2 6" xfId="2326" xr:uid="{00000000-0005-0000-0000-0000C4040000}"/>
    <cellStyle name="40% - Accent2 3 2 6 2" xfId="6633" xr:uid="{00000000-0005-0000-0000-0000C5040000}"/>
    <cellStyle name="40% - Accent2 3 2 6 2 2" xfId="15072" xr:uid="{137FD659-3E2D-4190-BC3C-A6483D306A81}"/>
    <cellStyle name="40% - Accent2 3 2 6 3" xfId="10854" xr:uid="{9DED7068-A39B-4689-8B5B-5A3D56341BEF}"/>
    <cellStyle name="40% - Accent2 3 2 7" xfId="4567" xr:uid="{00000000-0005-0000-0000-0000C6040000}"/>
    <cellStyle name="40% - Accent2 3 2 7 2" xfId="13006" xr:uid="{F5DE789B-450C-4D65-B6BB-498D5A98425F}"/>
    <cellStyle name="40% - Accent2 3 2 8" xfId="8788" xr:uid="{254837C7-74BB-4F8D-84A8-AF74EE3B694F}"/>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1437FBA4-1CBB-4157-9301-A754A18DD8E2}"/>
    <cellStyle name="40% - Accent2 3 3 2 3" xfId="11346" xr:uid="{EC1C2FB1-D58D-4EC4-BF57-8DA62BFD291D}"/>
    <cellStyle name="40% - Accent2 3 3 3" xfId="4980" xr:uid="{00000000-0005-0000-0000-0000CA040000}"/>
    <cellStyle name="40% - Accent2 3 3 3 2" xfId="13419" xr:uid="{5140A237-8053-411E-A079-C12D712A246D}"/>
    <cellStyle name="40% - Accent2 3 3 4" xfId="9201" xr:uid="{F4CDF757-8C2F-42C6-939A-DA479051B4F8}"/>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7BF935B3-3718-426C-9EFC-B29FCDE709CD}"/>
    <cellStyle name="40% - Accent2 3 4 2 3" xfId="11759" xr:uid="{C4DB1FDF-36F4-4B0D-8E2D-E4863B7848D0}"/>
    <cellStyle name="40% - Accent2 3 4 3" xfId="5393" xr:uid="{00000000-0005-0000-0000-0000CE040000}"/>
    <cellStyle name="40% - Accent2 3 4 3 2" xfId="13832" xr:uid="{8FA82038-3619-4995-A864-52DEE39342A5}"/>
    <cellStyle name="40% - Accent2 3 4 4" xfId="9614" xr:uid="{23047BF7-59BD-4F68-888D-7A7C074DBD92}"/>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ACFD8088-4FE2-40DB-AF1E-7516BEE10A9E}"/>
    <cellStyle name="40% - Accent2 3 5 2 3" xfId="12172" xr:uid="{3230B0A9-B8DB-4ED1-AB99-FBF74BF9EED5}"/>
    <cellStyle name="40% - Accent2 3 5 3" xfId="5806" xr:uid="{00000000-0005-0000-0000-0000D2040000}"/>
    <cellStyle name="40% - Accent2 3 5 3 2" xfId="14245" xr:uid="{441EC54A-DF74-4DCC-BA53-102713E66FE0}"/>
    <cellStyle name="40% - Accent2 3 5 4" xfId="10027" xr:uid="{6EF809BE-751A-4489-959C-AA90B1D7B7FD}"/>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3DD4A342-FC29-475C-9A6E-B6A4A7511B4E}"/>
    <cellStyle name="40% - Accent2 3 6 2 3" xfId="12585" xr:uid="{9C74F5A8-FF74-4B75-8EF3-D332DC3EF222}"/>
    <cellStyle name="40% - Accent2 3 6 3" xfId="6219" xr:uid="{00000000-0005-0000-0000-0000D6040000}"/>
    <cellStyle name="40% - Accent2 3 6 3 2" xfId="14658" xr:uid="{E76E0144-988F-4471-974F-3F37A6FDFF03}"/>
    <cellStyle name="40% - Accent2 3 6 4" xfId="10440" xr:uid="{AC77847E-983C-43A5-B7B1-9E21811CC45D}"/>
    <cellStyle name="40% - Accent2 3 7" xfId="2325" xr:uid="{00000000-0005-0000-0000-0000D7040000}"/>
    <cellStyle name="40% - Accent2 3 7 2" xfId="6632" xr:uid="{00000000-0005-0000-0000-0000D8040000}"/>
    <cellStyle name="40% - Accent2 3 7 2 2" xfId="15071" xr:uid="{C99BCFCB-5C9A-4CD3-808D-1B8A3E9C3AE2}"/>
    <cellStyle name="40% - Accent2 3 7 3" xfId="10853" xr:uid="{7ED44151-8162-4A3C-8555-430F36E7341E}"/>
    <cellStyle name="40% - Accent2 3 8" xfId="4566" xr:uid="{00000000-0005-0000-0000-0000D9040000}"/>
    <cellStyle name="40% - Accent2 3 8 2" xfId="13005" xr:uid="{96BA5839-FA0F-43B7-B2AD-2D9AB597D22A}"/>
    <cellStyle name="40% - Accent2 3 9" xfId="8787" xr:uid="{A8948716-57EA-4754-B693-6837661D1948}"/>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D20F3EF4-576C-4999-A277-4D1CC1F6528E}"/>
    <cellStyle name="40% - Accent2 4 2 2 3" xfId="11348" xr:uid="{B0B2B630-8D61-4920-9F9E-3EDE5F1A3D97}"/>
    <cellStyle name="40% - Accent2 4 2 3" xfId="4982" xr:uid="{00000000-0005-0000-0000-0000DE040000}"/>
    <cellStyle name="40% - Accent2 4 2 3 2" xfId="13421" xr:uid="{4D7E8FBA-CB48-4B4D-B690-50CC6C546407}"/>
    <cellStyle name="40% - Accent2 4 2 4" xfId="9203" xr:uid="{27D9F29D-1761-45C0-BAF7-40857FFCB5AB}"/>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9D90EE63-9670-478F-BBF0-1875B1C978CB}"/>
    <cellStyle name="40% - Accent2 4 3 2 3" xfId="11761" xr:uid="{D960AE09-FB15-40EC-97A9-71BFF1D33881}"/>
    <cellStyle name="40% - Accent2 4 3 3" xfId="5395" xr:uid="{00000000-0005-0000-0000-0000E2040000}"/>
    <cellStyle name="40% - Accent2 4 3 3 2" xfId="13834" xr:uid="{AF0E847F-1B96-4D86-9314-5AD7F056C64E}"/>
    <cellStyle name="40% - Accent2 4 3 4" xfId="9616" xr:uid="{55F69E05-E3E2-45B2-8A9B-C92601E74456}"/>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B8FD51C7-61D5-4019-AF57-A8F5F894D4D2}"/>
    <cellStyle name="40% - Accent2 4 4 2 3" xfId="12174" xr:uid="{39A133D5-CD8B-4A0D-A31C-67E83A79A77C}"/>
    <cellStyle name="40% - Accent2 4 4 3" xfId="5808" xr:uid="{00000000-0005-0000-0000-0000E6040000}"/>
    <cellStyle name="40% - Accent2 4 4 3 2" xfId="14247" xr:uid="{B4F9D35A-3BD2-4CCC-A4F6-0ACCCF13C2CF}"/>
    <cellStyle name="40% - Accent2 4 4 4" xfId="10029" xr:uid="{8A3A56D1-A90B-4F17-9979-A5374F58A5FE}"/>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8C3F4A65-7685-46D7-A9C4-8D37EE4DDC3A}"/>
    <cellStyle name="40% - Accent2 4 5 2 3" xfId="12587" xr:uid="{9A996B5A-E517-4502-9099-699EBCA600A7}"/>
    <cellStyle name="40% - Accent2 4 5 3" xfId="6221" xr:uid="{00000000-0005-0000-0000-0000EA040000}"/>
    <cellStyle name="40% - Accent2 4 5 3 2" xfId="14660" xr:uid="{0E46FC9C-84FA-4E12-9E27-C3726298BC6A}"/>
    <cellStyle name="40% - Accent2 4 5 4" xfId="10442" xr:uid="{BBC9DBF3-687A-45C1-8F47-1FFC454F7255}"/>
    <cellStyle name="40% - Accent2 4 6" xfId="2327" xr:uid="{00000000-0005-0000-0000-0000EB040000}"/>
    <cellStyle name="40% - Accent2 4 6 2" xfId="6634" xr:uid="{00000000-0005-0000-0000-0000EC040000}"/>
    <cellStyle name="40% - Accent2 4 6 2 2" xfId="15073" xr:uid="{C284AB21-8B4A-482E-8A35-21584C0FCA8C}"/>
    <cellStyle name="40% - Accent2 4 6 3" xfId="10855" xr:uid="{7C186354-4904-4067-B36B-C07D1AE142AA}"/>
    <cellStyle name="40% - Accent2 4 7" xfId="4568" xr:uid="{00000000-0005-0000-0000-0000ED040000}"/>
    <cellStyle name="40% - Accent2 4 7 2" xfId="13007" xr:uid="{38EC7F30-55B9-472B-B209-1A301A2BAE4B}"/>
    <cellStyle name="40% - Accent2 4 8" xfId="8789" xr:uid="{ED52DAC3-0065-4E1A-819C-067765FD4DED}"/>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AE7B3B6A-47EF-4D7F-94FB-C399C59083F3}"/>
    <cellStyle name="40% - Accent2 5 2 3" xfId="11341" xr:uid="{DFD04A99-EF89-4F1F-A002-6F1D9196DE4E}"/>
    <cellStyle name="40% - Accent2 5 3" xfId="4975" xr:uid="{00000000-0005-0000-0000-0000F1040000}"/>
    <cellStyle name="40% - Accent2 5 3 2" xfId="13414" xr:uid="{A9FF5D74-7B21-4F8C-B767-96A2A28A8897}"/>
    <cellStyle name="40% - Accent2 5 4" xfId="9196" xr:uid="{381ECEB5-D26F-4F08-87C0-6127DDB78279}"/>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E6AAFA01-8B82-4128-B3E0-F497EADCD709}"/>
    <cellStyle name="40% - Accent2 6 2 3" xfId="11754" xr:uid="{F948611C-B2A6-4CF1-84B0-BD1FE102D234}"/>
    <cellStyle name="40% - Accent2 6 3" xfId="5388" xr:uid="{00000000-0005-0000-0000-0000F5040000}"/>
    <cellStyle name="40% - Accent2 6 3 2" xfId="13827" xr:uid="{03127BD3-098E-4749-9705-A574A03A974B}"/>
    <cellStyle name="40% - Accent2 6 4" xfId="9609" xr:uid="{B6F09BF2-6229-4684-9BAA-F1A6BA322697}"/>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AB878EB8-CF1B-4317-AEF8-E06ECA8CB678}"/>
    <cellStyle name="40% - Accent2 7 2 3" xfId="12167" xr:uid="{51521A6B-CC0D-49EC-8FF8-5621DC311CB0}"/>
    <cellStyle name="40% - Accent2 7 3" xfId="5801" xr:uid="{00000000-0005-0000-0000-0000F9040000}"/>
    <cellStyle name="40% - Accent2 7 3 2" xfId="14240" xr:uid="{96449E0F-CCBC-4657-8E3B-8C1847FF6878}"/>
    <cellStyle name="40% - Accent2 7 4" xfId="10022" xr:uid="{1DFF1EE1-1C8F-4AE7-AC08-7FEEE7D44736}"/>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EF0DF68B-9647-4B52-882A-45E159CFD3D4}"/>
    <cellStyle name="40% - Accent2 8 2 3" xfId="12580" xr:uid="{2361BA2E-26B1-4ED5-92FC-813557E52F6A}"/>
    <cellStyle name="40% - Accent2 8 3" xfId="6214" xr:uid="{00000000-0005-0000-0000-0000FD040000}"/>
    <cellStyle name="40% - Accent2 8 3 2" xfId="14653" xr:uid="{12B43600-40DF-4F69-9A0F-B515D578C216}"/>
    <cellStyle name="40% - Accent2 8 4" xfId="10435" xr:uid="{E2F2E0C4-3C60-4D08-9C5E-9AA8BEBAD2F8}"/>
    <cellStyle name="40% - Accent2 9" xfId="2320" xr:uid="{00000000-0005-0000-0000-0000FE040000}"/>
    <cellStyle name="40% - Accent2 9 2" xfId="6627" xr:uid="{00000000-0005-0000-0000-0000FF040000}"/>
    <cellStyle name="40% - Accent2 9 2 2" xfId="15066" xr:uid="{00B94FFB-D8F6-4436-B1E1-7532AA59AF74}"/>
    <cellStyle name="40% - Accent2 9 3" xfId="10848" xr:uid="{5771E447-959D-4475-B0CC-E6C10E098CA1}"/>
    <cellStyle name="40% - Accent3" xfId="65" builtinId="39" customBuiltin="1"/>
    <cellStyle name="40% - Accent3 10" xfId="4569" xr:uid="{00000000-0005-0000-0000-000001050000}"/>
    <cellStyle name="40% - Accent3 10 2" xfId="13008" xr:uid="{A06D7934-A7E4-4042-A746-2EC3739B99A6}"/>
    <cellStyle name="40% - Accent3 11" xfId="8790" xr:uid="{D1BA7187-CCF1-498F-90ED-177C5BE35F63}"/>
    <cellStyle name="40% - Accent3 2" xfId="66" xr:uid="{00000000-0005-0000-0000-000002050000}"/>
    <cellStyle name="40% - Accent3 2 10" xfId="8791" xr:uid="{B2B8A598-6D98-449E-B6B1-E01F5B896317}"/>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C27614BD-B204-4B54-B2EC-5A3BC206D21C}"/>
    <cellStyle name="40% - Accent3 2 2 2 2 2 3" xfId="11352" xr:uid="{83DFF424-633B-44EF-A3B8-9305256C3142}"/>
    <cellStyle name="40% - Accent3 2 2 2 2 3" xfId="4986" xr:uid="{00000000-0005-0000-0000-000008050000}"/>
    <cellStyle name="40% - Accent3 2 2 2 2 3 2" xfId="13425" xr:uid="{31CEE0E1-AAC6-4E4B-85C1-B82560725F40}"/>
    <cellStyle name="40% - Accent3 2 2 2 2 4" xfId="9207" xr:uid="{2C8F3FAA-3B45-4D5F-89F0-F6CDF498F167}"/>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823891BD-8AB5-4E7B-9F67-CFCC4ADF64DE}"/>
    <cellStyle name="40% - Accent3 2 2 2 3 2 3" xfId="11765" xr:uid="{2FBD8E3B-BF2C-4A3D-9A9E-BF6572EC9813}"/>
    <cellStyle name="40% - Accent3 2 2 2 3 3" xfId="5399" xr:uid="{00000000-0005-0000-0000-00000C050000}"/>
    <cellStyle name="40% - Accent3 2 2 2 3 3 2" xfId="13838" xr:uid="{DD21DDC0-4BD6-43B3-81C5-17EF5A27B1B6}"/>
    <cellStyle name="40% - Accent3 2 2 2 3 4" xfId="9620" xr:uid="{2945E991-FB21-4DB1-8761-3D7E26F354C4}"/>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56DDE974-2DA3-4D0B-B8A4-537D6D726AE9}"/>
    <cellStyle name="40% - Accent3 2 2 2 4 2 3" xfId="12178" xr:uid="{1C65FF3B-529C-432A-B63C-7203D8F125B2}"/>
    <cellStyle name="40% - Accent3 2 2 2 4 3" xfId="5812" xr:uid="{00000000-0005-0000-0000-000010050000}"/>
    <cellStyle name="40% - Accent3 2 2 2 4 3 2" xfId="14251" xr:uid="{EA0F31E9-248D-47C1-93D1-45CC30D84E3B}"/>
    <cellStyle name="40% - Accent3 2 2 2 4 4" xfId="10033" xr:uid="{0DDFDD9B-BD43-468E-9CF0-F688AF7C0A6D}"/>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C7DC5792-3FEF-4CC3-8494-2179AF4AE5A7}"/>
    <cellStyle name="40% - Accent3 2 2 2 5 2 3" xfId="12591" xr:uid="{D86C077E-208D-475A-9F56-5B2F73124497}"/>
    <cellStyle name="40% - Accent3 2 2 2 5 3" xfId="6225" xr:uid="{00000000-0005-0000-0000-000014050000}"/>
    <cellStyle name="40% - Accent3 2 2 2 5 3 2" xfId="14664" xr:uid="{EB904AD6-5261-4112-98DC-2031EAF19102}"/>
    <cellStyle name="40% - Accent3 2 2 2 5 4" xfId="10446" xr:uid="{B3E03307-1D06-46A8-A256-54F7FD9FDFB3}"/>
    <cellStyle name="40% - Accent3 2 2 2 6" xfId="2331" xr:uid="{00000000-0005-0000-0000-000015050000}"/>
    <cellStyle name="40% - Accent3 2 2 2 6 2" xfId="6638" xr:uid="{00000000-0005-0000-0000-000016050000}"/>
    <cellStyle name="40% - Accent3 2 2 2 6 2 2" xfId="15077" xr:uid="{7A6BC6A6-324F-4636-9382-E480A609493F}"/>
    <cellStyle name="40% - Accent3 2 2 2 6 3" xfId="10859" xr:uid="{3A921264-54BC-4B04-9086-EAE80C07E69C}"/>
    <cellStyle name="40% - Accent3 2 2 2 7" xfId="4572" xr:uid="{00000000-0005-0000-0000-000017050000}"/>
    <cellStyle name="40% - Accent3 2 2 2 7 2" xfId="13011" xr:uid="{6EC74A61-80E6-4DD4-8F25-635AF6D0DFF7}"/>
    <cellStyle name="40% - Accent3 2 2 2 8" xfId="8793" xr:uid="{4AD534AB-2940-4647-851B-C4F2AEEEAFD7}"/>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10837F40-9BD0-4AE9-B9F2-9232F8741E63}"/>
    <cellStyle name="40% - Accent3 2 2 3 2 3" xfId="11351" xr:uid="{5E471BBE-6307-4D07-A978-1248958FBDA3}"/>
    <cellStyle name="40% - Accent3 2 2 3 3" xfId="4985" xr:uid="{00000000-0005-0000-0000-00001B050000}"/>
    <cellStyle name="40% - Accent3 2 2 3 3 2" xfId="13424" xr:uid="{A049836A-1BED-4C38-A784-0C4264DF3A00}"/>
    <cellStyle name="40% - Accent3 2 2 3 4" xfId="9206" xr:uid="{0588CA17-2F81-4817-A2FA-F604B1359A5E}"/>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0AAF679D-118D-43A5-BD0D-02CCF0A21C19}"/>
    <cellStyle name="40% - Accent3 2 2 4 2 3" xfId="11764" xr:uid="{9AC7B77C-40C7-4F01-8833-F8C217044D3B}"/>
    <cellStyle name="40% - Accent3 2 2 4 3" xfId="5398" xr:uid="{00000000-0005-0000-0000-00001F050000}"/>
    <cellStyle name="40% - Accent3 2 2 4 3 2" xfId="13837" xr:uid="{5C481095-98A6-4CB5-9F22-5E0EF46C3937}"/>
    <cellStyle name="40% - Accent3 2 2 4 4" xfId="9619" xr:uid="{DD5C6817-740F-47DC-8070-2E1C2FA01A0A}"/>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B922A8B2-2705-4BD2-8FF1-5E53C64BAFD9}"/>
    <cellStyle name="40% - Accent3 2 2 5 2 3" xfId="12177" xr:uid="{A3CAAED8-6A4E-4356-BFF9-28FAA3F7F8A2}"/>
    <cellStyle name="40% - Accent3 2 2 5 3" xfId="5811" xr:uid="{00000000-0005-0000-0000-000023050000}"/>
    <cellStyle name="40% - Accent3 2 2 5 3 2" xfId="14250" xr:uid="{A89CBBB7-C4F3-401E-8592-887A68B5024B}"/>
    <cellStyle name="40% - Accent3 2 2 5 4" xfId="10032" xr:uid="{26759708-36A5-4E04-B2E5-4EE942EDA484}"/>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A1BD62BA-3DF1-4FB5-9672-AAEBED4D1D0A}"/>
    <cellStyle name="40% - Accent3 2 2 6 2 3" xfId="12590" xr:uid="{4722BFD3-26D3-425D-B777-A406AB4E6CB8}"/>
    <cellStyle name="40% - Accent3 2 2 6 3" xfId="6224" xr:uid="{00000000-0005-0000-0000-000027050000}"/>
    <cellStyle name="40% - Accent3 2 2 6 3 2" xfId="14663" xr:uid="{EEC7AF17-C2DF-445C-8461-6BCE17ADA71F}"/>
    <cellStyle name="40% - Accent3 2 2 6 4" xfId="10445" xr:uid="{F0CA5271-07DC-4CD7-80C3-0C6DF32CDF35}"/>
    <cellStyle name="40% - Accent3 2 2 7" xfId="2330" xr:uid="{00000000-0005-0000-0000-000028050000}"/>
    <cellStyle name="40% - Accent3 2 2 7 2" xfId="6637" xr:uid="{00000000-0005-0000-0000-000029050000}"/>
    <cellStyle name="40% - Accent3 2 2 7 2 2" xfId="15076" xr:uid="{EFDFD5DE-CB71-452F-8109-FCB31CBF68DD}"/>
    <cellStyle name="40% - Accent3 2 2 7 3" xfId="10858" xr:uid="{0C8E6B0C-0616-4478-ABD5-3E6BD090BDB1}"/>
    <cellStyle name="40% - Accent3 2 2 8" xfId="4571" xr:uid="{00000000-0005-0000-0000-00002A050000}"/>
    <cellStyle name="40% - Accent3 2 2 8 2" xfId="13010" xr:uid="{9B07A1C8-4C70-4BFA-A1B4-2C9AE1592424}"/>
    <cellStyle name="40% - Accent3 2 2 9" xfId="8792" xr:uid="{F44461FD-5F96-4A4C-9C66-846D7A49C5B9}"/>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0BBD1476-7560-433D-AC94-ACDA9E1ABF27}"/>
    <cellStyle name="40% - Accent3 2 3 2 2 3" xfId="11353" xr:uid="{63C513B2-FE3A-484C-A80A-8A888FDC898F}"/>
    <cellStyle name="40% - Accent3 2 3 2 3" xfId="4987" xr:uid="{00000000-0005-0000-0000-00002F050000}"/>
    <cellStyle name="40% - Accent3 2 3 2 3 2" xfId="13426" xr:uid="{23F0099C-9061-4194-AFE5-FFBDC501834B}"/>
    <cellStyle name="40% - Accent3 2 3 2 4" xfId="9208" xr:uid="{D7F11902-F1A5-44F0-9ABD-6A550CBFE01D}"/>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1F6638F9-D615-403C-9499-29A9D83EFA5E}"/>
    <cellStyle name="40% - Accent3 2 3 3 2 3" xfId="11766" xr:uid="{0E9E7CB4-8A02-4F6A-8130-89DBBCD77B1C}"/>
    <cellStyle name="40% - Accent3 2 3 3 3" xfId="5400" xr:uid="{00000000-0005-0000-0000-000033050000}"/>
    <cellStyle name="40% - Accent3 2 3 3 3 2" xfId="13839" xr:uid="{9B81A25C-432D-4C83-AE29-E7C9C76D65B4}"/>
    <cellStyle name="40% - Accent3 2 3 3 4" xfId="9621" xr:uid="{7083D16E-344D-4BBC-B3DF-5F51DBF4FA2B}"/>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A72DD47C-38FA-42FF-879D-4DBBD60187CB}"/>
    <cellStyle name="40% - Accent3 2 3 4 2 3" xfId="12179" xr:uid="{E51AFC62-F895-4C24-87B3-9647D4137BE2}"/>
    <cellStyle name="40% - Accent3 2 3 4 3" xfId="5813" xr:uid="{00000000-0005-0000-0000-000037050000}"/>
    <cellStyle name="40% - Accent3 2 3 4 3 2" xfId="14252" xr:uid="{15B5687E-A509-4EF5-90DA-0F471C61A49E}"/>
    <cellStyle name="40% - Accent3 2 3 4 4" xfId="10034" xr:uid="{9139C150-5C52-4ED4-A580-FA0F3E62C96F}"/>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29238663-50E8-46C1-82BB-61A7B5E9F344}"/>
    <cellStyle name="40% - Accent3 2 3 5 2 3" xfId="12592" xr:uid="{4EFB52F0-1BE1-46B9-987C-1868F07F3C56}"/>
    <cellStyle name="40% - Accent3 2 3 5 3" xfId="6226" xr:uid="{00000000-0005-0000-0000-00003B050000}"/>
    <cellStyle name="40% - Accent3 2 3 5 3 2" xfId="14665" xr:uid="{14F831DF-4F3B-401C-A7B1-0F81C04B8116}"/>
    <cellStyle name="40% - Accent3 2 3 5 4" xfId="10447" xr:uid="{F4A04FF8-1E69-4630-83D2-28B09AA94B57}"/>
    <cellStyle name="40% - Accent3 2 3 6" xfId="2332" xr:uid="{00000000-0005-0000-0000-00003C050000}"/>
    <cellStyle name="40% - Accent3 2 3 6 2" xfId="6639" xr:uid="{00000000-0005-0000-0000-00003D050000}"/>
    <cellStyle name="40% - Accent3 2 3 6 2 2" xfId="15078" xr:uid="{EC6689D4-D44A-4341-9641-27214597D687}"/>
    <cellStyle name="40% - Accent3 2 3 6 3" xfId="10860" xr:uid="{01557B43-F829-4D55-A7CF-86101AE03088}"/>
    <cellStyle name="40% - Accent3 2 3 7" xfId="4573" xr:uid="{00000000-0005-0000-0000-00003E050000}"/>
    <cellStyle name="40% - Accent3 2 3 7 2" xfId="13012" xr:uid="{5D35E7AE-6A51-4AEC-8F98-8AC917D3BB3B}"/>
    <cellStyle name="40% - Accent3 2 3 8" xfId="8794" xr:uid="{8DBD074D-3033-4527-AA4D-6850CDE42B1E}"/>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C77793AD-77D4-426A-9DBB-A25EDD1B3D8B}"/>
    <cellStyle name="40% - Accent3 2 4 2 3" xfId="11350" xr:uid="{4289D338-AC16-477F-BD28-05D3C7EEC18D}"/>
    <cellStyle name="40% - Accent3 2 4 3" xfId="4984" xr:uid="{00000000-0005-0000-0000-000042050000}"/>
    <cellStyle name="40% - Accent3 2 4 3 2" xfId="13423" xr:uid="{AD3ABA34-A86C-41DD-8B2B-4577358D9C6A}"/>
    <cellStyle name="40% - Accent3 2 4 4" xfId="9205" xr:uid="{C474D1FF-F996-4A54-8156-3D7118217103}"/>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F1A5FD8A-B7BE-4BEC-9A34-5381E1835705}"/>
    <cellStyle name="40% - Accent3 2 5 2 3" xfId="11763" xr:uid="{A00E3128-CE24-4315-A629-BC73C66357E7}"/>
    <cellStyle name="40% - Accent3 2 5 3" xfId="5397" xr:uid="{00000000-0005-0000-0000-000046050000}"/>
    <cellStyle name="40% - Accent3 2 5 3 2" xfId="13836" xr:uid="{9D979296-E460-4AD2-AFE6-6A71E2C28ADD}"/>
    <cellStyle name="40% - Accent3 2 5 4" xfId="9618" xr:uid="{E223EDE9-70C9-454D-BB4C-D0C256C1F5D3}"/>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CD0268A5-6D63-44FD-82DF-105AD2E48995}"/>
    <cellStyle name="40% - Accent3 2 6 2 3" xfId="12176" xr:uid="{577FCF5E-8277-44AB-BE18-CED680399D06}"/>
    <cellStyle name="40% - Accent3 2 6 3" xfId="5810" xr:uid="{00000000-0005-0000-0000-00004A050000}"/>
    <cellStyle name="40% - Accent3 2 6 3 2" xfId="14249" xr:uid="{FFDEB577-3AB7-42E0-A6C1-F42D1C034C87}"/>
    <cellStyle name="40% - Accent3 2 6 4" xfId="10031" xr:uid="{90B270FE-B517-4B1F-BC23-E5ECAC5C23F8}"/>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6BCDA5D8-D83F-4736-9E9C-162780FA1E34}"/>
    <cellStyle name="40% - Accent3 2 7 2 3" xfId="12589" xr:uid="{FA0FB0B4-3464-4D99-A270-B6FCE9B513EA}"/>
    <cellStyle name="40% - Accent3 2 7 3" xfId="6223" xr:uid="{00000000-0005-0000-0000-00004E050000}"/>
    <cellStyle name="40% - Accent3 2 7 3 2" xfId="14662" xr:uid="{9C40684D-F029-4FE9-B600-C5E5685D98CC}"/>
    <cellStyle name="40% - Accent3 2 7 4" xfId="10444" xr:uid="{1572F023-13EF-4868-8059-C60582EA9E9F}"/>
    <cellStyle name="40% - Accent3 2 8" xfId="2329" xr:uid="{00000000-0005-0000-0000-00004F050000}"/>
    <cellStyle name="40% - Accent3 2 8 2" xfId="6636" xr:uid="{00000000-0005-0000-0000-000050050000}"/>
    <cellStyle name="40% - Accent3 2 8 2 2" xfId="15075" xr:uid="{C6E0F158-F2D6-4EBE-A9C5-3E4A6C13C384}"/>
    <cellStyle name="40% - Accent3 2 8 3" xfId="10857" xr:uid="{87C573AC-A99B-4E80-BC21-CEAA2424308B}"/>
    <cellStyle name="40% - Accent3 2 9" xfId="4570" xr:uid="{00000000-0005-0000-0000-000051050000}"/>
    <cellStyle name="40% - Accent3 2 9 2" xfId="13009" xr:uid="{97B46772-1A1B-4D3B-AD40-40055BDD4736}"/>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DD1D36A9-C898-48EA-8EC7-6AD83B1BA4F6}"/>
    <cellStyle name="40% - Accent3 3 2 2 2 3" xfId="11355" xr:uid="{FE2A99A5-66E0-43F7-98C8-BF8C61F8E6EF}"/>
    <cellStyle name="40% - Accent3 3 2 2 3" xfId="4989" xr:uid="{00000000-0005-0000-0000-000057050000}"/>
    <cellStyle name="40% - Accent3 3 2 2 3 2" xfId="13428" xr:uid="{233ECD0B-61C7-41A0-B06E-A52BD9C9EF4A}"/>
    <cellStyle name="40% - Accent3 3 2 2 4" xfId="9210" xr:uid="{32EAF027-15AB-4EDB-87D1-06505F6D52C9}"/>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E1DFC10A-9721-47AB-B06C-D977E28636A4}"/>
    <cellStyle name="40% - Accent3 3 2 3 2 3" xfId="11768" xr:uid="{472AF429-5EEF-45E0-82E0-B15F92C46FEA}"/>
    <cellStyle name="40% - Accent3 3 2 3 3" xfId="5402" xr:uid="{00000000-0005-0000-0000-00005B050000}"/>
    <cellStyle name="40% - Accent3 3 2 3 3 2" xfId="13841" xr:uid="{6522819B-9A9A-444F-9B99-B44004BAC512}"/>
    <cellStyle name="40% - Accent3 3 2 3 4" xfId="9623" xr:uid="{571BA88E-A1C1-4E36-965E-508376CB1A37}"/>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DA5F23DE-20DE-4178-9145-65616648B5C0}"/>
    <cellStyle name="40% - Accent3 3 2 4 2 3" xfId="12181" xr:uid="{A8A55652-BC07-4146-9CB2-2CDBB37D517F}"/>
    <cellStyle name="40% - Accent3 3 2 4 3" xfId="5815" xr:uid="{00000000-0005-0000-0000-00005F050000}"/>
    <cellStyle name="40% - Accent3 3 2 4 3 2" xfId="14254" xr:uid="{36D20FCC-6932-44B6-81AE-E77EE16AEF8A}"/>
    <cellStyle name="40% - Accent3 3 2 4 4" xfId="10036" xr:uid="{2387FDEB-3A15-492C-AC23-E12A0534C3D2}"/>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11A8636A-F405-4FF1-AC47-912A31159FDC}"/>
    <cellStyle name="40% - Accent3 3 2 5 2 3" xfId="12594" xr:uid="{20B3044E-F7A1-48F3-87E6-5A1F07E9C5D7}"/>
    <cellStyle name="40% - Accent3 3 2 5 3" xfId="6228" xr:uid="{00000000-0005-0000-0000-000063050000}"/>
    <cellStyle name="40% - Accent3 3 2 5 3 2" xfId="14667" xr:uid="{8B228C22-55EB-4EA2-8C21-48CC8DDE6C2B}"/>
    <cellStyle name="40% - Accent3 3 2 5 4" xfId="10449" xr:uid="{E96A7EA7-2F62-465E-BD7F-0FB401B48DC8}"/>
    <cellStyle name="40% - Accent3 3 2 6" xfId="2334" xr:uid="{00000000-0005-0000-0000-000064050000}"/>
    <cellStyle name="40% - Accent3 3 2 6 2" xfId="6641" xr:uid="{00000000-0005-0000-0000-000065050000}"/>
    <cellStyle name="40% - Accent3 3 2 6 2 2" xfId="15080" xr:uid="{6F001099-7547-492D-B808-0BA0EBD4993A}"/>
    <cellStyle name="40% - Accent3 3 2 6 3" xfId="10862" xr:uid="{DAB16A08-E395-411B-A040-BFAABF88B835}"/>
    <cellStyle name="40% - Accent3 3 2 7" xfId="4575" xr:uid="{00000000-0005-0000-0000-000066050000}"/>
    <cellStyle name="40% - Accent3 3 2 7 2" xfId="13014" xr:uid="{64E50AAB-4D42-4FE3-83F5-DF2964C1FFED}"/>
    <cellStyle name="40% - Accent3 3 2 8" xfId="8796" xr:uid="{AC2E50F9-FD9C-40D8-A672-952C95AEB606}"/>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2412EB79-B311-45C1-821F-BD1B5C69DE96}"/>
    <cellStyle name="40% - Accent3 3 3 2 3" xfId="11354" xr:uid="{C36198CB-20FD-4984-82AD-C4B838241466}"/>
    <cellStyle name="40% - Accent3 3 3 3" xfId="4988" xr:uid="{00000000-0005-0000-0000-00006A050000}"/>
    <cellStyle name="40% - Accent3 3 3 3 2" xfId="13427" xr:uid="{E15EF771-178F-4C28-97F4-C0015F87DF08}"/>
    <cellStyle name="40% - Accent3 3 3 4" xfId="9209" xr:uid="{B0CEDA85-4FCD-47DC-9B63-792736C3F5E5}"/>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3CB4CF23-DD6A-4026-9A24-B6F46138FD49}"/>
    <cellStyle name="40% - Accent3 3 4 2 3" xfId="11767" xr:uid="{50B52BC9-1F96-44D7-BDF2-6A535B507895}"/>
    <cellStyle name="40% - Accent3 3 4 3" xfId="5401" xr:uid="{00000000-0005-0000-0000-00006E050000}"/>
    <cellStyle name="40% - Accent3 3 4 3 2" xfId="13840" xr:uid="{D0AB1EBE-B531-4647-AAB8-C8AF3F474362}"/>
    <cellStyle name="40% - Accent3 3 4 4" xfId="9622" xr:uid="{D65E7DCF-3A75-4D8D-95CF-5967027D6512}"/>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5DD7094F-1419-40DA-B0BB-48C620DAE7E1}"/>
    <cellStyle name="40% - Accent3 3 5 2 3" xfId="12180" xr:uid="{C29589E9-D648-4209-A176-84AB44F813FF}"/>
    <cellStyle name="40% - Accent3 3 5 3" xfId="5814" xr:uid="{00000000-0005-0000-0000-000072050000}"/>
    <cellStyle name="40% - Accent3 3 5 3 2" xfId="14253" xr:uid="{75B8BA80-34F1-4A7C-B06E-E0FE31E39FEA}"/>
    <cellStyle name="40% - Accent3 3 5 4" xfId="10035" xr:uid="{FF96F96B-5D33-47BF-A76C-A5952495CBE2}"/>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58DE19A1-84DD-4D73-AE56-53E232FD694C}"/>
    <cellStyle name="40% - Accent3 3 6 2 3" xfId="12593" xr:uid="{01C11B6A-0B62-4EED-A826-B91BCA338CB1}"/>
    <cellStyle name="40% - Accent3 3 6 3" xfId="6227" xr:uid="{00000000-0005-0000-0000-000076050000}"/>
    <cellStyle name="40% - Accent3 3 6 3 2" xfId="14666" xr:uid="{576BAD63-163C-49AA-99AE-683DB2E7F078}"/>
    <cellStyle name="40% - Accent3 3 6 4" xfId="10448" xr:uid="{B7FAF765-0D09-4A03-8CCC-E3CCB7A1CC97}"/>
    <cellStyle name="40% - Accent3 3 7" xfId="2333" xr:uid="{00000000-0005-0000-0000-000077050000}"/>
    <cellStyle name="40% - Accent3 3 7 2" xfId="6640" xr:uid="{00000000-0005-0000-0000-000078050000}"/>
    <cellStyle name="40% - Accent3 3 7 2 2" xfId="15079" xr:uid="{0E3C9E08-DAEC-4C00-BA1D-C38F4D1565F0}"/>
    <cellStyle name="40% - Accent3 3 7 3" xfId="10861" xr:uid="{CBCD62CA-063E-4B68-84BC-06E8DB38587B}"/>
    <cellStyle name="40% - Accent3 3 8" xfId="4574" xr:uid="{00000000-0005-0000-0000-000079050000}"/>
    <cellStyle name="40% - Accent3 3 8 2" xfId="13013" xr:uid="{98153299-DDCC-490A-AED2-366F55991D4E}"/>
    <cellStyle name="40% - Accent3 3 9" xfId="8795" xr:uid="{B0A702F5-8446-4E38-83A4-60C41679FC61}"/>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4BAA04B7-F267-4D76-9C4F-EBA06F763F02}"/>
    <cellStyle name="40% - Accent3 4 2 2 3" xfId="11356" xr:uid="{2AE0A604-D448-4FAF-8CA7-50B22B2EEB2B}"/>
    <cellStyle name="40% - Accent3 4 2 3" xfId="4990" xr:uid="{00000000-0005-0000-0000-00007E050000}"/>
    <cellStyle name="40% - Accent3 4 2 3 2" xfId="13429" xr:uid="{54BDE958-8CE8-41CA-9EF3-FD870E755C66}"/>
    <cellStyle name="40% - Accent3 4 2 4" xfId="9211" xr:uid="{B81361C5-71E2-47A8-8A7E-F246F27B3161}"/>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1F9CB8A6-8718-4B35-82FD-EE1EFC82130B}"/>
    <cellStyle name="40% - Accent3 4 3 2 3" xfId="11769" xr:uid="{80DDD91A-AAEC-4DCF-9FD8-D971DD2C1AA2}"/>
    <cellStyle name="40% - Accent3 4 3 3" xfId="5403" xr:uid="{00000000-0005-0000-0000-000082050000}"/>
    <cellStyle name="40% - Accent3 4 3 3 2" xfId="13842" xr:uid="{A7F1460B-CE37-4C98-A66D-F55312EDC126}"/>
    <cellStyle name="40% - Accent3 4 3 4" xfId="9624" xr:uid="{A05CA673-40E2-49F7-8B9F-01651F9BA12C}"/>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3098920F-1085-4432-9F81-08E9F03057BE}"/>
    <cellStyle name="40% - Accent3 4 4 2 3" xfId="12182" xr:uid="{E8A4FC69-86F7-455E-A379-F41698DC77BA}"/>
    <cellStyle name="40% - Accent3 4 4 3" xfId="5816" xr:uid="{00000000-0005-0000-0000-000086050000}"/>
    <cellStyle name="40% - Accent3 4 4 3 2" xfId="14255" xr:uid="{02F63895-F3A3-4E66-9B14-8AE5AD48344F}"/>
    <cellStyle name="40% - Accent3 4 4 4" xfId="10037" xr:uid="{5DA540AC-8B1F-4996-8DC9-3C4C2AE8186D}"/>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6CC7A1E8-3E5C-460D-8FF3-D040EE783AEC}"/>
    <cellStyle name="40% - Accent3 4 5 2 3" xfId="12595" xr:uid="{5A3A462C-3C22-4E2F-BA0A-8092709022A6}"/>
    <cellStyle name="40% - Accent3 4 5 3" xfId="6229" xr:uid="{00000000-0005-0000-0000-00008A050000}"/>
    <cellStyle name="40% - Accent3 4 5 3 2" xfId="14668" xr:uid="{A38F37C5-5AB8-4453-BE1C-BA122E3BAD5F}"/>
    <cellStyle name="40% - Accent3 4 5 4" xfId="10450" xr:uid="{BFA17C07-446E-445D-804C-D33A5B0FA8FA}"/>
    <cellStyle name="40% - Accent3 4 6" xfId="2335" xr:uid="{00000000-0005-0000-0000-00008B050000}"/>
    <cellStyle name="40% - Accent3 4 6 2" xfId="6642" xr:uid="{00000000-0005-0000-0000-00008C050000}"/>
    <cellStyle name="40% - Accent3 4 6 2 2" xfId="15081" xr:uid="{627C6D28-BA44-4182-A8D1-84F2AA26035E}"/>
    <cellStyle name="40% - Accent3 4 6 3" xfId="10863" xr:uid="{4D139B38-C97A-4C50-8EC0-2F3EB93C39AD}"/>
    <cellStyle name="40% - Accent3 4 7" xfId="4576" xr:uid="{00000000-0005-0000-0000-00008D050000}"/>
    <cellStyle name="40% - Accent3 4 7 2" xfId="13015" xr:uid="{5CB5E1ED-43C5-43E4-9333-438FEB593D67}"/>
    <cellStyle name="40% - Accent3 4 8" xfId="8797" xr:uid="{8AF1A335-CA32-4D5E-88E0-22D23B8A7448}"/>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61B71751-A389-45C4-87B3-73F4F9984102}"/>
    <cellStyle name="40% - Accent3 5 2 3" xfId="11349" xr:uid="{F7BBA927-4FA0-4CCA-931F-EB9345362569}"/>
    <cellStyle name="40% - Accent3 5 3" xfId="4983" xr:uid="{00000000-0005-0000-0000-000091050000}"/>
    <cellStyle name="40% - Accent3 5 3 2" xfId="13422" xr:uid="{B0BAEB06-8008-4FC3-A8BE-0C95CCA01053}"/>
    <cellStyle name="40% - Accent3 5 4" xfId="9204" xr:uid="{F4F8CCB1-7771-4AF2-A070-C131B7E00E90}"/>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4599BEC8-CE67-4DEE-B50B-F105463B3A44}"/>
    <cellStyle name="40% - Accent3 6 2 3" xfId="11762" xr:uid="{010099DD-7D88-4C3A-BF09-D2A3A13C2C89}"/>
    <cellStyle name="40% - Accent3 6 3" xfId="5396" xr:uid="{00000000-0005-0000-0000-000095050000}"/>
    <cellStyle name="40% - Accent3 6 3 2" xfId="13835" xr:uid="{01CA0E12-5724-4FE7-AECB-9B70D27D48AE}"/>
    <cellStyle name="40% - Accent3 6 4" xfId="9617" xr:uid="{5FD8DFC0-0E5A-4FCF-8291-959523BCBDE1}"/>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C7A69025-0816-4F44-BD12-8D9834058738}"/>
    <cellStyle name="40% - Accent3 7 2 3" xfId="12175" xr:uid="{CF858F33-7C3B-4B00-9412-851E90DB72A6}"/>
    <cellStyle name="40% - Accent3 7 3" xfId="5809" xr:uid="{00000000-0005-0000-0000-000099050000}"/>
    <cellStyle name="40% - Accent3 7 3 2" xfId="14248" xr:uid="{0C0B52ED-94B7-47AF-9EB5-A7541C411691}"/>
    <cellStyle name="40% - Accent3 7 4" xfId="10030" xr:uid="{F1D2412A-3728-485E-B4C3-023B9720ABA6}"/>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7B9C9EB1-0704-4239-9877-5C1355D1315A}"/>
    <cellStyle name="40% - Accent3 8 2 3" xfId="12588" xr:uid="{AAC089AB-CC28-4C64-A523-D9C84ECFEED9}"/>
    <cellStyle name="40% - Accent3 8 3" xfId="6222" xr:uid="{00000000-0005-0000-0000-00009D050000}"/>
    <cellStyle name="40% - Accent3 8 3 2" xfId="14661" xr:uid="{7DDE0BA2-C697-4842-8826-78541884289A}"/>
    <cellStyle name="40% - Accent3 8 4" xfId="10443" xr:uid="{4D2FCC3F-86CB-4D79-8D46-ABADFDF1451A}"/>
    <cellStyle name="40% - Accent3 9" xfId="2328" xr:uid="{00000000-0005-0000-0000-00009E050000}"/>
    <cellStyle name="40% - Accent3 9 2" xfId="6635" xr:uid="{00000000-0005-0000-0000-00009F050000}"/>
    <cellStyle name="40% - Accent3 9 2 2" xfId="15074" xr:uid="{2EF73A88-FC06-4143-898D-C0ACDB53B9DB}"/>
    <cellStyle name="40% - Accent3 9 3" xfId="10856" xr:uid="{3B86CD67-CFF9-4B32-BDCD-1900452E1FA7}"/>
    <cellStyle name="40% - Accent4" xfId="73" builtinId="43" customBuiltin="1"/>
    <cellStyle name="40% - Accent4 10" xfId="4577" xr:uid="{00000000-0005-0000-0000-0000A1050000}"/>
    <cellStyle name="40% - Accent4 10 2" xfId="13016" xr:uid="{3852B226-2B95-48AB-876F-0F42E108FF29}"/>
    <cellStyle name="40% - Accent4 11" xfId="8798" xr:uid="{56156E45-85C0-4644-AAD1-7E87A270041C}"/>
    <cellStyle name="40% - Accent4 2" xfId="74" xr:uid="{00000000-0005-0000-0000-0000A2050000}"/>
    <cellStyle name="40% - Accent4 2 10" xfId="8799" xr:uid="{F6BAFF2D-8EEE-4111-91A9-BDF07CCC5F3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16A9C7E6-4319-48CD-A394-6ACD6C6F0C0D}"/>
    <cellStyle name="40% - Accent4 2 2 2 2 2 3" xfId="11360" xr:uid="{F8928559-862C-4592-9A05-DBA351066468}"/>
    <cellStyle name="40% - Accent4 2 2 2 2 3" xfId="4994" xr:uid="{00000000-0005-0000-0000-0000A8050000}"/>
    <cellStyle name="40% - Accent4 2 2 2 2 3 2" xfId="13433" xr:uid="{B3D53282-AF34-446D-9C83-31B8C66CB001}"/>
    <cellStyle name="40% - Accent4 2 2 2 2 4" xfId="9215" xr:uid="{FDA9BC7C-DFA3-4357-AB70-BA8AF2FB8B94}"/>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A0A5E855-3841-4308-918B-D53A3BCD57AD}"/>
    <cellStyle name="40% - Accent4 2 2 2 3 2 3" xfId="11773" xr:uid="{62D13944-0FDD-45C9-8504-80D7A478D07A}"/>
    <cellStyle name="40% - Accent4 2 2 2 3 3" xfId="5407" xr:uid="{00000000-0005-0000-0000-0000AC050000}"/>
    <cellStyle name="40% - Accent4 2 2 2 3 3 2" xfId="13846" xr:uid="{7BE0B961-3976-4171-A4B2-290A2DE2A950}"/>
    <cellStyle name="40% - Accent4 2 2 2 3 4" xfId="9628" xr:uid="{9441B610-A145-4A88-9548-49D467E75D9B}"/>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4DF09C76-0D0A-4543-A4D1-9E563A5A68F1}"/>
    <cellStyle name="40% - Accent4 2 2 2 4 2 3" xfId="12186" xr:uid="{1AAB48A1-CEFD-4AC6-922D-6FD044ABD688}"/>
    <cellStyle name="40% - Accent4 2 2 2 4 3" xfId="5820" xr:uid="{00000000-0005-0000-0000-0000B0050000}"/>
    <cellStyle name="40% - Accent4 2 2 2 4 3 2" xfId="14259" xr:uid="{1BD56CB6-DF84-408E-AD96-316715DE1396}"/>
    <cellStyle name="40% - Accent4 2 2 2 4 4" xfId="10041" xr:uid="{B7A0585C-9901-4696-A097-A2706203540B}"/>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16C36D7A-2EF7-4287-ACC7-58ADF81A3871}"/>
    <cellStyle name="40% - Accent4 2 2 2 5 2 3" xfId="12599" xr:uid="{E1B5AF80-0F95-4A3D-87D8-7759712BD3BB}"/>
    <cellStyle name="40% - Accent4 2 2 2 5 3" xfId="6233" xr:uid="{00000000-0005-0000-0000-0000B4050000}"/>
    <cellStyle name="40% - Accent4 2 2 2 5 3 2" xfId="14672" xr:uid="{51109616-2D26-4F5B-A4EA-F4CE5CBD9325}"/>
    <cellStyle name="40% - Accent4 2 2 2 5 4" xfId="10454" xr:uid="{A568B6F0-6572-459D-B189-D492410E214B}"/>
    <cellStyle name="40% - Accent4 2 2 2 6" xfId="2339" xr:uid="{00000000-0005-0000-0000-0000B5050000}"/>
    <cellStyle name="40% - Accent4 2 2 2 6 2" xfId="6646" xr:uid="{00000000-0005-0000-0000-0000B6050000}"/>
    <cellStyle name="40% - Accent4 2 2 2 6 2 2" xfId="15085" xr:uid="{5381D3A3-ED4E-4B22-9821-C2AF5C099368}"/>
    <cellStyle name="40% - Accent4 2 2 2 6 3" xfId="10867" xr:uid="{98DE2425-F91F-435A-9640-BC9A5DE41D8B}"/>
    <cellStyle name="40% - Accent4 2 2 2 7" xfId="4580" xr:uid="{00000000-0005-0000-0000-0000B7050000}"/>
    <cellStyle name="40% - Accent4 2 2 2 7 2" xfId="13019" xr:uid="{7AF888F3-AB0A-4CA0-AA00-9F45B12699A1}"/>
    <cellStyle name="40% - Accent4 2 2 2 8" xfId="8801" xr:uid="{3E671193-4145-41C7-BCB2-38B6D3B4E09E}"/>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9BC8B00C-2D28-4339-A974-F936911B1AF9}"/>
    <cellStyle name="40% - Accent4 2 2 3 2 3" xfId="11359" xr:uid="{A8ADB024-AE8B-4025-8E4E-F8942761604F}"/>
    <cellStyle name="40% - Accent4 2 2 3 3" xfId="4993" xr:uid="{00000000-0005-0000-0000-0000BB050000}"/>
    <cellStyle name="40% - Accent4 2 2 3 3 2" xfId="13432" xr:uid="{3CF686A9-DE2F-43D4-AAA5-25CF9D4B5FB8}"/>
    <cellStyle name="40% - Accent4 2 2 3 4" xfId="9214" xr:uid="{A4799176-EABE-4D85-BD11-326A9513D7A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DB86238A-AA2D-424B-9A6E-40FE19C3016F}"/>
    <cellStyle name="40% - Accent4 2 2 4 2 3" xfId="11772" xr:uid="{3C8B5646-30B0-40A0-B293-00CE6C4CCC78}"/>
    <cellStyle name="40% - Accent4 2 2 4 3" xfId="5406" xr:uid="{00000000-0005-0000-0000-0000BF050000}"/>
    <cellStyle name="40% - Accent4 2 2 4 3 2" xfId="13845" xr:uid="{97D30134-0288-4789-B087-57528F0A2683}"/>
    <cellStyle name="40% - Accent4 2 2 4 4" xfId="9627" xr:uid="{C4E030CA-D490-4F94-8E08-01FF3223D64B}"/>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23172A05-374C-4842-B74D-7E4EAF656A02}"/>
    <cellStyle name="40% - Accent4 2 2 5 2 3" xfId="12185" xr:uid="{9B209EFD-2CF3-4035-8507-B2154C4B2570}"/>
    <cellStyle name="40% - Accent4 2 2 5 3" xfId="5819" xr:uid="{00000000-0005-0000-0000-0000C3050000}"/>
    <cellStyle name="40% - Accent4 2 2 5 3 2" xfId="14258" xr:uid="{74360DA7-2FC9-4A85-869C-E2E2E38CCCE9}"/>
    <cellStyle name="40% - Accent4 2 2 5 4" xfId="10040" xr:uid="{1F118BC2-44A7-4C31-A49A-E51225D7530B}"/>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6BCBB1F9-0D73-455F-B557-74D40ACB5EAD}"/>
    <cellStyle name="40% - Accent4 2 2 6 2 3" xfId="12598" xr:uid="{91FFCEFB-2324-4DF5-B7DF-C68245943A01}"/>
    <cellStyle name="40% - Accent4 2 2 6 3" xfId="6232" xr:uid="{00000000-0005-0000-0000-0000C7050000}"/>
    <cellStyle name="40% - Accent4 2 2 6 3 2" xfId="14671" xr:uid="{3F11B2C1-CD8B-451C-B4E0-89A754136914}"/>
    <cellStyle name="40% - Accent4 2 2 6 4" xfId="10453" xr:uid="{BE9BC0BD-1D2F-4404-9107-AA7E94C3246D}"/>
    <cellStyle name="40% - Accent4 2 2 7" xfId="2338" xr:uid="{00000000-0005-0000-0000-0000C8050000}"/>
    <cellStyle name="40% - Accent4 2 2 7 2" xfId="6645" xr:uid="{00000000-0005-0000-0000-0000C9050000}"/>
    <cellStyle name="40% - Accent4 2 2 7 2 2" xfId="15084" xr:uid="{130B986F-B005-4C81-A400-177324BB560E}"/>
    <cellStyle name="40% - Accent4 2 2 7 3" xfId="10866" xr:uid="{7E29AB24-2CF4-4A40-ADE7-CC111982DCA1}"/>
    <cellStyle name="40% - Accent4 2 2 8" xfId="4579" xr:uid="{00000000-0005-0000-0000-0000CA050000}"/>
    <cellStyle name="40% - Accent4 2 2 8 2" xfId="13018" xr:uid="{45643B1F-CEB7-4766-BA4A-47252EA2FBA7}"/>
    <cellStyle name="40% - Accent4 2 2 9" xfId="8800" xr:uid="{DB069183-1FEA-4163-97ED-870F6A0C9C09}"/>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57CFC5E8-AB77-49BA-ADD8-6A201528EAE9}"/>
    <cellStyle name="40% - Accent4 2 3 2 2 3" xfId="11361" xr:uid="{E9471B9C-9243-4F6C-9B9A-DC22EB148791}"/>
    <cellStyle name="40% - Accent4 2 3 2 3" xfId="4995" xr:uid="{00000000-0005-0000-0000-0000CF050000}"/>
    <cellStyle name="40% - Accent4 2 3 2 3 2" xfId="13434" xr:uid="{4DA35BD2-A9F7-4041-96D6-FD49CEBE809B}"/>
    <cellStyle name="40% - Accent4 2 3 2 4" xfId="9216" xr:uid="{3646D219-66FC-4896-8B1B-4B67BA816C77}"/>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436DB6E3-9922-48E5-8C75-65C014F0869C}"/>
    <cellStyle name="40% - Accent4 2 3 3 2 3" xfId="11774" xr:uid="{7D2165E4-A261-49A0-A497-E4A3CD44C7FA}"/>
    <cellStyle name="40% - Accent4 2 3 3 3" xfId="5408" xr:uid="{00000000-0005-0000-0000-0000D3050000}"/>
    <cellStyle name="40% - Accent4 2 3 3 3 2" xfId="13847" xr:uid="{49DEF644-9E73-4BF4-A08D-6CF5274B4E31}"/>
    <cellStyle name="40% - Accent4 2 3 3 4" xfId="9629" xr:uid="{3CBFDCC2-7E0D-4453-903F-711738811934}"/>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AC27EE15-DD84-4629-98D0-BB0E3AB07A63}"/>
    <cellStyle name="40% - Accent4 2 3 4 2 3" xfId="12187" xr:uid="{01FB1E0B-A98B-4EAA-AFD7-3336C1866CA8}"/>
    <cellStyle name="40% - Accent4 2 3 4 3" xfId="5821" xr:uid="{00000000-0005-0000-0000-0000D7050000}"/>
    <cellStyle name="40% - Accent4 2 3 4 3 2" xfId="14260" xr:uid="{358774C6-111B-4044-A3B3-6CA3E5AA537C}"/>
    <cellStyle name="40% - Accent4 2 3 4 4" xfId="10042" xr:uid="{D75C618F-4861-4DE0-9B13-0358DD5350C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919BF534-C7E6-474E-A7B1-ECD55BC88E54}"/>
    <cellStyle name="40% - Accent4 2 3 5 2 3" xfId="12600" xr:uid="{25E9D907-8E11-40AD-BBC6-A6ABB463AD99}"/>
    <cellStyle name="40% - Accent4 2 3 5 3" xfId="6234" xr:uid="{00000000-0005-0000-0000-0000DB050000}"/>
    <cellStyle name="40% - Accent4 2 3 5 3 2" xfId="14673" xr:uid="{9F2DD017-E682-473D-9025-FAD4CB536F67}"/>
    <cellStyle name="40% - Accent4 2 3 5 4" xfId="10455" xr:uid="{45907EC8-EC76-4952-BF03-F77FFC3051A6}"/>
    <cellStyle name="40% - Accent4 2 3 6" xfId="2340" xr:uid="{00000000-0005-0000-0000-0000DC050000}"/>
    <cellStyle name="40% - Accent4 2 3 6 2" xfId="6647" xr:uid="{00000000-0005-0000-0000-0000DD050000}"/>
    <cellStyle name="40% - Accent4 2 3 6 2 2" xfId="15086" xr:uid="{8980F334-0477-458C-ABD5-6B1D2A02BF97}"/>
    <cellStyle name="40% - Accent4 2 3 6 3" xfId="10868" xr:uid="{77F4194B-E6B6-4323-BF1C-5A10D5A4983A}"/>
    <cellStyle name="40% - Accent4 2 3 7" xfId="4581" xr:uid="{00000000-0005-0000-0000-0000DE050000}"/>
    <cellStyle name="40% - Accent4 2 3 7 2" xfId="13020" xr:uid="{E29B1BF1-64E6-4DDC-B0F0-15053803CD41}"/>
    <cellStyle name="40% - Accent4 2 3 8" xfId="8802" xr:uid="{BDAA9ED3-FF29-4ACC-8ED4-664C9D15B2BE}"/>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311724BC-CCF1-4CD4-B76C-E001E96B6DE6}"/>
    <cellStyle name="40% - Accent4 2 4 2 3" xfId="11358" xr:uid="{F4757A6F-D4DB-413B-B0A7-A1A3DA100A92}"/>
    <cellStyle name="40% - Accent4 2 4 3" xfId="4992" xr:uid="{00000000-0005-0000-0000-0000E2050000}"/>
    <cellStyle name="40% - Accent4 2 4 3 2" xfId="13431" xr:uid="{046E0452-FF80-41FB-B2C7-CCFA8E177133}"/>
    <cellStyle name="40% - Accent4 2 4 4" xfId="9213" xr:uid="{D814D2F9-9C06-4D82-A50B-94F0B9DF9A27}"/>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BCC34C30-A973-4DB8-8CD8-66EB4A4010DF}"/>
    <cellStyle name="40% - Accent4 2 5 2 3" xfId="11771" xr:uid="{EB8F744D-213B-4F18-B6EC-EAF7484C148C}"/>
    <cellStyle name="40% - Accent4 2 5 3" xfId="5405" xr:uid="{00000000-0005-0000-0000-0000E6050000}"/>
    <cellStyle name="40% - Accent4 2 5 3 2" xfId="13844" xr:uid="{A051989F-705F-4B4F-90F7-A2919A685769}"/>
    <cellStyle name="40% - Accent4 2 5 4" xfId="9626" xr:uid="{40BC7314-1D91-457A-9672-57B600E823F1}"/>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BB772016-40BF-486A-953F-BF4DE52C6DE7}"/>
    <cellStyle name="40% - Accent4 2 6 2 3" xfId="12184" xr:uid="{77318E81-3541-41B4-88EC-AEF8E89411D3}"/>
    <cellStyle name="40% - Accent4 2 6 3" xfId="5818" xr:uid="{00000000-0005-0000-0000-0000EA050000}"/>
    <cellStyle name="40% - Accent4 2 6 3 2" xfId="14257" xr:uid="{542FA27F-19F5-41F7-B3DB-FB0A2743A068}"/>
    <cellStyle name="40% - Accent4 2 6 4" xfId="10039" xr:uid="{14872DB8-AD6E-4333-A0D0-BD4F05B060C3}"/>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51A438BB-03E5-4AFE-BD0F-7FCE4AF21D67}"/>
    <cellStyle name="40% - Accent4 2 7 2 3" xfId="12597" xr:uid="{9DA40CD5-C4A3-466D-9467-AE8C6E967F79}"/>
    <cellStyle name="40% - Accent4 2 7 3" xfId="6231" xr:uid="{00000000-0005-0000-0000-0000EE050000}"/>
    <cellStyle name="40% - Accent4 2 7 3 2" xfId="14670" xr:uid="{0986557D-E75C-4765-AF52-5F48017A6DDA}"/>
    <cellStyle name="40% - Accent4 2 7 4" xfId="10452" xr:uid="{25503C91-B458-4E1B-9323-14F26C9BF62F}"/>
    <cellStyle name="40% - Accent4 2 8" xfId="2337" xr:uid="{00000000-0005-0000-0000-0000EF050000}"/>
    <cellStyle name="40% - Accent4 2 8 2" xfId="6644" xr:uid="{00000000-0005-0000-0000-0000F0050000}"/>
    <cellStyle name="40% - Accent4 2 8 2 2" xfId="15083" xr:uid="{FA36562C-9532-4819-9A93-B73484AB2552}"/>
    <cellStyle name="40% - Accent4 2 8 3" xfId="10865" xr:uid="{5767A139-94E6-49B6-BB01-D23EBE176FDC}"/>
    <cellStyle name="40% - Accent4 2 9" xfId="4578" xr:uid="{00000000-0005-0000-0000-0000F1050000}"/>
    <cellStyle name="40% - Accent4 2 9 2" xfId="13017" xr:uid="{2E38D7BD-0A90-420B-9909-F72CDE237AE3}"/>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70AC4507-BAF9-4CF1-AE47-2552577F77CB}"/>
    <cellStyle name="40% - Accent4 3 2 2 2 3" xfId="11363" xr:uid="{52462387-10BB-407C-88D0-4BCBED08AEFB}"/>
    <cellStyle name="40% - Accent4 3 2 2 3" xfId="4997" xr:uid="{00000000-0005-0000-0000-0000F7050000}"/>
    <cellStyle name="40% - Accent4 3 2 2 3 2" xfId="13436" xr:uid="{4E6FFC63-6785-44AB-919F-7AEB4D7F7097}"/>
    <cellStyle name="40% - Accent4 3 2 2 4" xfId="9218" xr:uid="{C4C13611-39FB-49A2-8392-CD1737FA681A}"/>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FA58DE37-CF2F-4A7A-8EC9-D45861C0BD4D}"/>
    <cellStyle name="40% - Accent4 3 2 3 2 3" xfId="11776" xr:uid="{FA4DB845-81EB-4415-A10F-B3B205E27F94}"/>
    <cellStyle name="40% - Accent4 3 2 3 3" xfId="5410" xr:uid="{00000000-0005-0000-0000-0000FB050000}"/>
    <cellStyle name="40% - Accent4 3 2 3 3 2" xfId="13849" xr:uid="{3D9BB5CB-67C9-4BDF-9787-B115CE2AE86F}"/>
    <cellStyle name="40% - Accent4 3 2 3 4" xfId="9631" xr:uid="{CBFAD76D-CFEF-4EA7-BFA6-2919493DBA1A}"/>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6935AA5F-DEA4-4A83-B331-53F928DF17BA}"/>
    <cellStyle name="40% - Accent4 3 2 4 2 3" xfId="12189" xr:uid="{7592E812-EE2A-44B4-8683-27F97FEC640D}"/>
    <cellStyle name="40% - Accent4 3 2 4 3" xfId="5823" xr:uid="{00000000-0005-0000-0000-0000FF050000}"/>
    <cellStyle name="40% - Accent4 3 2 4 3 2" xfId="14262" xr:uid="{24E2A2BC-C90B-40EF-8046-8A872E715CCA}"/>
    <cellStyle name="40% - Accent4 3 2 4 4" xfId="10044" xr:uid="{425D4177-6393-4F6D-8ADE-374F28EE4809}"/>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A28B910F-5E77-4F3C-8B0D-B96E0C14F1E6}"/>
    <cellStyle name="40% - Accent4 3 2 5 2 3" xfId="12602" xr:uid="{208DB288-0F86-416F-878B-CA4650F3C8B8}"/>
    <cellStyle name="40% - Accent4 3 2 5 3" xfId="6236" xr:uid="{00000000-0005-0000-0000-000003060000}"/>
    <cellStyle name="40% - Accent4 3 2 5 3 2" xfId="14675" xr:uid="{48460858-002B-4499-B932-53354BB4E46B}"/>
    <cellStyle name="40% - Accent4 3 2 5 4" xfId="10457" xr:uid="{19300D5E-73E5-4AE4-88B6-6711ACB42D3D}"/>
    <cellStyle name="40% - Accent4 3 2 6" xfId="2342" xr:uid="{00000000-0005-0000-0000-000004060000}"/>
    <cellStyle name="40% - Accent4 3 2 6 2" xfId="6649" xr:uid="{00000000-0005-0000-0000-000005060000}"/>
    <cellStyle name="40% - Accent4 3 2 6 2 2" xfId="15088" xr:uid="{3543D36F-367A-4365-A0D8-7EDFC636C600}"/>
    <cellStyle name="40% - Accent4 3 2 6 3" xfId="10870" xr:uid="{4239DD94-43E7-4D1D-8B7A-0462423B1D21}"/>
    <cellStyle name="40% - Accent4 3 2 7" xfId="4583" xr:uid="{00000000-0005-0000-0000-000006060000}"/>
    <cellStyle name="40% - Accent4 3 2 7 2" xfId="13022" xr:uid="{21DFFC2E-11AC-4F77-BBCF-50758BBDCDE8}"/>
    <cellStyle name="40% - Accent4 3 2 8" xfId="8804" xr:uid="{F66F62E6-BCAF-4BD5-91E2-DEE7F8BA4867}"/>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D3C2B7C8-360E-4A85-A1FE-FB50C608F228}"/>
    <cellStyle name="40% - Accent4 3 3 2 3" xfId="11362" xr:uid="{5C787705-E04D-4F00-942C-646FA22A2590}"/>
    <cellStyle name="40% - Accent4 3 3 3" xfId="4996" xr:uid="{00000000-0005-0000-0000-00000A060000}"/>
    <cellStyle name="40% - Accent4 3 3 3 2" xfId="13435" xr:uid="{A28B9E52-F6F0-400C-BBB5-C358A7768A39}"/>
    <cellStyle name="40% - Accent4 3 3 4" xfId="9217" xr:uid="{763EF7F6-52DC-406E-861E-A0A5D8E11744}"/>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39C25B2A-1AF5-4487-975E-499E085AAD80}"/>
    <cellStyle name="40% - Accent4 3 4 2 3" xfId="11775" xr:uid="{2FC4B62B-8414-484D-AD6F-B3F2FA9E0FB4}"/>
    <cellStyle name="40% - Accent4 3 4 3" xfId="5409" xr:uid="{00000000-0005-0000-0000-00000E060000}"/>
    <cellStyle name="40% - Accent4 3 4 3 2" xfId="13848" xr:uid="{D7ED3683-A7F1-481A-9AE9-CE4EF169B92E}"/>
    <cellStyle name="40% - Accent4 3 4 4" xfId="9630" xr:uid="{D2ABD2D0-7843-4090-94BD-2EDB01AC3D1D}"/>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0FDEABE7-3694-49BF-AB35-A83E810C3792}"/>
    <cellStyle name="40% - Accent4 3 5 2 3" xfId="12188" xr:uid="{9512051B-71AF-4001-9242-2D57BC23FC0E}"/>
    <cellStyle name="40% - Accent4 3 5 3" xfId="5822" xr:uid="{00000000-0005-0000-0000-000012060000}"/>
    <cellStyle name="40% - Accent4 3 5 3 2" xfId="14261" xr:uid="{17788FA6-2864-4622-AA35-D78A2F34D74C}"/>
    <cellStyle name="40% - Accent4 3 5 4" xfId="10043" xr:uid="{2D797E9E-4E35-45E2-8C6C-76358CF2423C}"/>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717C9384-1780-45E5-A27F-C14A76B189DD}"/>
    <cellStyle name="40% - Accent4 3 6 2 3" xfId="12601" xr:uid="{34E5C619-883C-4A16-AF3B-35B92A60DD06}"/>
    <cellStyle name="40% - Accent4 3 6 3" xfId="6235" xr:uid="{00000000-0005-0000-0000-000016060000}"/>
    <cellStyle name="40% - Accent4 3 6 3 2" xfId="14674" xr:uid="{5154DFD3-87D6-4C24-839F-FCA59054312F}"/>
    <cellStyle name="40% - Accent4 3 6 4" xfId="10456" xr:uid="{3152D7E4-86E9-463F-964D-6288F68D79C9}"/>
    <cellStyle name="40% - Accent4 3 7" xfId="2341" xr:uid="{00000000-0005-0000-0000-000017060000}"/>
    <cellStyle name="40% - Accent4 3 7 2" xfId="6648" xr:uid="{00000000-0005-0000-0000-000018060000}"/>
    <cellStyle name="40% - Accent4 3 7 2 2" xfId="15087" xr:uid="{5DAE38F3-A2B9-4F06-A868-90C2358CABA1}"/>
    <cellStyle name="40% - Accent4 3 7 3" xfId="10869" xr:uid="{DA4F4FCA-2D55-4EE0-9DBC-612DD20D9D75}"/>
    <cellStyle name="40% - Accent4 3 8" xfId="4582" xr:uid="{00000000-0005-0000-0000-000019060000}"/>
    <cellStyle name="40% - Accent4 3 8 2" xfId="13021" xr:uid="{94D66BCF-6E8C-4C87-997B-DBEAC097675F}"/>
    <cellStyle name="40% - Accent4 3 9" xfId="8803" xr:uid="{0EC2C45E-3067-4B6B-B774-9215B66A31B7}"/>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54C09711-363F-4BE9-BF2B-3D5BC5E957FF}"/>
    <cellStyle name="40% - Accent4 4 2 2 3" xfId="11364" xr:uid="{076E4A30-F55A-4E36-B402-9E962750B76C}"/>
    <cellStyle name="40% - Accent4 4 2 3" xfId="4998" xr:uid="{00000000-0005-0000-0000-00001E060000}"/>
    <cellStyle name="40% - Accent4 4 2 3 2" xfId="13437" xr:uid="{37E42F11-C3F6-4592-9415-81FD20CFAD7E}"/>
    <cellStyle name="40% - Accent4 4 2 4" xfId="9219" xr:uid="{BEA0A77A-79FA-4F18-B6A6-37E7C077C5A6}"/>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35C2B7B9-2A45-4840-9749-4B09EAF859DB}"/>
    <cellStyle name="40% - Accent4 4 3 2 3" xfId="11777" xr:uid="{E51D73FB-809E-49E8-A4DE-F5C646299E0B}"/>
    <cellStyle name="40% - Accent4 4 3 3" xfId="5411" xr:uid="{00000000-0005-0000-0000-000022060000}"/>
    <cellStyle name="40% - Accent4 4 3 3 2" xfId="13850" xr:uid="{F95CDD3A-6FFE-42EC-9558-2FFC32FC4A03}"/>
    <cellStyle name="40% - Accent4 4 3 4" xfId="9632" xr:uid="{AA5E16EB-EE12-454F-B52B-BC29314755A3}"/>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3F5E7ECC-7522-420C-AF6A-8471D981F303}"/>
    <cellStyle name="40% - Accent4 4 4 2 3" xfId="12190" xr:uid="{25D59F84-C33C-4D0D-873D-B0BFBAD254D1}"/>
    <cellStyle name="40% - Accent4 4 4 3" xfId="5824" xr:uid="{00000000-0005-0000-0000-000026060000}"/>
    <cellStyle name="40% - Accent4 4 4 3 2" xfId="14263" xr:uid="{885D2043-CE95-4EBD-9BB6-7B85522C0303}"/>
    <cellStyle name="40% - Accent4 4 4 4" xfId="10045" xr:uid="{C5BC1D5F-4E29-431D-AF6D-8671947C3400}"/>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2F567C9B-2BCF-49FD-BFB6-E3162E8A6033}"/>
    <cellStyle name="40% - Accent4 4 5 2 3" xfId="12603" xr:uid="{8B51A02E-BA26-42D3-8762-27D72B4FE702}"/>
    <cellStyle name="40% - Accent4 4 5 3" xfId="6237" xr:uid="{00000000-0005-0000-0000-00002A060000}"/>
    <cellStyle name="40% - Accent4 4 5 3 2" xfId="14676" xr:uid="{DA1E408F-40FE-4C75-829F-0E9189BC8D26}"/>
    <cellStyle name="40% - Accent4 4 5 4" xfId="10458" xr:uid="{3E1F6363-D195-4BBD-BAD8-BE9826204564}"/>
    <cellStyle name="40% - Accent4 4 6" xfId="2343" xr:uid="{00000000-0005-0000-0000-00002B060000}"/>
    <cellStyle name="40% - Accent4 4 6 2" xfId="6650" xr:uid="{00000000-0005-0000-0000-00002C060000}"/>
    <cellStyle name="40% - Accent4 4 6 2 2" xfId="15089" xr:uid="{A8C02E9A-9CFF-4E10-A887-9E689058EF68}"/>
    <cellStyle name="40% - Accent4 4 6 3" xfId="10871" xr:uid="{F3148F46-434E-402B-A99B-488908EE78A4}"/>
    <cellStyle name="40% - Accent4 4 7" xfId="4584" xr:uid="{00000000-0005-0000-0000-00002D060000}"/>
    <cellStyle name="40% - Accent4 4 7 2" xfId="13023" xr:uid="{0C622F03-01EC-4333-BB20-BAC1EF5E50C7}"/>
    <cellStyle name="40% - Accent4 4 8" xfId="8805" xr:uid="{E37EBC87-5F6A-41B5-8FAD-8AC34C46E462}"/>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C30C27D0-8A73-4614-9258-39695D96208B}"/>
    <cellStyle name="40% - Accent4 5 2 3" xfId="11357" xr:uid="{45F97A50-6A55-40D8-BDBB-77EBE2FB69AF}"/>
    <cellStyle name="40% - Accent4 5 3" xfId="4991" xr:uid="{00000000-0005-0000-0000-000031060000}"/>
    <cellStyle name="40% - Accent4 5 3 2" xfId="13430" xr:uid="{6F9AD04E-ADE5-411F-A125-53C08463FB2B}"/>
    <cellStyle name="40% - Accent4 5 4" xfId="9212" xr:uid="{3405C86C-AB70-4B58-8AA5-27D82BC486B9}"/>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F17D9EBA-2B90-4E27-871B-F13C681A342F}"/>
    <cellStyle name="40% - Accent4 6 2 3" xfId="11770" xr:uid="{912D9901-2A63-455B-BE53-8F8AAA2057B9}"/>
    <cellStyle name="40% - Accent4 6 3" xfId="5404" xr:uid="{00000000-0005-0000-0000-000035060000}"/>
    <cellStyle name="40% - Accent4 6 3 2" xfId="13843" xr:uid="{220D7D83-DCDB-435F-8B86-56134F04BF55}"/>
    <cellStyle name="40% - Accent4 6 4" xfId="9625" xr:uid="{BB2F695B-9484-42CE-BA4C-565AE09F8E2E}"/>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110617ED-99EA-4237-ABD7-875A8AFD20AA}"/>
    <cellStyle name="40% - Accent4 7 2 3" xfId="12183" xr:uid="{A4F938DD-89BA-44D5-8CA1-FC280D259BC5}"/>
    <cellStyle name="40% - Accent4 7 3" xfId="5817" xr:uid="{00000000-0005-0000-0000-000039060000}"/>
    <cellStyle name="40% - Accent4 7 3 2" xfId="14256" xr:uid="{BCEBA93C-B293-4AC9-8F3B-95DCB0A7FB36}"/>
    <cellStyle name="40% - Accent4 7 4" xfId="10038" xr:uid="{6BAD8976-51E3-410F-838A-86247C2C99C7}"/>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5DA254F7-26CD-4254-98D9-A2BAA48CA113}"/>
    <cellStyle name="40% - Accent4 8 2 3" xfId="12596" xr:uid="{0EA0F836-9922-4626-8D01-0D3482F1424B}"/>
    <cellStyle name="40% - Accent4 8 3" xfId="6230" xr:uid="{00000000-0005-0000-0000-00003D060000}"/>
    <cellStyle name="40% - Accent4 8 3 2" xfId="14669" xr:uid="{45706166-0C5E-486A-9E60-DB988DC36C7B}"/>
    <cellStyle name="40% - Accent4 8 4" xfId="10451" xr:uid="{7ECC8E0B-E710-47FD-BFF6-DC2B19510E7E}"/>
    <cellStyle name="40% - Accent4 9" xfId="2336" xr:uid="{00000000-0005-0000-0000-00003E060000}"/>
    <cellStyle name="40% - Accent4 9 2" xfId="6643" xr:uid="{00000000-0005-0000-0000-00003F060000}"/>
    <cellStyle name="40% - Accent4 9 2 2" xfId="15082" xr:uid="{25DBAEEF-032E-4977-BE20-0075D1725C92}"/>
    <cellStyle name="40% - Accent4 9 3" xfId="10864" xr:uid="{B6B54267-4BBB-4812-83D3-25EF5402CA6F}"/>
    <cellStyle name="40% - Accent5" xfId="81" builtinId="47" customBuiltin="1"/>
    <cellStyle name="40% - Accent5 10" xfId="4585" xr:uid="{00000000-0005-0000-0000-000041060000}"/>
    <cellStyle name="40% - Accent5 10 2" xfId="13024" xr:uid="{D3A2CF0F-D2C5-4E32-80FC-7A41D08C4100}"/>
    <cellStyle name="40% - Accent5 11" xfId="8806" xr:uid="{74B2835D-E128-4F0D-91FD-C8D84AAAB8F8}"/>
    <cellStyle name="40% - Accent5 2" xfId="82" xr:uid="{00000000-0005-0000-0000-000042060000}"/>
    <cellStyle name="40% - Accent5 2 10" xfId="8807" xr:uid="{FBE20D8F-66D6-4FAF-9DE0-F09EFA29CF22}"/>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9D625838-897F-46B4-9F6D-7621ED50D265}"/>
    <cellStyle name="40% - Accent5 2 2 2 2 2 3" xfId="11368" xr:uid="{5E9F12EA-5A4C-4839-9685-0170E050EC6F}"/>
    <cellStyle name="40% - Accent5 2 2 2 2 3" xfId="5002" xr:uid="{00000000-0005-0000-0000-000048060000}"/>
    <cellStyle name="40% - Accent5 2 2 2 2 3 2" xfId="13441" xr:uid="{E48F212F-0C0F-402D-9EDB-EF23FC2B4330}"/>
    <cellStyle name="40% - Accent5 2 2 2 2 4" xfId="9223" xr:uid="{0A019E6F-034F-46C8-BF45-EA799790F60C}"/>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52A0A286-9DA5-48DC-88C4-7986F8E25D4F}"/>
    <cellStyle name="40% - Accent5 2 2 2 3 2 3" xfId="11781" xr:uid="{1B2809AD-69F6-42BE-A6B9-F6C67C07823C}"/>
    <cellStyle name="40% - Accent5 2 2 2 3 3" xfId="5415" xr:uid="{00000000-0005-0000-0000-00004C060000}"/>
    <cellStyle name="40% - Accent5 2 2 2 3 3 2" xfId="13854" xr:uid="{00582BF3-058B-4293-BE59-7800B55A2341}"/>
    <cellStyle name="40% - Accent5 2 2 2 3 4" xfId="9636" xr:uid="{8DB6130E-FEF9-4396-B1AD-8516C6E9AC79}"/>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DCA8D168-8AAB-417C-8C01-567093833EB6}"/>
    <cellStyle name="40% - Accent5 2 2 2 4 2 3" xfId="12194" xr:uid="{4A5AEEEF-34D4-4EE2-9C3C-19C79642575B}"/>
    <cellStyle name="40% - Accent5 2 2 2 4 3" xfId="5828" xr:uid="{00000000-0005-0000-0000-000050060000}"/>
    <cellStyle name="40% - Accent5 2 2 2 4 3 2" xfId="14267" xr:uid="{77C8C437-5BCF-44A9-8BAD-BC1247F27B09}"/>
    <cellStyle name="40% - Accent5 2 2 2 4 4" xfId="10049" xr:uid="{F2BA2A50-676B-41C1-A1C3-03B6AE21C4B5}"/>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E4031566-6B5F-4412-B9B0-27F9E66D3C1D}"/>
    <cellStyle name="40% - Accent5 2 2 2 5 2 3" xfId="12607" xr:uid="{4F379D2B-4FDB-4C4E-BC4B-725A0A58B08D}"/>
    <cellStyle name="40% - Accent5 2 2 2 5 3" xfId="6241" xr:uid="{00000000-0005-0000-0000-000054060000}"/>
    <cellStyle name="40% - Accent5 2 2 2 5 3 2" xfId="14680" xr:uid="{489F4368-01D2-4ACB-80D1-B97E468BB586}"/>
    <cellStyle name="40% - Accent5 2 2 2 5 4" xfId="10462" xr:uid="{7C8257CD-D302-4091-9F77-655A161D9722}"/>
    <cellStyle name="40% - Accent5 2 2 2 6" xfId="2347" xr:uid="{00000000-0005-0000-0000-000055060000}"/>
    <cellStyle name="40% - Accent5 2 2 2 6 2" xfId="6654" xr:uid="{00000000-0005-0000-0000-000056060000}"/>
    <cellStyle name="40% - Accent5 2 2 2 6 2 2" xfId="15093" xr:uid="{6A8C1A8E-E99F-4122-BE72-D46AECC3F9ED}"/>
    <cellStyle name="40% - Accent5 2 2 2 6 3" xfId="10875" xr:uid="{1B504367-DCD1-4155-81CA-ACB9B96EFBC0}"/>
    <cellStyle name="40% - Accent5 2 2 2 7" xfId="4588" xr:uid="{00000000-0005-0000-0000-000057060000}"/>
    <cellStyle name="40% - Accent5 2 2 2 7 2" xfId="13027" xr:uid="{2EBA39D0-22A9-498E-8006-40916E886FC0}"/>
    <cellStyle name="40% - Accent5 2 2 2 8" xfId="8809" xr:uid="{5D19BB34-8BE0-4A13-9642-70CF65EF03D6}"/>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D3D51E1C-7604-42E7-83A8-96DF6C35727C}"/>
    <cellStyle name="40% - Accent5 2 2 3 2 3" xfId="11367" xr:uid="{25B0A416-3854-4201-91E5-5B5EBAAACD47}"/>
    <cellStyle name="40% - Accent5 2 2 3 3" xfId="5001" xr:uid="{00000000-0005-0000-0000-00005B060000}"/>
    <cellStyle name="40% - Accent5 2 2 3 3 2" xfId="13440" xr:uid="{69EEFE0A-8347-4DA7-8110-62EEB366C178}"/>
    <cellStyle name="40% - Accent5 2 2 3 4" xfId="9222" xr:uid="{60FE16D2-BAA8-48D1-B847-F65F23723C73}"/>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984514E0-FE0D-4DF1-99C0-9FBED6A23241}"/>
    <cellStyle name="40% - Accent5 2 2 4 2 3" xfId="11780" xr:uid="{9A4C8788-E07A-4346-BFBF-F2CA8DBFFC49}"/>
    <cellStyle name="40% - Accent5 2 2 4 3" xfId="5414" xr:uid="{00000000-0005-0000-0000-00005F060000}"/>
    <cellStyle name="40% - Accent5 2 2 4 3 2" xfId="13853" xr:uid="{BE84B3F1-817E-49ED-976A-C0AFE65F2DAB}"/>
    <cellStyle name="40% - Accent5 2 2 4 4" xfId="9635" xr:uid="{CF9B7CDB-B171-42B2-8041-D31314F8500E}"/>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11388436-CEC3-432F-944C-2F4D045408A2}"/>
    <cellStyle name="40% - Accent5 2 2 5 2 3" xfId="12193" xr:uid="{47B41A8B-C163-4ABF-966E-EA040B7A4B19}"/>
    <cellStyle name="40% - Accent5 2 2 5 3" xfId="5827" xr:uid="{00000000-0005-0000-0000-000063060000}"/>
    <cellStyle name="40% - Accent5 2 2 5 3 2" xfId="14266" xr:uid="{05CAA529-5851-4AC4-AA70-F5EA02D47749}"/>
    <cellStyle name="40% - Accent5 2 2 5 4" xfId="10048" xr:uid="{27B5CA64-B4A1-4407-9A17-4492A1440CCD}"/>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1A96686A-FE87-4875-92D6-59735CBC0287}"/>
    <cellStyle name="40% - Accent5 2 2 6 2 3" xfId="12606" xr:uid="{802193FE-DD36-4FB6-9E96-67EE31BFB397}"/>
    <cellStyle name="40% - Accent5 2 2 6 3" xfId="6240" xr:uid="{00000000-0005-0000-0000-000067060000}"/>
    <cellStyle name="40% - Accent5 2 2 6 3 2" xfId="14679" xr:uid="{89CA78BB-9893-471A-8055-98F68B9728C3}"/>
    <cellStyle name="40% - Accent5 2 2 6 4" xfId="10461" xr:uid="{186632C4-6EAA-4FE0-9F0E-1ADECB9E752E}"/>
    <cellStyle name="40% - Accent5 2 2 7" xfId="2346" xr:uid="{00000000-0005-0000-0000-000068060000}"/>
    <cellStyle name="40% - Accent5 2 2 7 2" xfId="6653" xr:uid="{00000000-0005-0000-0000-000069060000}"/>
    <cellStyle name="40% - Accent5 2 2 7 2 2" xfId="15092" xr:uid="{C4FD7172-0A63-4600-98BA-41E6BAF391C4}"/>
    <cellStyle name="40% - Accent5 2 2 7 3" xfId="10874" xr:uid="{395FB9F6-85FA-43CA-8081-011CD3202244}"/>
    <cellStyle name="40% - Accent5 2 2 8" xfId="4587" xr:uid="{00000000-0005-0000-0000-00006A060000}"/>
    <cellStyle name="40% - Accent5 2 2 8 2" xfId="13026" xr:uid="{D1098FBB-E6FB-4F5D-9324-01748D8131C7}"/>
    <cellStyle name="40% - Accent5 2 2 9" xfId="8808" xr:uid="{DF352B0D-3434-4922-88D4-F665500D67D9}"/>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EA43C1BC-986D-4E48-A2C2-4DC4DBF1100C}"/>
    <cellStyle name="40% - Accent5 2 3 2 2 3" xfId="11369" xr:uid="{C0EE8198-A137-4CCD-BD46-B156DEB6B07C}"/>
    <cellStyle name="40% - Accent5 2 3 2 3" xfId="5003" xr:uid="{00000000-0005-0000-0000-00006F060000}"/>
    <cellStyle name="40% - Accent5 2 3 2 3 2" xfId="13442" xr:uid="{DB81EA39-D061-4831-B32C-9B517B9105D3}"/>
    <cellStyle name="40% - Accent5 2 3 2 4" xfId="9224" xr:uid="{39D4C0EA-0410-44F2-8ECD-7A90D57F54CB}"/>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91A0F465-1B92-4097-9C79-8C0B69164EEF}"/>
    <cellStyle name="40% - Accent5 2 3 3 2 3" xfId="11782" xr:uid="{196CD741-A568-40B6-A9C0-6B7E812E87F8}"/>
    <cellStyle name="40% - Accent5 2 3 3 3" xfId="5416" xr:uid="{00000000-0005-0000-0000-000073060000}"/>
    <cellStyle name="40% - Accent5 2 3 3 3 2" xfId="13855" xr:uid="{BBAD1894-E9C7-41B2-BF03-14CE51E6B076}"/>
    <cellStyle name="40% - Accent5 2 3 3 4" xfId="9637" xr:uid="{835D606B-34E1-4954-B67F-7B68481DD8C6}"/>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77F238D8-25ED-4D75-A714-C45872AB1362}"/>
    <cellStyle name="40% - Accent5 2 3 4 2 3" xfId="12195" xr:uid="{D756F42C-2231-4161-A591-E9A769E1A379}"/>
    <cellStyle name="40% - Accent5 2 3 4 3" xfId="5829" xr:uid="{00000000-0005-0000-0000-000077060000}"/>
    <cellStyle name="40% - Accent5 2 3 4 3 2" xfId="14268" xr:uid="{85859E7B-91D5-4F69-9DFC-400ECDBB5CFF}"/>
    <cellStyle name="40% - Accent5 2 3 4 4" xfId="10050" xr:uid="{30D9CFC8-D6DE-46D7-BC1E-A01303A3802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DD0F570F-1F4E-499B-BB25-C229B9B93655}"/>
    <cellStyle name="40% - Accent5 2 3 5 2 3" xfId="12608" xr:uid="{B2A1503E-0D29-4310-8B93-D48747B2DDB2}"/>
    <cellStyle name="40% - Accent5 2 3 5 3" xfId="6242" xr:uid="{00000000-0005-0000-0000-00007B060000}"/>
    <cellStyle name="40% - Accent5 2 3 5 3 2" xfId="14681" xr:uid="{7A718CAD-9173-4471-B301-027AC82B0A8B}"/>
    <cellStyle name="40% - Accent5 2 3 5 4" xfId="10463" xr:uid="{6978F21C-CCBB-4171-915B-6B872B9BC172}"/>
    <cellStyle name="40% - Accent5 2 3 6" xfId="2348" xr:uid="{00000000-0005-0000-0000-00007C060000}"/>
    <cellStyle name="40% - Accent5 2 3 6 2" xfId="6655" xr:uid="{00000000-0005-0000-0000-00007D060000}"/>
    <cellStyle name="40% - Accent5 2 3 6 2 2" xfId="15094" xr:uid="{4B194CC1-9262-4070-BCF2-A77613EF470C}"/>
    <cellStyle name="40% - Accent5 2 3 6 3" xfId="10876" xr:uid="{181B58E6-A490-4103-AB53-5924C2DAEBD0}"/>
    <cellStyle name="40% - Accent5 2 3 7" xfId="4589" xr:uid="{00000000-0005-0000-0000-00007E060000}"/>
    <cellStyle name="40% - Accent5 2 3 7 2" xfId="13028" xr:uid="{26CE78C5-A3A0-4CAC-A0C0-EBBF264A4B4C}"/>
    <cellStyle name="40% - Accent5 2 3 8" xfId="8810" xr:uid="{203F28F5-1247-4B13-BB87-62DF909AB076}"/>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9675A643-8FEA-439B-AEF3-CF66EDE3CEA4}"/>
    <cellStyle name="40% - Accent5 2 4 2 3" xfId="11366" xr:uid="{084103E8-A17A-4B5B-9434-927043F34DC1}"/>
    <cellStyle name="40% - Accent5 2 4 3" xfId="5000" xr:uid="{00000000-0005-0000-0000-000082060000}"/>
    <cellStyle name="40% - Accent5 2 4 3 2" xfId="13439" xr:uid="{C3C6786A-FAC8-4614-9578-A2D4520B1FB6}"/>
    <cellStyle name="40% - Accent5 2 4 4" xfId="9221" xr:uid="{AC9F4A15-F12C-415D-AF4C-5AB0DEF82F7B}"/>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9B7A6526-EC47-48EC-8398-9C1A67023B6C}"/>
    <cellStyle name="40% - Accent5 2 5 2 3" xfId="11779" xr:uid="{C5CA4219-C054-4B66-8052-99D87B8875E8}"/>
    <cellStyle name="40% - Accent5 2 5 3" xfId="5413" xr:uid="{00000000-0005-0000-0000-000086060000}"/>
    <cellStyle name="40% - Accent5 2 5 3 2" xfId="13852" xr:uid="{8DA94AD7-62A7-4646-BCB0-BA61DF454BB8}"/>
    <cellStyle name="40% - Accent5 2 5 4" xfId="9634" xr:uid="{A5B7F324-C3E6-4C29-8C87-6BCEF48C6E6E}"/>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526894FD-37FC-4187-9D64-3D5734BEAFB5}"/>
    <cellStyle name="40% - Accent5 2 6 2 3" xfId="12192" xr:uid="{3EB3FE6C-3CCC-4D84-B073-76E570DCB537}"/>
    <cellStyle name="40% - Accent5 2 6 3" xfId="5826" xr:uid="{00000000-0005-0000-0000-00008A060000}"/>
    <cellStyle name="40% - Accent5 2 6 3 2" xfId="14265" xr:uid="{3EDE01F7-E558-4D97-A6B0-156376A0322F}"/>
    <cellStyle name="40% - Accent5 2 6 4" xfId="10047" xr:uid="{2BA80451-1186-44BB-8FB6-AB1D36B811F1}"/>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64E1A13B-C0F5-45F0-BFFE-CEDA91081711}"/>
    <cellStyle name="40% - Accent5 2 7 2 3" xfId="12605" xr:uid="{62EF89B6-9497-48BF-B34A-D59C7D34C03E}"/>
    <cellStyle name="40% - Accent5 2 7 3" xfId="6239" xr:uid="{00000000-0005-0000-0000-00008E060000}"/>
    <cellStyle name="40% - Accent5 2 7 3 2" xfId="14678" xr:uid="{A28BBAAC-045D-4A65-92EB-76C5AB624FE7}"/>
    <cellStyle name="40% - Accent5 2 7 4" xfId="10460" xr:uid="{C9544425-EF05-4EA5-8F06-7902E5DA4D7D}"/>
    <cellStyle name="40% - Accent5 2 8" xfId="2345" xr:uid="{00000000-0005-0000-0000-00008F060000}"/>
    <cellStyle name="40% - Accent5 2 8 2" xfId="6652" xr:uid="{00000000-0005-0000-0000-000090060000}"/>
    <cellStyle name="40% - Accent5 2 8 2 2" xfId="15091" xr:uid="{6A8CB837-A973-406F-97CD-60AA85B5C595}"/>
    <cellStyle name="40% - Accent5 2 8 3" xfId="10873" xr:uid="{A1F3E94C-F0F6-4A9E-B3CF-851D049BAD1B}"/>
    <cellStyle name="40% - Accent5 2 9" xfId="4586" xr:uid="{00000000-0005-0000-0000-000091060000}"/>
    <cellStyle name="40% - Accent5 2 9 2" xfId="13025" xr:uid="{AF5F04B3-D4EC-4014-8288-D2515E52F836}"/>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7D2068BB-2CB2-4D27-A955-080BA912DD3C}"/>
    <cellStyle name="40% - Accent5 3 2 2 2 3" xfId="11371" xr:uid="{E52F5184-F6FC-4610-80F1-E081635B765B}"/>
    <cellStyle name="40% - Accent5 3 2 2 3" xfId="5005" xr:uid="{00000000-0005-0000-0000-000097060000}"/>
    <cellStyle name="40% - Accent5 3 2 2 3 2" xfId="13444" xr:uid="{09B065F3-FF0C-4624-9C61-E5BB2C870F56}"/>
    <cellStyle name="40% - Accent5 3 2 2 4" xfId="9226" xr:uid="{49043DE8-077F-4490-9414-C5AD27CC9244}"/>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79E58557-D62D-47CB-9F92-9CCCE2AD2C28}"/>
    <cellStyle name="40% - Accent5 3 2 3 2 3" xfId="11784" xr:uid="{D55C71D9-43A5-4A5C-BB7B-F6F586649DEB}"/>
    <cellStyle name="40% - Accent5 3 2 3 3" xfId="5418" xr:uid="{00000000-0005-0000-0000-00009B060000}"/>
    <cellStyle name="40% - Accent5 3 2 3 3 2" xfId="13857" xr:uid="{C2FD450B-A590-4950-8748-845C8CFA8109}"/>
    <cellStyle name="40% - Accent5 3 2 3 4" xfId="9639" xr:uid="{9E13B65A-228D-4610-9FB0-ECC9A98A4A34}"/>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3640C17D-8E5E-497B-ABC9-80F4278BDB02}"/>
    <cellStyle name="40% - Accent5 3 2 4 2 3" xfId="12197" xr:uid="{D67D8475-22CD-412E-8919-C83BE329D412}"/>
    <cellStyle name="40% - Accent5 3 2 4 3" xfId="5831" xr:uid="{00000000-0005-0000-0000-00009F060000}"/>
    <cellStyle name="40% - Accent5 3 2 4 3 2" xfId="14270" xr:uid="{6ED6AD70-E845-4AC1-8EB1-602789FA6C85}"/>
    <cellStyle name="40% - Accent5 3 2 4 4" xfId="10052" xr:uid="{AF6977CA-6338-49D7-A027-6B85F78E7F00}"/>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5802AA09-1815-4D80-917E-8BE70EAF641A}"/>
    <cellStyle name="40% - Accent5 3 2 5 2 3" xfId="12610" xr:uid="{CD80AD58-70FC-4B3D-8435-2F1D84CE332D}"/>
    <cellStyle name="40% - Accent5 3 2 5 3" xfId="6244" xr:uid="{00000000-0005-0000-0000-0000A3060000}"/>
    <cellStyle name="40% - Accent5 3 2 5 3 2" xfId="14683" xr:uid="{4E14D958-23CC-455A-921A-ECC35EFA8888}"/>
    <cellStyle name="40% - Accent5 3 2 5 4" xfId="10465" xr:uid="{3173667B-5507-4B0D-9557-D9DA71523E90}"/>
    <cellStyle name="40% - Accent5 3 2 6" xfId="2350" xr:uid="{00000000-0005-0000-0000-0000A4060000}"/>
    <cellStyle name="40% - Accent5 3 2 6 2" xfId="6657" xr:uid="{00000000-0005-0000-0000-0000A5060000}"/>
    <cellStyle name="40% - Accent5 3 2 6 2 2" xfId="15096" xr:uid="{07CACD6E-CF7F-4EFB-AA3F-13E46BB18C90}"/>
    <cellStyle name="40% - Accent5 3 2 6 3" xfId="10878" xr:uid="{27D9C316-C047-4C8A-B65A-BBC27D0050E5}"/>
    <cellStyle name="40% - Accent5 3 2 7" xfId="4591" xr:uid="{00000000-0005-0000-0000-0000A6060000}"/>
    <cellStyle name="40% - Accent5 3 2 7 2" xfId="13030" xr:uid="{28235E9C-FD56-4883-AC44-115D7B5BA6E5}"/>
    <cellStyle name="40% - Accent5 3 2 8" xfId="8812" xr:uid="{704287D2-5634-49DF-BA8D-5376CB27E3A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3B86094E-031B-45F9-A3D0-BDF0C89DB69D}"/>
    <cellStyle name="40% - Accent5 3 3 2 3" xfId="11370" xr:uid="{F03DACA4-4C83-4B4F-A982-F428D3504817}"/>
    <cellStyle name="40% - Accent5 3 3 3" xfId="5004" xr:uid="{00000000-0005-0000-0000-0000AA060000}"/>
    <cellStyle name="40% - Accent5 3 3 3 2" xfId="13443" xr:uid="{06BBC086-421F-4424-8866-47014C1AFE82}"/>
    <cellStyle name="40% - Accent5 3 3 4" xfId="9225" xr:uid="{2FDF9AC8-ED66-4DA1-ADF3-1E4C5CA98449}"/>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1B6C17A6-0FC7-4FE5-A958-0876D77E1B49}"/>
    <cellStyle name="40% - Accent5 3 4 2 3" xfId="11783" xr:uid="{EA936E1E-8F56-47B5-B167-A3099077B57C}"/>
    <cellStyle name="40% - Accent5 3 4 3" xfId="5417" xr:uid="{00000000-0005-0000-0000-0000AE060000}"/>
    <cellStyle name="40% - Accent5 3 4 3 2" xfId="13856" xr:uid="{0F354C94-D8D0-4691-AF7B-99030AD0D24F}"/>
    <cellStyle name="40% - Accent5 3 4 4" xfId="9638" xr:uid="{03426F38-0D88-4D9F-A047-A8A20E7C19A1}"/>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E0A5BCE2-6593-4A14-BC13-A38304DA4875}"/>
    <cellStyle name="40% - Accent5 3 5 2 3" xfId="12196" xr:uid="{44BF80B8-5C43-4E49-8546-482F0D594AE6}"/>
    <cellStyle name="40% - Accent5 3 5 3" xfId="5830" xr:uid="{00000000-0005-0000-0000-0000B2060000}"/>
    <cellStyle name="40% - Accent5 3 5 3 2" xfId="14269" xr:uid="{53EFEDA1-B605-47F6-883F-C1E5119E07BA}"/>
    <cellStyle name="40% - Accent5 3 5 4" xfId="10051" xr:uid="{F87101B3-E5D8-4486-83D2-E74218E9B9FC}"/>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E8A5EBF7-B3F1-4085-816A-65961419014C}"/>
    <cellStyle name="40% - Accent5 3 6 2 3" xfId="12609" xr:uid="{EB334DD1-7702-45EC-836B-5519202F4D6C}"/>
    <cellStyle name="40% - Accent5 3 6 3" xfId="6243" xr:uid="{00000000-0005-0000-0000-0000B6060000}"/>
    <cellStyle name="40% - Accent5 3 6 3 2" xfId="14682" xr:uid="{ACAB60A9-660F-4E91-80D3-17ED27239C9B}"/>
    <cellStyle name="40% - Accent5 3 6 4" xfId="10464" xr:uid="{C14A6186-6DE3-4D6B-9786-3CBAEBE61099}"/>
    <cellStyle name="40% - Accent5 3 7" xfId="2349" xr:uid="{00000000-0005-0000-0000-0000B7060000}"/>
    <cellStyle name="40% - Accent5 3 7 2" xfId="6656" xr:uid="{00000000-0005-0000-0000-0000B8060000}"/>
    <cellStyle name="40% - Accent5 3 7 2 2" xfId="15095" xr:uid="{8426CCAC-1325-4A4D-9659-3A81B851E74C}"/>
    <cellStyle name="40% - Accent5 3 7 3" xfId="10877" xr:uid="{0428C435-10C9-48E8-8245-D6323D18450C}"/>
    <cellStyle name="40% - Accent5 3 8" xfId="4590" xr:uid="{00000000-0005-0000-0000-0000B9060000}"/>
    <cellStyle name="40% - Accent5 3 8 2" xfId="13029" xr:uid="{0D519B4A-8350-48E0-8E0D-DCEC245F0A73}"/>
    <cellStyle name="40% - Accent5 3 9" xfId="8811" xr:uid="{3958737C-7490-4257-BEDA-CEBF266182D9}"/>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B9276041-1C15-488C-BFBD-AA8CDCD54607}"/>
    <cellStyle name="40% - Accent5 4 2 2 3" xfId="11372" xr:uid="{219A8B2B-18BB-4698-8CA0-87826D804242}"/>
    <cellStyle name="40% - Accent5 4 2 3" xfId="5006" xr:uid="{00000000-0005-0000-0000-0000BE060000}"/>
    <cellStyle name="40% - Accent5 4 2 3 2" xfId="13445" xr:uid="{1B2F761A-BA15-4191-8BEC-98DD4BE9FD77}"/>
    <cellStyle name="40% - Accent5 4 2 4" xfId="9227" xr:uid="{7A1C261E-00FE-4204-91FB-025C458F54D8}"/>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30444A54-39B5-4BED-9E5F-9F1FE454B7AF}"/>
    <cellStyle name="40% - Accent5 4 3 2 3" xfId="11785" xr:uid="{8766F610-FFDD-48AD-B6D2-493465D12B26}"/>
    <cellStyle name="40% - Accent5 4 3 3" xfId="5419" xr:uid="{00000000-0005-0000-0000-0000C2060000}"/>
    <cellStyle name="40% - Accent5 4 3 3 2" xfId="13858" xr:uid="{76CCAF48-2722-4780-94D1-CFF3CFF270EA}"/>
    <cellStyle name="40% - Accent5 4 3 4" xfId="9640" xr:uid="{944BB13B-7F05-47A5-9858-4A9196EE5F76}"/>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BFDEBEC2-A0E8-414D-BEBA-F12A919F2525}"/>
    <cellStyle name="40% - Accent5 4 4 2 3" xfId="12198" xr:uid="{4943FAB6-30D4-4038-9566-E52893DE674C}"/>
    <cellStyle name="40% - Accent5 4 4 3" xfId="5832" xr:uid="{00000000-0005-0000-0000-0000C6060000}"/>
    <cellStyle name="40% - Accent5 4 4 3 2" xfId="14271" xr:uid="{901B9FF9-37F1-4014-9997-95F26D77E439}"/>
    <cellStyle name="40% - Accent5 4 4 4" xfId="10053" xr:uid="{6FCAF25C-A36E-43D9-9683-941256847D2A}"/>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5512CEDD-B422-4A32-85C0-F30D8ED24A1E}"/>
    <cellStyle name="40% - Accent5 4 5 2 3" xfId="12611" xr:uid="{FF5FDF3F-A60C-4A16-AB48-96E6D85BF024}"/>
    <cellStyle name="40% - Accent5 4 5 3" xfId="6245" xr:uid="{00000000-0005-0000-0000-0000CA060000}"/>
    <cellStyle name="40% - Accent5 4 5 3 2" xfId="14684" xr:uid="{C8A50EC5-E1C2-4327-B611-6A4C814DDD32}"/>
    <cellStyle name="40% - Accent5 4 5 4" xfId="10466" xr:uid="{48C863AF-23B5-4991-871A-8042F54C69C0}"/>
    <cellStyle name="40% - Accent5 4 6" xfId="2351" xr:uid="{00000000-0005-0000-0000-0000CB060000}"/>
    <cellStyle name="40% - Accent5 4 6 2" xfId="6658" xr:uid="{00000000-0005-0000-0000-0000CC060000}"/>
    <cellStyle name="40% - Accent5 4 6 2 2" xfId="15097" xr:uid="{80CB541F-A40B-431D-8382-7FC4553190E8}"/>
    <cellStyle name="40% - Accent5 4 6 3" xfId="10879" xr:uid="{0DFCD0ED-FF2B-4B77-8915-DC18DC869792}"/>
    <cellStyle name="40% - Accent5 4 7" xfId="4592" xr:uid="{00000000-0005-0000-0000-0000CD060000}"/>
    <cellStyle name="40% - Accent5 4 7 2" xfId="13031" xr:uid="{20817D44-A639-4E71-A515-5E0583A46B52}"/>
    <cellStyle name="40% - Accent5 4 8" xfId="8813" xr:uid="{497EEFD5-38D1-4C7B-984B-258707C8E6AD}"/>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A05B64B2-2551-4537-8850-F04914803365}"/>
    <cellStyle name="40% - Accent5 5 2 3" xfId="11365" xr:uid="{4D84A4FF-0CC5-4F11-9AE6-AA9420045A00}"/>
    <cellStyle name="40% - Accent5 5 3" xfId="4999" xr:uid="{00000000-0005-0000-0000-0000D1060000}"/>
    <cellStyle name="40% - Accent5 5 3 2" xfId="13438" xr:uid="{9533A969-7EF0-408B-8F88-0B9C40FE2B70}"/>
    <cellStyle name="40% - Accent5 5 4" xfId="9220" xr:uid="{AC737DBF-2064-4D7C-B18E-53A1F399D45B}"/>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38D91702-7851-46A0-92DC-F43E9A284F7A}"/>
    <cellStyle name="40% - Accent5 6 2 3" xfId="11778" xr:uid="{7D3F2A2E-2504-4641-BD2D-4C89C51FF415}"/>
    <cellStyle name="40% - Accent5 6 3" xfId="5412" xr:uid="{00000000-0005-0000-0000-0000D5060000}"/>
    <cellStyle name="40% - Accent5 6 3 2" xfId="13851" xr:uid="{43F7F7B1-6564-414B-81D8-4AC83F0AA01D}"/>
    <cellStyle name="40% - Accent5 6 4" xfId="9633" xr:uid="{9E3AF3F5-9902-40DE-A257-D7D3A5783B8F}"/>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37ECC123-7CAE-4D45-AEBC-91C4EBE2D96A}"/>
    <cellStyle name="40% - Accent5 7 2 3" xfId="12191" xr:uid="{C1110242-6648-4086-9258-8AC98DD14B01}"/>
    <cellStyle name="40% - Accent5 7 3" xfId="5825" xr:uid="{00000000-0005-0000-0000-0000D9060000}"/>
    <cellStyle name="40% - Accent5 7 3 2" xfId="14264" xr:uid="{69D3A084-69B7-459C-A453-D8E64B80AAD1}"/>
    <cellStyle name="40% - Accent5 7 4" xfId="10046" xr:uid="{916FC505-09D3-4EF8-AEB2-303DEA813249}"/>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E45C8225-84BF-4EE9-A0C9-737A9B908C83}"/>
    <cellStyle name="40% - Accent5 8 2 3" xfId="12604" xr:uid="{AD90634D-224D-4F37-8A59-34F3ADC6FE20}"/>
    <cellStyle name="40% - Accent5 8 3" xfId="6238" xr:uid="{00000000-0005-0000-0000-0000DD060000}"/>
    <cellStyle name="40% - Accent5 8 3 2" xfId="14677" xr:uid="{7D4CF0D2-C059-48C2-AABF-D4C7EA7EC0F0}"/>
    <cellStyle name="40% - Accent5 8 4" xfId="10459" xr:uid="{BF57B0D2-095E-4640-B536-6495D52589C7}"/>
    <cellStyle name="40% - Accent5 9" xfId="2344" xr:uid="{00000000-0005-0000-0000-0000DE060000}"/>
    <cellStyle name="40% - Accent5 9 2" xfId="6651" xr:uid="{00000000-0005-0000-0000-0000DF060000}"/>
    <cellStyle name="40% - Accent5 9 2 2" xfId="15090" xr:uid="{AB754D4B-1800-4E4B-98C1-08912911E215}"/>
    <cellStyle name="40% - Accent5 9 3" xfId="10872" xr:uid="{96B83464-EEF7-4B6A-B8D5-6771329EA2AE}"/>
    <cellStyle name="40% - Accent6" xfId="89" builtinId="51" customBuiltin="1"/>
    <cellStyle name="40% - Accent6 10" xfId="4593" xr:uid="{00000000-0005-0000-0000-0000E1060000}"/>
    <cellStyle name="40% - Accent6 10 2" xfId="13032" xr:uid="{CB0E9758-A0E7-453F-BB3C-F0E925CFE73B}"/>
    <cellStyle name="40% - Accent6 11" xfId="8814" xr:uid="{B43A8AD9-59DA-4658-B8BE-95DD13482ECC}"/>
    <cellStyle name="40% - Accent6 2" xfId="90" xr:uid="{00000000-0005-0000-0000-0000E2060000}"/>
    <cellStyle name="40% - Accent6 2 10" xfId="8815" xr:uid="{BBFC6F2C-2C9D-46C9-A101-146182BBF6D8}"/>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66079672-A042-4E75-8BDC-A2ADB5C9AA6B}"/>
    <cellStyle name="40% - Accent6 2 2 2 2 2 3" xfId="11376" xr:uid="{8EBE18DB-EE40-4EB7-A6A1-5E0C4DBBA4AF}"/>
    <cellStyle name="40% - Accent6 2 2 2 2 3" xfId="5010" xr:uid="{00000000-0005-0000-0000-0000E8060000}"/>
    <cellStyle name="40% - Accent6 2 2 2 2 3 2" xfId="13449" xr:uid="{4D7FF4EB-A5C4-448A-A064-C74E3315BB66}"/>
    <cellStyle name="40% - Accent6 2 2 2 2 4" xfId="9231" xr:uid="{4FCA0400-1A25-4F7D-BF92-635243B943DE}"/>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A3B7E205-2199-4432-92D3-297733E0FFD4}"/>
    <cellStyle name="40% - Accent6 2 2 2 3 2 3" xfId="11789" xr:uid="{92851253-6846-41CC-B8CC-5F4D8515E08F}"/>
    <cellStyle name="40% - Accent6 2 2 2 3 3" xfId="5423" xr:uid="{00000000-0005-0000-0000-0000EC060000}"/>
    <cellStyle name="40% - Accent6 2 2 2 3 3 2" xfId="13862" xr:uid="{8EAA882E-BBA2-4660-9C3A-43CB989210AB}"/>
    <cellStyle name="40% - Accent6 2 2 2 3 4" xfId="9644" xr:uid="{8A90B4BC-6605-4389-9C48-8DFDC72E8F29}"/>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DD4D657B-0AC1-4146-8353-A6233DE9C5AA}"/>
    <cellStyle name="40% - Accent6 2 2 2 4 2 3" xfId="12202" xr:uid="{F4F18089-478D-4541-9360-12ED8F408890}"/>
    <cellStyle name="40% - Accent6 2 2 2 4 3" xfId="5836" xr:uid="{00000000-0005-0000-0000-0000F0060000}"/>
    <cellStyle name="40% - Accent6 2 2 2 4 3 2" xfId="14275" xr:uid="{4FF74ED0-B902-4862-9818-B874CF481577}"/>
    <cellStyle name="40% - Accent6 2 2 2 4 4" xfId="10057" xr:uid="{93DE6D29-C7EB-4677-B480-652E563CB1E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BD0A8A6A-9BD6-443C-8C27-E01139E341F0}"/>
    <cellStyle name="40% - Accent6 2 2 2 5 2 3" xfId="12615" xr:uid="{38BDA737-5E5F-40DA-9071-80E025144AC3}"/>
    <cellStyle name="40% - Accent6 2 2 2 5 3" xfId="6249" xr:uid="{00000000-0005-0000-0000-0000F4060000}"/>
    <cellStyle name="40% - Accent6 2 2 2 5 3 2" xfId="14688" xr:uid="{905E015F-5E92-402D-B0CE-50FD32818C56}"/>
    <cellStyle name="40% - Accent6 2 2 2 5 4" xfId="10470" xr:uid="{811522C4-C4A9-4A02-A37A-A58518F32CF5}"/>
    <cellStyle name="40% - Accent6 2 2 2 6" xfId="2355" xr:uid="{00000000-0005-0000-0000-0000F5060000}"/>
    <cellStyle name="40% - Accent6 2 2 2 6 2" xfId="6662" xr:uid="{00000000-0005-0000-0000-0000F6060000}"/>
    <cellStyle name="40% - Accent6 2 2 2 6 2 2" xfId="15101" xr:uid="{3F51F66A-9D0F-4346-B008-C0FC374BCA40}"/>
    <cellStyle name="40% - Accent6 2 2 2 6 3" xfId="10883" xr:uid="{D3F3E410-20D6-4449-A357-B1E084452F3B}"/>
    <cellStyle name="40% - Accent6 2 2 2 7" xfId="4596" xr:uid="{00000000-0005-0000-0000-0000F7060000}"/>
    <cellStyle name="40% - Accent6 2 2 2 7 2" xfId="13035" xr:uid="{7EC0D6FE-6E08-4518-92E3-3EA065BABC58}"/>
    <cellStyle name="40% - Accent6 2 2 2 8" xfId="8817" xr:uid="{C4EEF45C-C532-46B0-B2D9-D0EE5ACE7BB3}"/>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2AFED97A-1A55-4F2A-87E6-7A81D329274A}"/>
    <cellStyle name="40% - Accent6 2 2 3 2 3" xfId="11375" xr:uid="{8D233B47-54F7-40EB-8BAB-4A1BE4C01979}"/>
    <cellStyle name="40% - Accent6 2 2 3 3" xfId="5009" xr:uid="{00000000-0005-0000-0000-0000FB060000}"/>
    <cellStyle name="40% - Accent6 2 2 3 3 2" xfId="13448" xr:uid="{D8A3809E-447C-4B15-9906-AF0DCA830B23}"/>
    <cellStyle name="40% - Accent6 2 2 3 4" xfId="9230" xr:uid="{8F9144E0-9188-4FC3-802F-64BC45C6E068}"/>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4A73F5BE-53AD-4AA6-94E2-1C169975D963}"/>
    <cellStyle name="40% - Accent6 2 2 4 2 3" xfId="11788" xr:uid="{FF991530-5E05-47F9-8929-30B66EB25491}"/>
    <cellStyle name="40% - Accent6 2 2 4 3" xfId="5422" xr:uid="{00000000-0005-0000-0000-0000FF060000}"/>
    <cellStyle name="40% - Accent6 2 2 4 3 2" xfId="13861" xr:uid="{E3970F5D-0E46-4902-9700-CE0283C24BFF}"/>
    <cellStyle name="40% - Accent6 2 2 4 4" xfId="9643" xr:uid="{104E1779-DD2F-44BF-A741-2B94A4A64A0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6AD0613C-284E-465C-A461-CE9C2B594F63}"/>
    <cellStyle name="40% - Accent6 2 2 5 2 3" xfId="12201" xr:uid="{03EE3D24-A196-4954-A5B6-F30B7D0D1C5A}"/>
    <cellStyle name="40% - Accent6 2 2 5 3" xfId="5835" xr:uid="{00000000-0005-0000-0000-000003070000}"/>
    <cellStyle name="40% - Accent6 2 2 5 3 2" xfId="14274" xr:uid="{FD3B0E81-5FD0-4C15-A7D1-6E5173E22264}"/>
    <cellStyle name="40% - Accent6 2 2 5 4" xfId="10056" xr:uid="{2010AA3D-1AF0-46DB-A369-F05458DF1589}"/>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5C4A4448-1B04-4839-8494-9C6C50C52623}"/>
    <cellStyle name="40% - Accent6 2 2 6 2 3" xfId="12614" xr:uid="{F2C49131-26A4-45FD-906D-823705AD484A}"/>
    <cellStyle name="40% - Accent6 2 2 6 3" xfId="6248" xr:uid="{00000000-0005-0000-0000-000007070000}"/>
    <cellStyle name="40% - Accent6 2 2 6 3 2" xfId="14687" xr:uid="{37C08B36-F5DE-4D85-8F9E-E761F442F937}"/>
    <cellStyle name="40% - Accent6 2 2 6 4" xfId="10469" xr:uid="{70FB4DE1-8E7D-496C-88ED-B09E99060605}"/>
    <cellStyle name="40% - Accent6 2 2 7" xfId="2354" xr:uid="{00000000-0005-0000-0000-000008070000}"/>
    <cellStyle name="40% - Accent6 2 2 7 2" xfId="6661" xr:uid="{00000000-0005-0000-0000-000009070000}"/>
    <cellStyle name="40% - Accent6 2 2 7 2 2" xfId="15100" xr:uid="{ED320F23-E290-4AEE-9E05-3F05A40D9C17}"/>
    <cellStyle name="40% - Accent6 2 2 7 3" xfId="10882" xr:uid="{390F6A5B-2C03-496D-9A83-2F1275BB7D0C}"/>
    <cellStyle name="40% - Accent6 2 2 8" xfId="4595" xr:uid="{00000000-0005-0000-0000-00000A070000}"/>
    <cellStyle name="40% - Accent6 2 2 8 2" xfId="13034" xr:uid="{E899A040-BE57-4570-B735-ADAF4218775F}"/>
    <cellStyle name="40% - Accent6 2 2 9" xfId="8816" xr:uid="{3FB59095-23BD-49EE-AB09-4A55DAD9BE41}"/>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42F20433-4ACC-4A54-A873-000D308E33D0}"/>
    <cellStyle name="40% - Accent6 2 3 2 2 3" xfId="11377" xr:uid="{9D1F9399-D8B2-4D4C-95F7-3D41726E7EB8}"/>
    <cellStyle name="40% - Accent6 2 3 2 3" xfId="5011" xr:uid="{00000000-0005-0000-0000-00000F070000}"/>
    <cellStyle name="40% - Accent6 2 3 2 3 2" xfId="13450" xr:uid="{C243BFD5-A4D8-4D54-83F6-A8EF5FAC7DEC}"/>
    <cellStyle name="40% - Accent6 2 3 2 4" xfId="9232" xr:uid="{B5543E4D-DDBC-4072-A076-2627D467BC2B}"/>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99217937-8385-40FB-BD77-87E075B8C8F8}"/>
    <cellStyle name="40% - Accent6 2 3 3 2 3" xfId="11790" xr:uid="{CDBA4D83-4DE8-4F0E-AE6A-99B60F205706}"/>
    <cellStyle name="40% - Accent6 2 3 3 3" xfId="5424" xr:uid="{00000000-0005-0000-0000-000013070000}"/>
    <cellStyle name="40% - Accent6 2 3 3 3 2" xfId="13863" xr:uid="{989BA10D-FC83-4787-81C0-D8F990B5B832}"/>
    <cellStyle name="40% - Accent6 2 3 3 4" xfId="9645" xr:uid="{F78801BA-E948-4B58-B7E0-8C93EF60A423}"/>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D1BECF03-620C-4922-9265-418B4CC5DBD1}"/>
    <cellStyle name="40% - Accent6 2 3 4 2 3" xfId="12203" xr:uid="{6C3C67B9-E58C-4529-8C2A-5046D7C17190}"/>
    <cellStyle name="40% - Accent6 2 3 4 3" xfId="5837" xr:uid="{00000000-0005-0000-0000-000017070000}"/>
    <cellStyle name="40% - Accent6 2 3 4 3 2" xfId="14276" xr:uid="{74A11AF0-E672-4878-A29D-7089BAE01631}"/>
    <cellStyle name="40% - Accent6 2 3 4 4" xfId="10058" xr:uid="{6776EB87-C132-4F04-AD1D-9519CC5441C5}"/>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02895F09-26A9-4524-BA1C-DCCB6D5E0EC5}"/>
    <cellStyle name="40% - Accent6 2 3 5 2 3" xfId="12616" xr:uid="{85E5A7F7-9A94-442A-BF09-E45BCDCF081C}"/>
    <cellStyle name="40% - Accent6 2 3 5 3" xfId="6250" xr:uid="{00000000-0005-0000-0000-00001B070000}"/>
    <cellStyle name="40% - Accent6 2 3 5 3 2" xfId="14689" xr:uid="{1BE06FFC-FA1C-46AD-9686-E4FCC272D322}"/>
    <cellStyle name="40% - Accent6 2 3 5 4" xfId="10471" xr:uid="{9873A5EA-29CE-495A-9A78-C20BF931B2C7}"/>
    <cellStyle name="40% - Accent6 2 3 6" xfId="2356" xr:uid="{00000000-0005-0000-0000-00001C070000}"/>
    <cellStyle name="40% - Accent6 2 3 6 2" xfId="6663" xr:uid="{00000000-0005-0000-0000-00001D070000}"/>
    <cellStyle name="40% - Accent6 2 3 6 2 2" xfId="15102" xr:uid="{51D72C76-0AA1-400D-83C9-43FAE3359B30}"/>
    <cellStyle name="40% - Accent6 2 3 6 3" xfId="10884" xr:uid="{58CE828F-65E7-4295-8B71-5CB9BE970E9D}"/>
    <cellStyle name="40% - Accent6 2 3 7" xfId="4597" xr:uid="{00000000-0005-0000-0000-00001E070000}"/>
    <cellStyle name="40% - Accent6 2 3 7 2" xfId="13036" xr:uid="{27458B06-23FD-4AD3-9B8E-BBB3DB3EB033}"/>
    <cellStyle name="40% - Accent6 2 3 8" xfId="8818" xr:uid="{0D729903-8ACA-4627-A035-65F4695D28E2}"/>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3D71CF3A-D8FD-47E6-BEDA-DC4F866C2E07}"/>
    <cellStyle name="40% - Accent6 2 4 2 3" xfId="11374" xr:uid="{50AD3AAD-2423-4470-8C22-911531B87C89}"/>
    <cellStyle name="40% - Accent6 2 4 3" xfId="5008" xr:uid="{00000000-0005-0000-0000-000022070000}"/>
    <cellStyle name="40% - Accent6 2 4 3 2" xfId="13447" xr:uid="{2AFEF0E5-1313-40E0-905B-603FCD53F24B}"/>
    <cellStyle name="40% - Accent6 2 4 4" xfId="9229" xr:uid="{67529894-08C6-4CF5-BB3D-6DB73CF1DF23}"/>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BC1F3BE1-E492-491F-ACC2-00EA02D65CD3}"/>
    <cellStyle name="40% - Accent6 2 5 2 3" xfId="11787" xr:uid="{EE82DC0A-43D8-43B2-8DF6-F49F36DCB932}"/>
    <cellStyle name="40% - Accent6 2 5 3" xfId="5421" xr:uid="{00000000-0005-0000-0000-000026070000}"/>
    <cellStyle name="40% - Accent6 2 5 3 2" xfId="13860" xr:uid="{1A335F47-9C17-4203-AAD7-3E1E90CFD2E6}"/>
    <cellStyle name="40% - Accent6 2 5 4" xfId="9642" xr:uid="{DEC89AC2-343F-4CD9-A171-0040B23781DB}"/>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0B3BCF08-0DFF-4EE3-A60C-AA2BC35C99ED}"/>
    <cellStyle name="40% - Accent6 2 6 2 3" xfId="12200" xr:uid="{F172046A-C98F-4486-8C2F-772F15E93703}"/>
    <cellStyle name="40% - Accent6 2 6 3" xfId="5834" xr:uid="{00000000-0005-0000-0000-00002A070000}"/>
    <cellStyle name="40% - Accent6 2 6 3 2" xfId="14273" xr:uid="{B43223BC-FF8A-41CB-8D9B-7A9E7BAA6F5A}"/>
    <cellStyle name="40% - Accent6 2 6 4" xfId="10055" xr:uid="{E2651452-5CF3-4E7F-929C-6E22D65DFEE4}"/>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CDD47A02-8BAA-43A3-A460-E1D228F8938C}"/>
    <cellStyle name="40% - Accent6 2 7 2 3" xfId="12613" xr:uid="{358C52EC-8F84-4C7B-9E71-4B5504201361}"/>
    <cellStyle name="40% - Accent6 2 7 3" xfId="6247" xr:uid="{00000000-0005-0000-0000-00002E070000}"/>
    <cellStyle name="40% - Accent6 2 7 3 2" xfId="14686" xr:uid="{2FFDF03C-D8AB-49F8-A015-AFB747178974}"/>
    <cellStyle name="40% - Accent6 2 7 4" xfId="10468" xr:uid="{B8B672D4-89B2-45C3-B5CD-925882FBD508}"/>
    <cellStyle name="40% - Accent6 2 8" xfId="2353" xr:uid="{00000000-0005-0000-0000-00002F070000}"/>
    <cellStyle name="40% - Accent6 2 8 2" xfId="6660" xr:uid="{00000000-0005-0000-0000-000030070000}"/>
    <cellStyle name="40% - Accent6 2 8 2 2" xfId="15099" xr:uid="{8DEB8359-358C-4B07-B976-6D1A927C7B76}"/>
    <cellStyle name="40% - Accent6 2 8 3" xfId="10881" xr:uid="{8E3E624C-F7DE-412B-9A7D-BB12FE3FE813}"/>
    <cellStyle name="40% - Accent6 2 9" xfId="4594" xr:uid="{00000000-0005-0000-0000-000031070000}"/>
    <cellStyle name="40% - Accent6 2 9 2" xfId="13033" xr:uid="{B0AC0A46-7B6F-4702-B06A-AA524ADAAD11}"/>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DB77AD58-A8C6-499A-8B0C-816CA7EEDA9F}"/>
    <cellStyle name="40% - Accent6 3 2 2 2 3" xfId="11379" xr:uid="{4DA8AFAB-A04C-49CE-9B4C-E08310DDB92C}"/>
    <cellStyle name="40% - Accent6 3 2 2 3" xfId="5013" xr:uid="{00000000-0005-0000-0000-000037070000}"/>
    <cellStyle name="40% - Accent6 3 2 2 3 2" xfId="13452" xr:uid="{8F0177D6-09D1-4AD5-AA59-6A130EF4DF2D}"/>
    <cellStyle name="40% - Accent6 3 2 2 4" xfId="9234" xr:uid="{5B7F47C7-05C5-494D-A873-B97D6713A6DB}"/>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6C64FB0A-C332-49EC-81E2-9B8A6B0B51EA}"/>
    <cellStyle name="40% - Accent6 3 2 3 2 3" xfId="11792" xr:uid="{EA9ACCBA-E286-4127-9404-59FDB189ECD2}"/>
    <cellStyle name="40% - Accent6 3 2 3 3" xfId="5426" xr:uid="{00000000-0005-0000-0000-00003B070000}"/>
    <cellStyle name="40% - Accent6 3 2 3 3 2" xfId="13865" xr:uid="{46E78684-FDB5-48CB-8783-05D313FFA4F0}"/>
    <cellStyle name="40% - Accent6 3 2 3 4" xfId="9647" xr:uid="{7240BF4B-862B-4A5A-8DC2-991C2AE5C8BD}"/>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3C3B0BB6-A8A8-46F5-BCFC-DD3FE3289908}"/>
    <cellStyle name="40% - Accent6 3 2 4 2 3" xfId="12205" xr:uid="{65911C65-25D2-489D-8417-DB2DF1C76FD5}"/>
    <cellStyle name="40% - Accent6 3 2 4 3" xfId="5839" xr:uid="{00000000-0005-0000-0000-00003F070000}"/>
    <cellStyle name="40% - Accent6 3 2 4 3 2" xfId="14278" xr:uid="{904209AD-0C02-4551-9C33-A163C05F7F96}"/>
    <cellStyle name="40% - Accent6 3 2 4 4" xfId="10060" xr:uid="{043E540C-8C59-4CA7-976A-98D7E2E73699}"/>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E7CA15BD-2013-4A60-9F90-5E0AE3F57838}"/>
    <cellStyle name="40% - Accent6 3 2 5 2 3" xfId="12618" xr:uid="{551BB706-6403-4FDF-B852-ED0F66F14489}"/>
    <cellStyle name="40% - Accent6 3 2 5 3" xfId="6252" xr:uid="{00000000-0005-0000-0000-000043070000}"/>
    <cellStyle name="40% - Accent6 3 2 5 3 2" xfId="14691" xr:uid="{099AFEED-82F1-4CC5-BA77-1995568AFB67}"/>
    <cellStyle name="40% - Accent6 3 2 5 4" xfId="10473" xr:uid="{6386CE49-8B18-47E1-95E2-EAB6F64958F7}"/>
    <cellStyle name="40% - Accent6 3 2 6" xfId="2358" xr:uid="{00000000-0005-0000-0000-000044070000}"/>
    <cellStyle name="40% - Accent6 3 2 6 2" xfId="6665" xr:uid="{00000000-0005-0000-0000-000045070000}"/>
    <cellStyle name="40% - Accent6 3 2 6 2 2" xfId="15104" xr:uid="{D485F2DB-FBED-4FEE-B72B-BCF0C665631E}"/>
    <cellStyle name="40% - Accent6 3 2 6 3" xfId="10886" xr:uid="{CFCF0D5F-B77B-4ECB-A3C8-8A7C92E033BC}"/>
    <cellStyle name="40% - Accent6 3 2 7" xfId="4599" xr:uid="{00000000-0005-0000-0000-000046070000}"/>
    <cellStyle name="40% - Accent6 3 2 7 2" xfId="13038" xr:uid="{956F55ED-6751-4E2E-9FDF-3F896D49B93A}"/>
    <cellStyle name="40% - Accent6 3 2 8" xfId="8820" xr:uid="{9AAE813D-F006-4C40-A033-03C10C9B8DBD}"/>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63C29482-81CB-4301-8004-58309A8D3963}"/>
    <cellStyle name="40% - Accent6 3 3 2 3" xfId="11378" xr:uid="{628700DF-27D7-4154-9CBD-67B935FCC30D}"/>
    <cellStyle name="40% - Accent6 3 3 3" xfId="5012" xr:uid="{00000000-0005-0000-0000-00004A070000}"/>
    <cellStyle name="40% - Accent6 3 3 3 2" xfId="13451" xr:uid="{8933C4AB-76C1-4959-B8D2-B51BA20107D8}"/>
    <cellStyle name="40% - Accent6 3 3 4" xfId="9233" xr:uid="{BF972942-A689-49C1-B997-2A7E0F5A2CCD}"/>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E0A56367-D075-419E-8F5B-D20AE5236C1F}"/>
    <cellStyle name="40% - Accent6 3 4 2 3" xfId="11791" xr:uid="{EDD0A68F-9E30-4188-8E56-296A8581D19E}"/>
    <cellStyle name="40% - Accent6 3 4 3" xfId="5425" xr:uid="{00000000-0005-0000-0000-00004E070000}"/>
    <cellStyle name="40% - Accent6 3 4 3 2" xfId="13864" xr:uid="{4102DD5E-5860-44D8-B6C8-0D214E5D4090}"/>
    <cellStyle name="40% - Accent6 3 4 4" xfId="9646" xr:uid="{0EABFC7C-1D69-4AC1-B079-5DE962575D5F}"/>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7E30A622-E235-4085-BFE6-F06A22315D80}"/>
    <cellStyle name="40% - Accent6 3 5 2 3" xfId="12204" xr:uid="{2AD0866E-F6D2-4C69-B47A-7627E78C4F48}"/>
    <cellStyle name="40% - Accent6 3 5 3" xfId="5838" xr:uid="{00000000-0005-0000-0000-000052070000}"/>
    <cellStyle name="40% - Accent6 3 5 3 2" xfId="14277" xr:uid="{1BD15B02-55DF-4A07-A6B8-755260AFCC60}"/>
    <cellStyle name="40% - Accent6 3 5 4" xfId="10059" xr:uid="{F601618B-A620-4449-B46E-2EFF1E2C58AE}"/>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2F3CD612-BBC4-473E-B03F-316A7205D3FB}"/>
    <cellStyle name="40% - Accent6 3 6 2 3" xfId="12617" xr:uid="{99B88902-491A-4139-B502-F6D580F095C1}"/>
    <cellStyle name="40% - Accent6 3 6 3" xfId="6251" xr:uid="{00000000-0005-0000-0000-000056070000}"/>
    <cellStyle name="40% - Accent6 3 6 3 2" xfId="14690" xr:uid="{7D057EFF-2E67-442E-A635-A0A09E9114B7}"/>
    <cellStyle name="40% - Accent6 3 6 4" xfId="10472" xr:uid="{E85DAB69-8739-4BA6-9CCC-DD803C65098F}"/>
    <cellStyle name="40% - Accent6 3 7" xfId="2357" xr:uid="{00000000-0005-0000-0000-000057070000}"/>
    <cellStyle name="40% - Accent6 3 7 2" xfId="6664" xr:uid="{00000000-0005-0000-0000-000058070000}"/>
    <cellStyle name="40% - Accent6 3 7 2 2" xfId="15103" xr:uid="{135166C1-04E1-454A-9ACF-3E618AA3679C}"/>
    <cellStyle name="40% - Accent6 3 7 3" xfId="10885" xr:uid="{04A03D10-6645-4B15-831C-87A1931DBC4F}"/>
    <cellStyle name="40% - Accent6 3 8" xfId="4598" xr:uid="{00000000-0005-0000-0000-000059070000}"/>
    <cellStyle name="40% - Accent6 3 8 2" xfId="13037" xr:uid="{CC85B022-8C13-42D8-82A6-DC57EAFE6C52}"/>
    <cellStyle name="40% - Accent6 3 9" xfId="8819" xr:uid="{E548E698-8CEE-4244-8342-23A666639D99}"/>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36732248-02F2-4D30-B3C0-61BF3BF15BC2}"/>
    <cellStyle name="40% - Accent6 4 2 2 3" xfId="11380" xr:uid="{5F6E290D-CBA5-4341-891B-4D4AB6342BC8}"/>
    <cellStyle name="40% - Accent6 4 2 3" xfId="5014" xr:uid="{00000000-0005-0000-0000-00005E070000}"/>
    <cellStyle name="40% - Accent6 4 2 3 2" xfId="13453" xr:uid="{95DD2C97-B9CA-4A44-B7F6-6D564F929CD9}"/>
    <cellStyle name="40% - Accent6 4 2 4" xfId="9235" xr:uid="{8DEBD4D6-15AF-4C4D-B0FB-048F93437C48}"/>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89F05606-3052-4612-9AF9-E9287D621419}"/>
    <cellStyle name="40% - Accent6 4 3 2 3" xfId="11793" xr:uid="{BD637225-77D9-469E-8500-6CD10DFB282F}"/>
    <cellStyle name="40% - Accent6 4 3 3" xfId="5427" xr:uid="{00000000-0005-0000-0000-000062070000}"/>
    <cellStyle name="40% - Accent6 4 3 3 2" xfId="13866" xr:uid="{68779510-40BC-4253-B24C-973150246151}"/>
    <cellStyle name="40% - Accent6 4 3 4" xfId="9648" xr:uid="{D68BD977-6603-4E92-9FF1-4F426AE05952}"/>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79249DFB-719E-4F15-B0C3-D7896A0B7D9F}"/>
    <cellStyle name="40% - Accent6 4 4 2 3" xfId="12206" xr:uid="{49EA853F-CCD6-4D1D-BC05-B7B759F90CCE}"/>
    <cellStyle name="40% - Accent6 4 4 3" xfId="5840" xr:uid="{00000000-0005-0000-0000-000066070000}"/>
    <cellStyle name="40% - Accent6 4 4 3 2" xfId="14279" xr:uid="{0851709C-4CF6-47C0-97FB-08F807FD056B}"/>
    <cellStyle name="40% - Accent6 4 4 4" xfId="10061" xr:uid="{4A50D3F3-12F1-4017-9A49-3A341CE7B8BF}"/>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4ACBB891-9499-4B41-A5FD-A1D7C129A62E}"/>
    <cellStyle name="40% - Accent6 4 5 2 3" xfId="12619" xr:uid="{95CD9060-A35C-4B66-BDA0-97C18E755A82}"/>
    <cellStyle name="40% - Accent6 4 5 3" xfId="6253" xr:uid="{00000000-0005-0000-0000-00006A070000}"/>
    <cellStyle name="40% - Accent6 4 5 3 2" xfId="14692" xr:uid="{255FFB2D-9D79-452D-BCEB-9415E2CF98FE}"/>
    <cellStyle name="40% - Accent6 4 5 4" xfId="10474" xr:uid="{E1D15BB0-3C34-40DD-B8C6-80C9B9ED454B}"/>
    <cellStyle name="40% - Accent6 4 6" xfId="2359" xr:uid="{00000000-0005-0000-0000-00006B070000}"/>
    <cellStyle name="40% - Accent6 4 6 2" xfId="6666" xr:uid="{00000000-0005-0000-0000-00006C070000}"/>
    <cellStyle name="40% - Accent6 4 6 2 2" xfId="15105" xr:uid="{9F17EFC3-951F-4819-91D7-661D20EB8FD8}"/>
    <cellStyle name="40% - Accent6 4 6 3" xfId="10887" xr:uid="{9692EBE6-148C-46E3-87A1-110FD76D2A0E}"/>
    <cellStyle name="40% - Accent6 4 7" xfId="4600" xr:uid="{00000000-0005-0000-0000-00006D070000}"/>
    <cellStyle name="40% - Accent6 4 7 2" xfId="13039" xr:uid="{0716E6F9-1837-4769-A2F1-043B5DE517DC}"/>
    <cellStyle name="40% - Accent6 4 8" xfId="8821" xr:uid="{7C99291A-05FF-4645-9297-082B7EB48761}"/>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22F2D4B4-8439-4A3C-B60B-FB2C8302744F}"/>
    <cellStyle name="40% - Accent6 5 2 3" xfId="11373" xr:uid="{36FB5082-6901-42C6-8943-461A6DA39098}"/>
    <cellStyle name="40% - Accent6 5 3" xfId="5007" xr:uid="{00000000-0005-0000-0000-000071070000}"/>
    <cellStyle name="40% - Accent6 5 3 2" xfId="13446" xr:uid="{375BABF1-C102-435C-8A32-0E8627066847}"/>
    <cellStyle name="40% - Accent6 5 4" xfId="9228" xr:uid="{95E684AD-08F3-4883-A534-AC2D8BD77EF7}"/>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910E99DE-06D4-4FE0-9CBC-CF217BC15A7E}"/>
    <cellStyle name="40% - Accent6 6 2 3" xfId="11786" xr:uid="{C3BA2C73-74D6-4252-BB5E-EBD6615C28AA}"/>
    <cellStyle name="40% - Accent6 6 3" xfId="5420" xr:uid="{00000000-0005-0000-0000-000075070000}"/>
    <cellStyle name="40% - Accent6 6 3 2" xfId="13859" xr:uid="{8C7F4B1A-090A-490A-AD1A-6E600794C206}"/>
    <cellStyle name="40% - Accent6 6 4" xfId="9641" xr:uid="{70EF9C59-47E8-4279-8C89-C115696F88C6}"/>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EE2607CF-CEEF-4122-9492-469A5CCEE8D9}"/>
    <cellStyle name="40% - Accent6 7 2 3" xfId="12199" xr:uid="{89D4AC98-7C84-46D0-A5C1-3F52FF678EDF}"/>
    <cellStyle name="40% - Accent6 7 3" xfId="5833" xr:uid="{00000000-0005-0000-0000-000079070000}"/>
    <cellStyle name="40% - Accent6 7 3 2" xfId="14272" xr:uid="{3476B15C-BCC2-4A1B-B32B-0CFC6CA24BE6}"/>
    <cellStyle name="40% - Accent6 7 4" xfId="10054" xr:uid="{E6C40A55-3299-4C52-8E9A-E6EDBCCE048C}"/>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82FC85E7-35D9-4C3A-BE60-DB6A29051DB9}"/>
    <cellStyle name="40% - Accent6 8 2 3" xfId="12612" xr:uid="{D83207D7-88B8-4822-80D7-E26C8874C453}"/>
    <cellStyle name="40% - Accent6 8 3" xfId="6246" xr:uid="{00000000-0005-0000-0000-00007D070000}"/>
    <cellStyle name="40% - Accent6 8 3 2" xfId="14685" xr:uid="{3F4B467E-F9E9-4181-A371-FF66795219F1}"/>
    <cellStyle name="40% - Accent6 8 4" xfId="10467" xr:uid="{2F6F01E1-1E94-4B13-BE54-2F295BAD973E}"/>
    <cellStyle name="40% - Accent6 9" xfId="2352" xr:uid="{00000000-0005-0000-0000-00007E070000}"/>
    <cellStyle name="40% - Accent6 9 2" xfId="6659" xr:uid="{00000000-0005-0000-0000-00007F070000}"/>
    <cellStyle name="40% - Accent6 9 2 2" xfId="15098" xr:uid="{902512C7-874B-4EAD-BD2F-2A2ED7FF42F1}"/>
    <cellStyle name="40% - Accent6 9 3" xfId="10880" xr:uid="{C31821D0-E73D-4F63-B297-2381C235358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E5FE3642-437E-4E29-A323-E726506E1C98}"/>
    <cellStyle name="Comma 4 2 2 2 10 3" xfId="11205" xr:uid="{54D47BC4-7252-4DCE-8B3B-908695F05CC4}"/>
    <cellStyle name="Comma 4 2 2 2 11" xfId="4601" xr:uid="{00000000-0005-0000-0000-0000A3070000}"/>
    <cellStyle name="Comma 4 2 2 2 11 2" xfId="13040" xr:uid="{7C1592B9-7D4E-4B8A-9826-18A0B346F432}"/>
    <cellStyle name="Comma 4 2 2 2 12" xfId="8822" xr:uid="{AD1E6201-5C41-4C42-B8BE-594776C1A5A2}"/>
    <cellStyle name="Comma 4 2 2 2 2" xfId="129" xr:uid="{00000000-0005-0000-0000-0000A4070000}"/>
    <cellStyle name="Comma 4 2 2 2 2 10" xfId="4602" xr:uid="{00000000-0005-0000-0000-0000A5070000}"/>
    <cellStyle name="Comma 4 2 2 2 2 10 2" xfId="13041" xr:uid="{44C89AD7-E28A-4E96-A8D7-487B39E5E93C}"/>
    <cellStyle name="Comma 4 2 2 2 2 11" xfId="8823" xr:uid="{4F997B49-AACB-42C0-BD8E-1F650B6CB086}"/>
    <cellStyle name="Comma 4 2 2 2 2 2" xfId="130" xr:uid="{00000000-0005-0000-0000-0000A6070000}"/>
    <cellStyle name="Comma 4 2 2 2 2 2 10" xfId="8824" xr:uid="{E2978490-E464-4EED-849B-C3FB864A55DB}"/>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7A81B1A4-D6EF-4DAD-BCE4-80D2140E372A}"/>
    <cellStyle name="Comma 4 2 2 2 2 2 2 2 3" xfId="11383" xr:uid="{3E019F2C-0ED3-4B52-86B3-411950E96DBA}"/>
    <cellStyle name="Comma 4 2 2 2 2 2 2 3" xfId="5017" xr:uid="{00000000-0005-0000-0000-0000AA070000}"/>
    <cellStyle name="Comma 4 2 2 2 2 2 2 3 2" xfId="13456" xr:uid="{B25A380B-E5CF-4BB7-B0D2-C218A20476A7}"/>
    <cellStyle name="Comma 4 2 2 2 2 2 2 4" xfId="9238" xr:uid="{FFF376A2-711B-4993-A738-AB6AE63BF9A8}"/>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ABD2BD0B-6EBE-4A24-BCA8-D6BE80BD0F0F}"/>
    <cellStyle name="Comma 4 2 2 2 2 2 3 2 3" xfId="11796" xr:uid="{823A13C1-AB0F-4EC8-8C42-1E4AF74E6922}"/>
    <cellStyle name="Comma 4 2 2 2 2 2 3 3" xfId="5430" xr:uid="{00000000-0005-0000-0000-0000AE070000}"/>
    <cellStyle name="Comma 4 2 2 2 2 2 3 3 2" xfId="13869" xr:uid="{12B4727D-3F25-425C-B646-8329308E1D14}"/>
    <cellStyle name="Comma 4 2 2 2 2 2 3 4" xfId="9651" xr:uid="{0F1B5693-0C0A-4A1E-8352-B4660C863EA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64D3D949-BA0B-4C7E-9E61-16C75BD75008}"/>
    <cellStyle name="Comma 4 2 2 2 2 2 4 2 3" xfId="12209" xr:uid="{ADC44B29-E7C7-4E36-AAB5-28CEDAD36FC9}"/>
    <cellStyle name="Comma 4 2 2 2 2 2 4 3" xfId="5843" xr:uid="{00000000-0005-0000-0000-0000B2070000}"/>
    <cellStyle name="Comma 4 2 2 2 2 2 4 3 2" xfId="14282" xr:uid="{6C2162D2-2182-42A1-9AC5-D67B58F992E6}"/>
    <cellStyle name="Comma 4 2 2 2 2 2 4 4" xfId="10064" xr:uid="{6886F6A7-8C62-4F16-A9CB-5DDE433508F9}"/>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07DCEC16-9A8B-4FD2-8253-F6728D5926A7}"/>
    <cellStyle name="Comma 4 2 2 2 2 2 5 2 3" xfId="12622" xr:uid="{DD730464-CDAA-4068-8495-CE9527FADC54}"/>
    <cellStyle name="Comma 4 2 2 2 2 2 5 3" xfId="6256" xr:uid="{00000000-0005-0000-0000-0000B6070000}"/>
    <cellStyle name="Comma 4 2 2 2 2 2 5 3 2" xfId="14695" xr:uid="{84623347-FEFE-4A84-87C6-F1632B8BEB83}"/>
    <cellStyle name="Comma 4 2 2 2 2 2 5 4" xfId="10477" xr:uid="{BB733E1F-C2E8-403D-A1CB-B26F90F2701D}"/>
    <cellStyle name="Comma 4 2 2 2 2 2 6" xfId="2384" xr:uid="{00000000-0005-0000-0000-0000B7070000}"/>
    <cellStyle name="Comma 4 2 2 2 2 2 6 2" xfId="6669" xr:uid="{00000000-0005-0000-0000-0000B8070000}"/>
    <cellStyle name="Comma 4 2 2 2 2 2 6 2 2" xfId="15108" xr:uid="{F3D15C80-1D62-4C1D-8299-94ADF8E5D4E4}"/>
    <cellStyle name="Comma 4 2 2 2 2 2 6 3" xfId="10890" xr:uid="{01811D42-9131-4A91-A95B-1D9CBFAB1E5A}"/>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EA596764-05C9-4E25-A5AF-DF831C1FB116}"/>
    <cellStyle name="Comma 4 2 2 2 2 2 8 3" xfId="11207" xr:uid="{5AE9F079-70F9-4075-988F-EB0A26E4191C}"/>
    <cellStyle name="Comma 4 2 2 2 2 2 9" xfId="4603" xr:uid="{00000000-0005-0000-0000-0000BC070000}"/>
    <cellStyle name="Comma 4 2 2 2 2 2 9 2" xfId="13042" xr:uid="{C0F53DC7-392E-4BAA-B9D2-CAC0893FF648}"/>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C1CA33EA-C158-4A90-99B2-1D6DFD234FE9}"/>
    <cellStyle name="Comma 4 2 2 2 2 3 2 3" xfId="11382" xr:uid="{65F62EBF-D46F-4440-A821-FC3A9C48D4A1}"/>
    <cellStyle name="Comma 4 2 2 2 2 3 3" xfId="5016" xr:uid="{00000000-0005-0000-0000-0000C0070000}"/>
    <cellStyle name="Comma 4 2 2 2 2 3 3 2" xfId="13455" xr:uid="{D9ACD5B7-2530-46D7-9E92-57FCDBB089DC}"/>
    <cellStyle name="Comma 4 2 2 2 2 3 4" xfId="9237" xr:uid="{502A8138-3183-4640-8E2B-9C15F8C0CCAA}"/>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072F74DF-3461-4D6C-A4F1-5BEDBAA524A6}"/>
    <cellStyle name="Comma 4 2 2 2 2 4 2 3" xfId="11795" xr:uid="{1275790D-9851-4C3F-884E-0C90BC8632AF}"/>
    <cellStyle name="Comma 4 2 2 2 2 4 3" xfId="5429" xr:uid="{00000000-0005-0000-0000-0000C4070000}"/>
    <cellStyle name="Comma 4 2 2 2 2 4 3 2" xfId="13868" xr:uid="{D1D126DC-3AAF-402E-A6D7-5EE120A4D0A2}"/>
    <cellStyle name="Comma 4 2 2 2 2 4 4" xfId="9650" xr:uid="{87AA934F-8830-4A20-9153-9C73AE18A5F2}"/>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40DD8182-E2FF-404E-AC4D-431C6E4263A5}"/>
    <cellStyle name="Comma 4 2 2 2 2 5 2 3" xfId="12208" xr:uid="{9B56CF66-A989-4B94-BA32-A2052F42CC2B}"/>
    <cellStyle name="Comma 4 2 2 2 2 5 3" xfId="5842" xr:uid="{00000000-0005-0000-0000-0000C8070000}"/>
    <cellStyle name="Comma 4 2 2 2 2 5 3 2" xfId="14281" xr:uid="{2D874DC2-CFFF-4FAA-A47D-ADA901DB2B43}"/>
    <cellStyle name="Comma 4 2 2 2 2 5 4" xfId="10063" xr:uid="{B3EC2739-8208-4CCE-AA97-6EC898FC30E2}"/>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C44FDBAC-4EB5-4EE5-9827-396D06F468AD}"/>
    <cellStyle name="Comma 4 2 2 2 2 6 2 3" xfId="12621" xr:uid="{4D64413E-6636-496C-B40C-7F8B98BBFC9E}"/>
    <cellStyle name="Comma 4 2 2 2 2 6 3" xfId="6255" xr:uid="{00000000-0005-0000-0000-0000CC070000}"/>
    <cellStyle name="Comma 4 2 2 2 2 6 3 2" xfId="14694" xr:uid="{BDCA095A-1B8F-4429-B8DC-E98C2884D4E4}"/>
    <cellStyle name="Comma 4 2 2 2 2 6 4" xfId="10476" xr:uid="{A9351F1E-AE6A-4FAB-89E4-0BAFF3C3A797}"/>
    <cellStyle name="Comma 4 2 2 2 2 7" xfId="2383" xr:uid="{00000000-0005-0000-0000-0000CD070000}"/>
    <cellStyle name="Comma 4 2 2 2 2 7 2" xfId="6668" xr:uid="{00000000-0005-0000-0000-0000CE070000}"/>
    <cellStyle name="Comma 4 2 2 2 2 7 2 2" xfId="15107" xr:uid="{9DD4914E-43B0-4159-87B3-43812291F6D7}"/>
    <cellStyle name="Comma 4 2 2 2 2 7 3" xfId="10889" xr:uid="{E05759C0-5A80-4F6A-823E-BFFE9799CE3C}"/>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A9A24312-AD52-400C-A2A6-5582D8B7BCB5}"/>
    <cellStyle name="Comma 4 2 2 2 2 9 3" xfId="11206" xr:uid="{F8C9CA5F-0125-4401-AD0D-DC57F349B961}"/>
    <cellStyle name="Comma 4 2 2 2 3" xfId="131" xr:uid="{00000000-0005-0000-0000-0000D2070000}"/>
    <cellStyle name="Comma 4 2 2 2 3 10" xfId="8825" xr:uid="{1E1B4B67-6977-4256-A78B-2962ACB1815E}"/>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1290654C-BFCB-4F1D-9D56-6563DD1FBBD9}"/>
    <cellStyle name="Comma 4 2 2 2 3 2 2 3" xfId="11384" xr:uid="{47E48FFC-860B-4276-B20E-E5344AFFFF21}"/>
    <cellStyle name="Comma 4 2 2 2 3 2 3" xfId="5018" xr:uid="{00000000-0005-0000-0000-0000D6070000}"/>
    <cellStyle name="Comma 4 2 2 2 3 2 3 2" xfId="13457" xr:uid="{62930D31-E04E-4A76-9B41-0B8EBE67DD6C}"/>
    <cellStyle name="Comma 4 2 2 2 3 2 4" xfId="9239" xr:uid="{D4756CED-433E-4A0A-BC47-6CE7241D8EE2}"/>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F1DD1EFF-83D6-4E9D-862A-889360F840F1}"/>
    <cellStyle name="Comma 4 2 2 2 3 3 2 3" xfId="11797" xr:uid="{0F07F206-BA1F-41E1-855C-C3A6F4D2B819}"/>
    <cellStyle name="Comma 4 2 2 2 3 3 3" xfId="5431" xr:uid="{00000000-0005-0000-0000-0000DA070000}"/>
    <cellStyle name="Comma 4 2 2 2 3 3 3 2" xfId="13870" xr:uid="{BB01DAE4-A9AD-4CB6-BEC5-0499E42E7803}"/>
    <cellStyle name="Comma 4 2 2 2 3 3 4" xfId="9652" xr:uid="{E376ABF7-DD83-4271-8C4D-583A26A92B8E}"/>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D2B1F6A9-48C0-48D6-8DCE-9B4F2CFC86FC}"/>
    <cellStyle name="Comma 4 2 2 2 3 4 2 3" xfId="12210" xr:uid="{434AD7F6-23BF-443D-A533-795564E1B6A9}"/>
    <cellStyle name="Comma 4 2 2 2 3 4 3" xfId="5844" xr:uid="{00000000-0005-0000-0000-0000DE070000}"/>
    <cellStyle name="Comma 4 2 2 2 3 4 3 2" xfId="14283" xr:uid="{F1DB674E-56A6-4BBD-AEEF-FEE14B17D38B}"/>
    <cellStyle name="Comma 4 2 2 2 3 4 4" xfId="10065" xr:uid="{D1AEC980-BEE2-4F86-BDC2-2617B32DAEF8}"/>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ABDB2BB6-5C01-4DB4-8313-C14C87E6DD00}"/>
    <cellStyle name="Comma 4 2 2 2 3 5 2 3" xfId="12623" xr:uid="{F5F2E417-AF6D-4DAC-9D22-4CC620549B17}"/>
    <cellStyle name="Comma 4 2 2 2 3 5 3" xfId="6257" xr:uid="{00000000-0005-0000-0000-0000E2070000}"/>
    <cellStyle name="Comma 4 2 2 2 3 5 3 2" xfId="14696" xr:uid="{F24D202F-7806-46AE-A57A-D20AAA16AB5A}"/>
    <cellStyle name="Comma 4 2 2 2 3 5 4" xfId="10478" xr:uid="{6BE20CE3-8F5F-4D59-80BE-2D2429DE727A}"/>
    <cellStyle name="Comma 4 2 2 2 3 6" xfId="2385" xr:uid="{00000000-0005-0000-0000-0000E3070000}"/>
    <cellStyle name="Comma 4 2 2 2 3 6 2" xfId="6670" xr:uid="{00000000-0005-0000-0000-0000E4070000}"/>
    <cellStyle name="Comma 4 2 2 2 3 6 2 2" xfId="15109" xr:uid="{76727513-B857-4C20-8459-CCD910763E00}"/>
    <cellStyle name="Comma 4 2 2 2 3 6 3" xfId="10891" xr:uid="{A7B5BBF0-1AF8-4908-BB9D-31DCCF2575A9}"/>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39E85B44-63E5-426A-B737-885112AE6680}"/>
    <cellStyle name="Comma 4 2 2 2 3 8 3" xfId="11208" xr:uid="{76762BCA-FA63-4D2E-9785-2965132A51CF}"/>
    <cellStyle name="Comma 4 2 2 2 3 9" xfId="4604" xr:uid="{00000000-0005-0000-0000-0000E8070000}"/>
    <cellStyle name="Comma 4 2 2 2 3 9 2" xfId="13043" xr:uid="{A86490E9-CFC5-4439-BED0-E667C10A24ED}"/>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F48A9860-B29D-4477-A782-0288AA8FC42E}"/>
    <cellStyle name="Comma 4 2 2 2 4 2 3" xfId="11381" xr:uid="{19066491-ECB4-4AD7-BC58-EA9FDE0C75E2}"/>
    <cellStyle name="Comma 4 2 2 2 4 3" xfId="5015" xr:uid="{00000000-0005-0000-0000-0000EC070000}"/>
    <cellStyle name="Comma 4 2 2 2 4 3 2" xfId="13454" xr:uid="{9E6A11F2-4C86-4F0A-A4AF-E452EBA15C0E}"/>
    <cellStyle name="Comma 4 2 2 2 4 4" xfId="9236" xr:uid="{FD10023B-4967-41CF-AA7B-BCB8C3682697}"/>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45DBB0DC-F0BD-4C0A-A912-E47BEFEFF5E5}"/>
    <cellStyle name="Comma 4 2 2 2 5 2 3" xfId="11794" xr:uid="{15262BE9-DFDA-4DFF-A90D-ADE1140DA30B}"/>
    <cellStyle name="Comma 4 2 2 2 5 3" xfId="5428" xr:uid="{00000000-0005-0000-0000-0000F0070000}"/>
    <cellStyle name="Comma 4 2 2 2 5 3 2" xfId="13867" xr:uid="{1E7E7738-1525-40B7-B4A4-E01294CAA8A8}"/>
    <cellStyle name="Comma 4 2 2 2 5 4" xfId="9649" xr:uid="{088D474D-B24D-44EA-9728-E4EF0D28A1D3}"/>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89C82213-8F9E-40D4-ADF9-0457C5FE6044}"/>
    <cellStyle name="Comma 4 2 2 2 6 2 3" xfId="12207" xr:uid="{662B5A19-E2AD-46D8-BBBA-7CF3DC3CC7F6}"/>
    <cellStyle name="Comma 4 2 2 2 6 3" xfId="5841" xr:uid="{00000000-0005-0000-0000-0000F4070000}"/>
    <cellStyle name="Comma 4 2 2 2 6 3 2" xfId="14280" xr:uid="{5FF39B5C-C03D-45AF-82EF-7D4F18A6FBF1}"/>
    <cellStyle name="Comma 4 2 2 2 6 4" xfId="10062" xr:uid="{EA002626-85B5-4787-8CEA-E93E9B4DC867}"/>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4D37FEF5-C737-4ECE-93D3-961CB869D35F}"/>
    <cellStyle name="Comma 4 2 2 2 7 2 3" xfId="12620" xr:uid="{C501518A-3E60-4184-95BD-5EFB3ED01DC7}"/>
    <cellStyle name="Comma 4 2 2 2 7 3" xfId="6254" xr:uid="{00000000-0005-0000-0000-0000F8070000}"/>
    <cellStyle name="Comma 4 2 2 2 7 3 2" xfId="14693" xr:uid="{A1007FF1-9DE5-4C76-8D96-05B827B343C9}"/>
    <cellStyle name="Comma 4 2 2 2 7 4" xfId="10475" xr:uid="{2975A03D-813B-4050-AFF6-808C25DA703B}"/>
    <cellStyle name="Comma 4 2 2 2 8" xfId="2382" xr:uid="{00000000-0005-0000-0000-0000F9070000}"/>
    <cellStyle name="Comma 4 2 2 2 8 2" xfId="6667" xr:uid="{00000000-0005-0000-0000-0000FA070000}"/>
    <cellStyle name="Comma 4 2 2 2 8 2 2" xfId="15106" xr:uid="{60DDE1F6-B28F-43C1-B3AC-E4B421420FB4}"/>
    <cellStyle name="Comma 4 2 2 2 8 3" xfId="10888" xr:uid="{F7B09CE1-FF0A-40CD-8902-3217730A486F}"/>
    <cellStyle name="Comma 4 2 2 2 9" xfId="2381" xr:uid="{00000000-0005-0000-0000-0000FB070000}"/>
    <cellStyle name="Comma 4 2 2 3" xfId="132" xr:uid="{00000000-0005-0000-0000-0000FC070000}"/>
    <cellStyle name="Comma 4 2 2 3 10" xfId="4605" xr:uid="{00000000-0005-0000-0000-0000FD070000}"/>
    <cellStyle name="Comma 4 2 2 3 10 2" xfId="13044" xr:uid="{BE208B24-4773-4056-97A6-3161F021F1DB}"/>
    <cellStyle name="Comma 4 2 2 3 11" xfId="8826" xr:uid="{69239C0F-9F31-4F30-89D6-7B414BD6CD14}"/>
    <cellStyle name="Comma 4 2 2 3 2" xfId="133" xr:uid="{00000000-0005-0000-0000-0000FE070000}"/>
    <cellStyle name="Comma 4 2 2 3 2 10" xfId="8827" xr:uid="{A7FFBC5C-E727-4245-83A1-DD38282B9BD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D3EE5003-51AC-48EA-93BC-445FB1984D00}"/>
    <cellStyle name="Comma 4 2 2 3 2 2 2 3" xfId="11386" xr:uid="{7DDC18A0-DDB4-42AE-87C2-B797E6432CB9}"/>
    <cellStyle name="Comma 4 2 2 3 2 2 3" xfId="5020" xr:uid="{00000000-0005-0000-0000-000002080000}"/>
    <cellStyle name="Comma 4 2 2 3 2 2 3 2" xfId="13459" xr:uid="{A00AAA8E-99E2-47F4-A6F1-4370F0E682C0}"/>
    <cellStyle name="Comma 4 2 2 3 2 2 4" xfId="9241" xr:uid="{213B990E-9483-429E-B94E-0776005F4357}"/>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2C9E548B-52C8-4532-8234-129905A0209E}"/>
    <cellStyle name="Comma 4 2 2 3 2 3 2 3" xfId="11799" xr:uid="{D0407CEC-44F5-46D1-82B5-49A8F35629C6}"/>
    <cellStyle name="Comma 4 2 2 3 2 3 3" xfId="5433" xr:uid="{00000000-0005-0000-0000-000006080000}"/>
    <cellStyle name="Comma 4 2 2 3 2 3 3 2" xfId="13872" xr:uid="{AA870C96-E6FE-4ED9-9CE2-6F38A7C2EC4C}"/>
    <cellStyle name="Comma 4 2 2 3 2 3 4" xfId="9654" xr:uid="{9B9BD26D-80D3-4462-BBA0-550FA23DE32E}"/>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43E9AA4A-765E-4F79-B823-C7F1E26857A4}"/>
    <cellStyle name="Comma 4 2 2 3 2 4 2 3" xfId="12212" xr:uid="{A524CE05-AC38-499D-893F-CD40E3C13475}"/>
    <cellStyle name="Comma 4 2 2 3 2 4 3" xfId="5846" xr:uid="{00000000-0005-0000-0000-00000A080000}"/>
    <cellStyle name="Comma 4 2 2 3 2 4 3 2" xfId="14285" xr:uid="{B021644C-50B3-4291-B1CD-F05A8A40E047}"/>
    <cellStyle name="Comma 4 2 2 3 2 4 4" xfId="10067" xr:uid="{A12BA392-1400-4430-885A-D6F46B2F635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7D8FA4A5-D5C2-4A2E-8758-2B482AF2482C}"/>
    <cellStyle name="Comma 4 2 2 3 2 5 2 3" xfId="12625" xr:uid="{F2E16E7E-9A19-4C8E-8CD1-2DC09D78A58C}"/>
    <cellStyle name="Comma 4 2 2 3 2 5 3" xfId="6259" xr:uid="{00000000-0005-0000-0000-00000E080000}"/>
    <cellStyle name="Comma 4 2 2 3 2 5 3 2" xfId="14698" xr:uid="{1E8AD3A4-2DDE-49A6-A4F7-7646E571302D}"/>
    <cellStyle name="Comma 4 2 2 3 2 5 4" xfId="10480" xr:uid="{81CDB2D4-857F-4788-9183-507EA726AE30}"/>
    <cellStyle name="Comma 4 2 2 3 2 6" xfId="2387" xr:uid="{00000000-0005-0000-0000-00000F080000}"/>
    <cellStyle name="Comma 4 2 2 3 2 6 2" xfId="6672" xr:uid="{00000000-0005-0000-0000-000010080000}"/>
    <cellStyle name="Comma 4 2 2 3 2 6 2 2" xfId="15111" xr:uid="{6C9D48BD-C6B3-4E25-B56D-7F8A5D9ADFA5}"/>
    <cellStyle name="Comma 4 2 2 3 2 6 3" xfId="10893" xr:uid="{F96FE62D-7C04-461F-8D86-5572AB97EA7F}"/>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0D6436CA-3265-45FD-B9BB-EEBC4CAAED06}"/>
    <cellStyle name="Comma 4 2 2 3 2 8 3" xfId="11210" xr:uid="{30F74811-2BEA-4637-B7A1-8276E348BDC5}"/>
    <cellStyle name="Comma 4 2 2 3 2 9" xfId="4606" xr:uid="{00000000-0005-0000-0000-000014080000}"/>
    <cellStyle name="Comma 4 2 2 3 2 9 2" xfId="13045" xr:uid="{0B134B24-BEB8-4072-93C3-345BA0746051}"/>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D0F63367-49C5-4078-BF77-599B5ED9FF6F}"/>
    <cellStyle name="Comma 4 2 2 3 3 2 3" xfId="11385" xr:uid="{DE13DDDE-E854-4DD6-B042-F042A143DB35}"/>
    <cellStyle name="Comma 4 2 2 3 3 3" xfId="5019" xr:uid="{00000000-0005-0000-0000-000018080000}"/>
    <cellStyle name="Comma 4 2 2 3 3 3 2" xfId="13458" xr:uid="{D7956710-EDAE-48B9-9A5D-7D07A3DE6F8F}"/>
    <cellStyle name="Comma 4 2 2 3 3 4" xfId="9240" xr:uid="{5A2B2593-BC5B-45BD-B531-ABCABEF6CAFA}"/>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954C80BA-BF0A-489A-95BB-9EA549D2BEDF}"/>
    <cellStyle name="Comma 4 2 2 3 4 2 3" xfId="11798" xr:uid="{B378A6B0-7A40-4871-8AD4-486A17E711A3}"/>
    <cellStyle name="Comma 4 2 2 3 4 3" xfId="5432" xr:uid="{00000000-0005-0000-0000-00001C080000}"/>
    <cellStyle name="Comma 4 2 2 3 4 3 2" xfId="13871" xr:uid="{EDBE288B-0DBC-4CE4-BB91-587BDC0AB979}"/>
    <cellStyle name="Comma 4 2 2 3 4 4" xfId="9653" xr:uid="{7B708CAE-E0A5-49AF-848F-8671E7E62D8F}"/>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7D134F5D-BBAC-41AD-9BA8-75A2E13F086B}"/>
    <cellStyle name="Comma 4 2 2 3 5 2 3" xfId="12211" xr:uid="{9C7F1B5B-8F4E-4B67-859A-8377401A606D}"/>
    <cellStyle name="Comma 4 2 2 3 5 3" xfId="5845" xr:uid="{00000000-0005-0000-0000-000020080000}"/>
    <cellStyle name="Comma 4 2 2 3 5 3 2" xfId="14284" xr:uid="{CD30936F-E825-4B07-A45F-702A28176077}"/>
    <cellStyle name="Comma 4 2 2 3 5 4" xfId="10066" xr:uid="{0B6F8924-6472-48EC-8CC2-2E71C68687C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C1EF1483-902B-40E4-9B9B-BF8407082030}"/>
    <cellStyle name="Comma 4 2 2 3 6 2 3" xfId="12624" xr:uid="{67A93FA1-0E73-44BF-AC95-953B1C67830B}"/>
    <cellStyle name="Comma 4 2 2 3 6 3" xfId="6258" xr:uid="{00000000-0005-0000-0000-000024080000}"/>
    <cellStyle name="Comma 4 2 2 3 6 3 2" xfId="14697" xr:uid="{E9660B78-A588-4C1F-A0F5-5FE61B099AF0}"/>
    <cellStyle name="Comma 4 2 2 3 6 4" xfId="10479" xr:uid="{DD8B601C-4642-4AE2-8B9B-010090BA1AE2}"/>
    <cellStyle name="Comma 4 2 2 3 7" xfId="2386" xr:uid="{00000000-0005-0000-0000-000025080000}"/>
    <cellStyle name="Comma 4 2 2 3 7 2" xfId="6671" xr:uid="{00000000-0005-0000-0000-000026080000}"/>
    <cellStyle name="Comma 4 2 2 3 7 2 2" xfId="15110" xr:uid="{1A868A92-E9D5-48E5-9DA6-FABF295AFD71}"/>
    <cellStyle name="Comma 4 2 2 3 7 3" xfId="10892" xr:uid="{1DCBD1BA-D311-449C-A73D-653E3793DBF3}"/>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1FBF1A01-60A7-4DEB-81BC-70B2E94337C8}"/>
    <cellStyle name="Comma 4 2 2 3 9 3" xfId="11209" xr:uid="{3EC4B4D5-5CAE-4D48-86A5-CABC7D70BB85}"/>
    <cellStyle name="Comma 4 2 2 4" xfId="134" xr:uid="{00000000-0005-0000-0000-00002A080000}"/>
    <cellStyle name="Comma 4 2 2 4 10" xfId="8828" xr:uid="{578E84D6-C230-4C14-A45F-8D90FE8F242A}"/>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013A144E-3A31-403F-9A1A-B83D832553FB}"/>
    <cellStyle name="Comma 4 2 2 4 2 2 3" xfId="11387" xr:uid="{6BDAA7DB-E627-4183-9755-9AF37412ED83}"/>
    <cellStyle name="Comma 4 2 2 4 2 3" xfId="5021" xr:uid="{00000000-0005-0000-0000-00002E080000}"/>
    <cellStyle name="Comma 4 2 2 4 2 3 2" xfId="13460" xr:uid="{5C55B1F7-FC9E-4727-B7E6-485E9C8BD2A0}"/>
    <cellStyle name="Comma 4 2 2 4 2 4" xfId="9242" xr:uid="{7CC0043C-3F08-44C2-85B1-C6CA2BEFFE4D}"/>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F6740F21-1BCE-471D-A63B-AAD747BA03B8}"/>
    <cellStyle name="Comma 4 2 2 4 3 2 3" xfId="11800" xr:uid="{8F14C415-1FDA-4AA4-BDB8-D1C124F61EFF}"/>
    <cellStyle name="Comma 4 2 2 4 3 3" xfId="5434" xr:uid="{00000000-0005-0000-0000-000032080000}"/>
    <cellStyle name="Comma 4 2 2 4 3 3 2" xfId="13873" xr:uid="{1D165F19-2C64-4759-963D-1F6BAD6043C9}"/>
    <cellStyle name="Comma 4 2 2 4 3 4" xfId="9655" xr:uid="{A7416092-FB1D-46A0-A3EF-69BB460C77DF}"/>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4870FE38-F72C-4566-A288-ABC8AEFEEFE1}"/>
    <cellStyle name="Comma 4 2 2 4 4 2 3" xfId="12213" xr:uid="{944415F7-9F24-4717-B541-41D01C496993}"/>
    <cellStyle name="Comma 4 2 2 4 4 3" xfId="5847" xr:uid="{00000000-0005-0000-0000-000036080000}"/>
    <cellStyle name="Comma 4 2 2 4 4 3 2" xfId="14286" xr:uid="{F1D3DB6B-89DE-444B-8F9A-B4FFE23C2A7A}"/>
    <cellStyle name="Comma 4 2 2 4 4 4" xfId="10068" xr:uid="{4D7930A8-9294-41E7-AE4E-AA74F2D04877}"/>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B8FB4708-3A2A-4652-8A83-2719D1E1DF72}"/>
    <cellStyle name="Comma 4 2 2 4 5 2 3" xfId="12626" xr:uid="{83601A17-358A-4593-A69A-456D73D79E36}"/>
    <cellStyle name="Comma 4 2 2 4 5 3" xfId="6260" xr:uid="{00000000-0005-0000-0000-00003A080000}"/>
    <cellStyle name="Comma 4 2 2 4 5 3 2" xfId="14699" xr:uid="{1A984CF5-3F9D-4C29-AC3F-9B6FB7FD3363}"/>
    <cellStyle name="Comma 4 2 2 4 5 4" xfId="10481" xr:uid="{3C57A5FE-9413-4330-BF9D-8F1749188721}"/>
    <cellStyle name="Comma 4 2 2 4 6" xfId="2388" xr:uid="{00000000-0005-0000-0000-00003B080000}"/>
    <cellStyle name="Comma 4 2 2 4 6 2" xfId="6673" xr:uid="{00000000-0005-0000-0000-00003C080000}"/>
    <cellStyle name="Comma 4 2 2 4 6 2 2" xfId="15112" xr:uid="{44E4A237-51A3-4C50-BC5F-81D7572D5353}"/>
    <cellStyle name="Comma 4 2 2 4 6 3" xfId="10894" xr:uid="{A230F055-2606-4B18-9AAB-901A6CEF7FAC}"/>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A23C847C-8A2F-4E12-90F1-8C6B44C35E67}"/>
    <cellStyle name="Comma 4 2 2 4 8 3" xfId="11211" xr:uid="{26EC1431-8C25-4BA8-8670-A01C97C9E155}"/>
    <cellStyle name="Comma 4 2 2 4 9" xfId="4607" xr:uid="{00000000-0005-0000-0000-000040080000}"/>
    <cellStyle name="Comma 4 2 2 4 9 2" xfId="13046" xr:uid="{1BD96565-7570-44E9-B1C9-FA2293C2AE93}"/>
    <cellStyle name="Comma 4 2 2 5" xfId="135" xr:uid="{00000000-0005-0000-0000-000041080000}"/>
    <cellStyle name="Comma 4 2 2 5 10" xfId="8829" xr:uid="{10E77201-8E06-4C23-9D0B-29E65EBA127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4AC23954-2B24-4FA7-A68C-CACB138D62B1}"/>
    <cellStyle name="Comma 4 2 2 5 2 2 3" xfId="11388" xr:uid="{EBD51157-0C1F-494F-B633-6160C401DC35}"/>
    <cellStyle name="Comma 4 2 2 5 2 3" xfId="5022" xr:uid="{00000000-0005-0000-0000-000045080000}"/>
    <cellStyle name="Comma 4 2 2 5 2 3 2" xfId="13461" xr:uid="{084D408D-FFC0-4A65-8BEE-617A86A9CF10}"/>
    <cellStyle name="Comma 4 2 2 5 2 4" xfId="9243" xr:uid="{F6AE5C21-3755-4E1E-AA51-0A85A1BBC0F8}"/>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991BD2AF-10B3-40C8-B2C3-B8128B5603E5}"/>
    <cellStyle name="Comma 4 2 2 5 3 2 3" xfId="11801" xr:uid="{7FFCCCA7-242B-433D-9802-0511700D4B86}"/>
    <cellStyle name="Comma 4 2 2 5 3 3" xfId="5435" xr:uid="{00000000-0005-0000-0000-000049080000}"/>
    <cellStyle name="Comma 4 2 2 5 3 3 2" xfId="13874" xr:uid="{46156CB7-41CB-42FB-AF64-FAFDADEF2786}"/>
    <cellStyle name="Comma 4 2 2 5 3 4" xfId="9656" xr:uid="{53B03AE6-7A17-4CB0-9802-FADD1F155B55}"/>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7FDAC524-2D1B-40F8-8CDB-C57F18B4F6F5}"/>
    <cellStyle name="Comma 4 2 2 5 4 2 3" xfId="12214" xr:uid="{55FCA6B9-3C57-49E2-99B4-3513F6E6EE7E}"/>
    <cellStyle name="Comma 4 2 2 5 4 3" xfId="5848" xr:uid="{00000000-0005-0000-0000-00004D080000}"/>
    <cellStyle name="Comma 4 2 2 5 4 3 2" xfId="14287" xr:uid="{E1AE8904-4C6C-41D9-804E-EA686899EB5E}"/>
    <cellStyle name="Comma 4 2 2 5 4 4" xfId="10069" xr:uid="{66466F65-E7B7-436D-8111-F93341FED1B6}"/>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058B3D00-069A-4925-B7DC-60BF5BB921E2}"/>
    <cellStyle name="Comma 4 2 2 5 5 2 3" xfId="12627" xr:uid="{DA9C930F-B5A1-45EB-B14A-CAEAB5533458}"/>
    <cellStyle name="Comma 4 2 2 5 5 3" xfId="6261" xr:uid="{00000000-0005-0000-0000-000051080000}"/>
    <cellStyle name="Comma 4 2 2 5 5 3 2" xfId="14700" xr:uid="{40A4A8C0-9E91-4590-ADFE-E9A7829D1E51}"/>
    <cellStyle name="Comma 4 2 2 5 5 4" xfId="10482" xr:uid="{BAA1587B-80A3-4C5B-940A-827A7D2582BA}"/>
    <cellStyle name="Comma 4 2 2 5 6" xfId="2389" xr:uid="{00000000-0005-0000-0000-000052080000}"/>
    <cellStyle name="Comma 4 2 2 5 6 2" xfId="6674" xr:uid="{00000000-0005-0000-0000-000053080000}"/>
    <cellStyle name="Comma 4 2 2 5 6 2 2" xfId="15113" xr:uid="{3350EB81-A437-49D2-8396-4911B6BB24B4}"/>
    <cellStyle name="Comma 4 2 2 5 6 3" xfId="10895" xr:uid="{F2E790A5-F391-4DFE-9568-1EADBCAC17D6}"/>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10B5656C-935A-4DD6-AC86-3FA3FBF5E82F}"/>
    <cellStyle name="Comma 4 2 2 5 8 3" xfId="11212" xr:uid="{6ED5DC3C-60D2-4C4E-89F9-12BD7143AEC6}"/>
    <cellStyle name="Comma 4 2 2 5 9" xfId="4608" xr:uid="{00000000-0005-0000-0000-000057080000}"/>
    <cellStyle name="Comma 4 2 2 5 9 2" xfId="13047" xr:uid="{8AF246E9-EFE4-44D0-9CBC-36459E00D9A6}"/>
    <cellStyle name="Comma 4 2 3" xfId="136" xr:uid="{00000000-0005-0000-0000-000058080000}"/>
    <cellStyle name="Comma 4 2 3 10" xfId="2768" xr:uid="{00000000-0005-0000-0000-000059080000}"/>
    <cellStyle name="Comma 4 2 3 10 2" xfId="6992" xr:uid="{00000000-0005-0000-0000-00005A080000}"/>
    <cellStyle name="Comma 4 2 3 10 2 2" xfId="15431" xr:uid="{6F8BD092-CE69-4FD4-BC63-685414C29FBA}"/>
    <cellStyle name="Comma 4 2 3 10 3" xfId="11213" xr:uid="{B917AF4F-3C46-42C0-84C2-31BEDC2A778E}"/>
    <cellStyle name="Comma 4 2 3 11" xfId="4609" xr:uid="{00000000-0005-0000-0000-00005B080000}"/>
    <cellStyle name="Comma 4 2 3 11 2" xfId="13048" xr:uid="{7CF9C1EC-646E-44BC-BC0D-261476F6861F}"/>
    <cellStyle name="Comma 4 2 3 12" xfId="8830" xr:uid="{3745EC26-BE5C-4295-ADAE-C330D6C81D75}"/>
    <cellStyle name="Comma 4 2 3 2" xfId="137" xr:uid="{00000000-0005-0000-0000-00005C080000}"/>
    <cellStyle name="Comma 4 2 3 2 10" xfId="4610" xr:uid="{00000000-0005-0000-0000-00005D080000}"/>
    <cellStyle name="Comma 4 2 3 2 10 2" xfId="13049" xr:uid="{2DF87465-7499-4047-A3B4-04FCBEEFA1A2}"/>
    <cellStyle name="Comma 4 2 3 2 11" xfId="8831" xr:uid="{C2F85004-8D1C-48F4-B856-3609598290EF}"/>
    <cellStyle name="Comma 4 2 3 2 2" xfId="138" xr:uid="{00000000-0005-0000-0000-00005E080000}"/>
    <cellStyle name="Comma 4 2 3 2 2 10" xfId="8832" xr:uid="{DDC7DEBA-0795-4440-AC12-EF2487216E31}"/>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C5740407-01AD-4CBF-808B-E0E29CAA2FDE}"/>
    <cellStyle name="Comma 4 2 3 2 2 2 2 3" xfId="11391" xr:uid="{03F34402-E526-48D3-A6C8-B233EDA5F095}"/>
    <cellStyle name="Comma 4 2 3 2 2 2 3" xfId="5025" xr:uid="{00000000-0005-0000-0000-000062080000}"/>
    <cellStyle name="Comma 4 2 3 2 2 2 3 2" xfId="13464" xr:uid="{46B9D876-60A1-45C8-8A50-5D9A76A16B23}"/>
    <cellStyle name="Comma 4 2 3 2 2 2 4" xfId="9246" xr:uid="{92B9FA5A-0419-497C-8491-B0E56D3E1656}"/>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A0DD9FAD-AB9E-4F69-8821-6C672659115C}"/>
    <cellStyle name="Comma 4 2 3 2 2 3 2 3" xfId="11804" xr:uid="{8417652C-3117-4AAB-9143-DDC6ACE35A5E}"/>
    <cellStyle name="Comma 4 2 3 2 2 3 3" xfId="5438" xr:uid="{00000000-0005-0000-0000-000066080000}"/>
    <cellStyle name="Comma 4 2 3 2 2 3 3 2" xfId="13877" xr:uid="{FE75970B-909A-428B-9784-D3370B100901}"/>
    <cellStyle name="Comma 4 2 3 2 2 3 4" xfId="9659" xr:uid="{633A3BC9-B632-410E-942F-88A53DAB6003}"/>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72AFEA92-D831-4928-8AA5-318321DBA06D}"/>
    <cellStyle name="Comma 4 2 3 2 2 4 2 3" xfId="12217" xr:uid="{1DCFB4C1-D5B1-4898-8AB1-F4604B74F2EC}"/>
    <cellStyle name="Comma 4 2 3 2 2 4 3" xfId="5851" xr:uid="{00000000-0005-0000-0000-00006A080000}"/>
    <cellStyle name="Comma 4 2 3 2 2 4 3 2" xfId="14290" xr:uid="{88530FE7-86CB-4618-9C40-91E8141EA536}"/>
    <cellStyle name="Comma 4 2 3 2 2 4 4" xfId="10072" xr:uid="{12713670-E118-4FAC-8C21-A96C35A4584D}"/>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755B94B0-CA2B-49A3-A993-4EDF65990FD3}"/>
    <cellStyle name="Comma 4 2 3 2 2 5 2 3" xfId="12630" xr:uid="{8104E38D-9E5F-4843-9307-D0CD8C41E24C}"/>
    <cellStyle name="Comma 4 2 3 2 2 5 3" xfId="6264" xr:uid="{00000000-0005-0000-0000-00006E080000}"/>
    <cellStyle name="Comma 4 2 3 2 2 5 3 2" xfId="14703" xr:uid="{DA25F708-C9C7-4DFE-BA58-F2B707CA5D23}"/>
    <cellStyle name="Comma 4 2 3 2 2 5 4" xfId="10485" xr:uid="{CE14A6CB-32CC-4CD4-A14C-322004789DB5}"/>
    <cellStyle name="Comma 4 2 3 2 2 6" xfId="2392" xr:uid="{00000000-0005-0000-0000-00006F080000}"/>
    <cellStyle name="Comma 4 2 3 2 2 6 2" xfId="6677" xr:uid="{00000000-0005-0000-0000-000070080000}"/>
    <cellStyle name="Comma 4 2 3 2 2 6 2 2" xfId="15116" xr:uid="{66654844-EE6D-457B-B1CC-105712054070}"/>
    <cellStyle name="Comma 4 2 3 2 2 6 3" xfId="10898" xr:uid="{FC18ED93-88EE-4AF3-B8B3-C9178CFC7E7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E57E2E8C-1E7B-42A1-AE19-0E2F31D6A151}"/>
    <cellStyle name="Comma 4 2 3 2 2 8 3" xfId="11215" xr:uid="{39084A5F-E3A5-43C3-99E5-69B854F92467}"/>
    <cellStyle name="Comma 4 2 3 2 2 9" xfId="4611" xr:uid="{00000000-0005-0000-0000-000074080000}"/>
    <cellStyle name="Comma 4 2 3 2 2 9 2" xfId="13050" xr:uid="{621EAD85-85DA-46E6-AC13-93A26B58D1BF}"/>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82376129-4986-4CC1-82B8-F38A0B31889D}"/>
    <cellStyle name="Comma 4 2 3 2 3 2 3" xfId="11390" xr:uid="{43A4EF07-69A8-498C-A91B-732C817893D0}"/>
    <cellStyle name="Comma 4 2 3 2 3 3" xfId="5024" xr:uid="{00000000-0005-0000-0000-000078080000}"/>
    <cellStyle name="Comma 4 2 3 2 3 3 2" xfId="13463" xr:uid="{DA6F6900-57E3-4AA4-8CED-255DEFD7A60D}"/>
    <cellStyle name="Comma 4 2 3 2 3 4" xfId="9245" xr:uid="{D4973EB9-C7A1-46DA-881D-F7FEA76155CA}"/>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A480AD52-0377-4F7C-899A-401DC30A3E51}"/>
    <cellStyle name="Comma 4 2 3 2 4 2 3" xfId="11803" xr:uid="{B1CFAC19-46FD-42B3-8B1E-D540E8E04532}"/>
    <cellStyle name="Comma 4 2 3 2 4 3" xfId="5437" xr:uid="{00000000-0005-0000-0000-00007C080000}"/>
    <cellStyle name="Comma 4 2 3 2 4 3 2" xfId="13876" xr:uid="{D5EBAB20-2FF9-426E-9351-9E092ED694B3}"/>
    <cellStyle name="Comma 4 2 3 2 4 4" xfId="9658" xr:uid="{4B757609-DE89-454C-B153-553565FC3603}"/>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C15FB2FA-0B48-4F0C-8B46-2A7CD847F0DD}"/>
    <cellStyle name="Comma 4 2 3 2 5 2 3" xfId="12216" xr:uid="{1308AA8C-875C-44D3-A9EC-11BF56246648}"/>
    <cellStyle name="Comma 4 2 3 2 5 3" xfId="5850" xr:uid="{00000000-0005-0000-0000-000080080000}"/>
    <cellStyle name="Comma 4 2 3 2 5 3 2" xfId="14289" xr:uid="{46C171FA-DC6B-4B21-9483-F2EF7BCAF0E2}"/>
    <cellStyle name="Comma 4 2 3 2 5 4" xfId="10071" xr:uid="{ACD5B2F4-4A37-42C5-845B-71BCA4282465}"/>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4B94AED1-CFAD-47F6-8145-9D182C476DED}"/>
    <cellStyle name="Comma 4 2 3 2 6 2 3" xfId="12629" xr:uid="{64E94F5B-36C9-477C-96D0-D56779ABA553}"/>
    <cellStyle name="Comma 4 2 3 2 6 3" xfId="6263" xr:uid="{00000000-0005-0000-0000-000084080000}"/>
    <cellStyle name="Comma 4 2 3 2 6 3 2" xfId="14702" xr:uid="{E0D43846-AB25-4CC4-9C58-D55ABDE3EFEC}"/>
    <cellStyle name="Comma 4 2 3 2 6 4" xfId="10484" xr:uid="{7C73B949-61E2-42E6-BF51-B0ABD4125D24}"/>
    <cellStyle name="Comma 4 2 3 2 7" xfId="2391" xr:uid="{00000000-0005-0000-0000-000085080000}"/>
    <cellStyle name="Comma 4 2 3 2 7 2" xfId="6676" xr:uid="{00000000-0005-0000-0000-000086080000}"/>
    <cellStyle name="Comma 4 2 3 2 7 2 2" xfId="15115" xr:uid="{E8141EF4-AC36-4999-A728-B8A6734AADFD}"/>
    <cellStyle name="Comma 4 2 3 2 7 3" xfId="10897" xr:uid="{A9A54614-C302-4031-A50C-D21EB36747C3}"/>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2F707703-AA33-43F1-9780-9B016B759D0E}"/>
    <cellStyle name="Comma 4 2 3 2 9 3" xfId="11214" xr:uid="{E129CE54-2A01-41C6-BCFC-DD394BE5F6F2}"/>
    <cellStyle name="Comma 4 2 3 3" xfId="139" xr:uid="{00000000-0005-0000-0000-00008A080000}"/>
    <cellStyle name="Comma 4 2 3 3 10" xfId="8833" xr:uid="{D92EA4D5-4282-4009-A867-D3D98B96BE58}"/>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FB829F2D-58BE-4DD0-B3E2-25580ED10EB2}"/>
    <cellStyle name="Comma 4 2 3 3 2 2 3" xfId="11392" xr:uid="{E26692C0-6B74-42E8-AE1A-AA1E98B689D2}"/>
    <cellStyle name="Comma 4 2 3 3 2 3" xfId="5026" xr:uid="{00000000-0005-0000-0000-00008E080000}"/>
    <cellStyle name="Comma 4 2 3 3 2 3 2" xfId="13465" xr:uid="{BC525273-1C70-467C-A994-296722BAB2C2}"/>
    <cellStyle name="Comma 4 2 3 3 2 4" xfId="9247" xr:uid="{7E677363-8C24-4B40-942C-D1EAC20AD1AE}"/>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D8B55879-9E3C-4CC4-A970-BF3F1F7D1C6A}"/>
    <cellStyle name="Comma 4 2 3 3 3 2 3" xfId="11805" xr:uid="{C9A8B833-8F76-42B6-A728-1781FC7FB5FC}"/>
    <cellStyle name="Comma 4 2 3 3 3 3" xfId="5439" xr:uid="{00000000-0005-0000-0000-000092080000}"/>
    <cellStyle name="Comma 4 2 3 3 3 3 2" xfId="13878" xr:uid="{9203E913-F046-423E-A7C8-BE69BFA808E3}"/>
    <cellStyle name="Comma 4 2 3 3 3 4" xfId="9660" xr:uid="{E4808B8C-75E4-4027-91C2-36ACBDF38A95}"/>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7E02AC5D-74F8-4F39-A5E3-FA679AFB3247}"/>
    <cellStyle name="Comma 4 2 3 3 4 2 3" xfId="12218" xr:uid="{7FAC3CE3-8B4E-44C1-8C2B-D599AA645ECD}"/>
    <cellStyle name="Comma 4 2 3 3 4 3" xfId="5852" xr:uid="{00000000-0005-0000-0000-000096080000}"/>
    <cellStyle name="Comma 4 2 3 3 4 3 2" xfId="14291" xr:uid="{F0801A6D-21DD-4109-A51E-490C76450DB6}"/>
    <cellStyle name="Comma 4 2 3 3 4 4" xfId="10073" xr:uid="{CE07AE98-4522-4CB5-ADAE-A8410F352698}"/>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7239FD65-212F-4755-BAC1-634DBBE52D7F}"/>
    <cellStyle name="Comma 4 2 3 3 5 2 3" xfId="12631" xr:uid="{45965E7E-4A84-4140-9B66-851775EB1767}"/>
    <cellStyle name="Comma 4 2 3 3 5 3" xfId="6265" xr:uid="{00000000-0005-0000-0000-00009A080000}"/>
    <cellStyle name="Comma 4 2 3 3 5 3 2" xfId="14704" xr:uid="{AABD9D39-C412-49D5-BE2B-6A6E025920CA}"/>
    <cellStyle name="Comma 4 2 3 3 5 4" xfId="10486" xr:uid="{E0B69D46-C8BE-4FD8-BBFB-C8E673918196}"/>
    <cellStyle name="Comma 4 2 3 3 6" xfId="2393" xr:uid="{00000000-0005-0000-0000-00009B080000}"/>
    <cellStyle name="Comma 4 2 3 3 6 2" xfId="6678" xr:uid="{00000000-0005-0000-0000-00009C080000}"/>
    <cellStyle name="Comma 4 2 3 3 6 2 2" xfId="15117" xr:uid="{65334574-5499-4ECB-A7D0-E087C86B3180}"/>
    <cellStyle name="Comma 4 2 3 3 6 3" xfId="10899" xr:uid="{480278A9-C12E-4575-9D17-2957A337DCC8}"/>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4CB18956-8998-40D0-907C-8CF87959C57C}"/>
    <cellStyle name="Comma 4 2 3 3 8 3" xfId="11216" xr:uid="{95280894-74CF-4CAA-ACCA-FBE83ED935A0}"/>
    <cellStyle name="Comma 4 2 3 3 9" xfId="4612" xr:uid="{00000000-0005-0000-0000-0000A0080000}"/>
    <cellStyle name="Comma 4 2 3 3 9 2" xfId="13051" xr:uid="{1B09FD25-1A91-436B-A9B3-720F242597F6}"/>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9A310E09-8800-499C-A8AF-B59CFB4C8051}"/>
    <cellStyle name="Comma 4 2 3 4 2 3" xfId="11389" xr:uid="{A5D9E0FC-BA26-4073-BA83-3EA5CEA0A5A0}"/>
    <cellStyle name="Comma 4 2 3 4 3" xfId="5023" xr:uid="{00000000-0005-0000-0000-0000A4080000}"/>
    <cellStyle name="Comma 4 2 3 4 3 2" xfId="13462" xr:uid="{B056D5D2-F73A-464F-8F8B-72954CC89D34}"/>
    <cellStyle name="Comma 4 2 3 4 4" xfId="9244" xr:uid="{3C076455-C71F-43AF-9790-6D7250B04177}"/>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D5E17F9F-4095-4494-8E2C-516FF7FFF98F}"/>
    <cellStyle name="Comma 4 2 3 5 2 3" xfId="11802" xr:uid="{4897312B-FA99-4ADB-BB11-2ABD9C532B4B}"/>
    <cellStyle name="Comma 4 2 3 5 3" xfId="5436" xr:uid="{00000000-0005-0000-0000-0000A8080000}"/>
    <cellStyle name="Comma 4 2 3 5 3 2" xfId="13875" xr:uid="{2AA06CB0-EB77-4F6A-BA60-2C64B4EB9484}"/>
    <cellStyle name="Comma 4 2 3 5 4" xfId="9657" xr:uid="{F6D2DEE4-E1B8-481A-B507-37B662CAD744}"/>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D688E6A5-FBE1-4B48-8EF3-160FB6E6E1CE}"/>
    <cellStyle name="Comma 4 2 3 6 2 3" xfId="12215" xr:uid="{AAC01C0E-D890-4BD7-8BDD-C0EAFC3537B3}"/>
    <cellStyle name="Comma 4 2 3 6 3" xfId="5849" xr:uid="{00000000-0005-0000-0000-0000AC080000}"/>
    <cellStyle name="Comma 4 2 3 6 3 2" xfId="14288" xr:uid="{51F89FAA-FB74-415D-842E-1E4DFC39FA9B}"/>
    <cellStyle name="Comma 4 2 3 6 4" xfId="10070" xr:uid="{CCD4A020-2EB7-4129-8143-2CB900316C40}"/>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EBBC9FF9-1CA5-4D20-9053-91A196C72FB6}"/>
    <cellStyle name="Comma 4 2 3 7 2 3" xfId="12628" xr:uid="{3D705957-41F5-422B-8D79-2F6354E62312}"/>
    <cellStyle name="Comma 4 2 3 7 3" xfId="6262" xr:uid="{00000000-0005-0000-0000-0000B0080000}"/>
    <cellStyle name="Comma 4 2 3 7 3 2" xfId="14701" xr:uid="{F7EC12EB-B35E-4F27-B18B-1591DA4CF8C9}"/>
    <cellStyle name="Comma 4 2 3 7 4" xfId="10483" xr:uid="{D1BE6E9E-35B0-4EA3-A07F-B5463C530622}"/>
    <cellStyle name="Comma 4 2 3 8" xfId="2390" xr:uid="{00000000-0005-0000-0000-0000B1080000}"/>
    <cellStyle name="Comma 4 2 3 8 2" xfId="6675" xr:uid="{00000000-0005-0000-0000-0000B2080000}"/>
    <cellStyle name="Comma 4 2 3 8 2 2" xfId="15114" xr:uid="{E6F7C75C-2D7D-4295-898A-898EABA019B8}"/>
    <cellStyle name="Comma 4 2 3 8 3" xfId="10896" xr:uid="{338F0A76-50F9-44B9-82B4-08D12C77488F}"/>
    <cellStyle name="Comma 4 2 3 9" xfId="2373" xr:uid="{00000000-0005-0000-0000-0000B3080000}"/>
    <cellStyle name="Comma 4 2 4" xfId="140" xr:uid="{00000000-0005-0000-0000-0000B4080000}"/>
    <cellStyle name="Comma 4 2 4 10" xfId="4613" xr:uid="{00000000-0005-0000-0000-0000B5080000}"/>
    <cellStyle name="Comma 4 2 4 10 2" xfId="13052" xr:uid="{B476B0B0-EDD7-4694-9B41-2BB74F1CA356}"/>
    <cellStyle name="Comma 4 2 4 11" xfId="8834" xr:uid="{4970AD86-0E3B-4D35-8913-A991B1D80DC4}"/>
    <cellStyle name="Comma 4 2 4 2" xfId="141" xr:uid="{00000000-0005-0000-0000-0000B6080000}"/>
    <cellStyle name="Comma 4 2 4 2 10" xfId="8835" xr:uid="{8877EE4E-646F-4B9B-A94D-EA04245CF82B}"/>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84319A2C-09D5-412B-96D1-D26EC0953778}"/>
    <cellStyle name="Comma 4 2 4 2 2 2 3" xfId="11394" xr:uid="{8E42E26D-188F-4C8F-9EEA-C9D0A0577BC2}"/>
    <cellStyle name="Comma 4 2 4 2 2 3" xfId="5028" xr:uid="{00000000-0005-0000-0000-0000BA080000}"/>
    <cellStyle name="Comma 4 2 4 2 2 3 2" xfId="13467" xr:uid="{7D9A47C1-61CB-43CE-A9FE-90BCCA3D7F14}"/>
    <cellStyle name="Comma 4 2 4 2 2 4" xfId="9249" xr:uid="{10FD993D-BBB4-4DA3-B41A-748B7A4925E4}"/>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1F12FEEE-0A59-40B9-876E-6BA8AB1FC026}"/>
    <cellStyle name="Comma 4 2 4 2 3 2 3" xfId="11807" xr:uid="{B7AF022C-86FA-472A-AA57-4CBA8D8C48B5}"/>
    <cellStyle name="Comma 4 2 4 2 3 3" xfId="5441" xr:uid="{00000000-0005-0000-0000-0000BE080000}"/>
    <cellStyle name="Comma 4 2 4 2 3 3 2" xfId="13880" xr:uid="{74AEDE03-40D3-49E3-BC15-E5CBD5360A95}"/>
    <cellStyle name="Comma 4 2 4 2 3 4" xfId="9662" xr:uid="{1791AC35-6ABA-4667-9A69-2A5249036F7B}"/>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2A35DF9E-33E2-4A68-A2FC-037E43A53B0E}"/>
    <cellStyle name="Comma 4 2 4 2 4 2 3" xfId="12220" xr:uid="{BF04FA23-5BF8-411A-B7D5-28C45B1D7B4C}"/>
    <cellStyle name="Comma 4 2 4 2 4 3" xfId="5854" xr:uid="{00000000-0005-0000-0000-0000C2080000}"/>
    <cellStyle name="Comma 4 2 4 2 4 3 2" xfId="14293" xr:uid="{3363EE65-62CC-4058-AA7F-97098F47D73C}"/>
    <cellStyle name="Comma 4 2 4 2 4 4" xfId="10075" xr:uid="{96FE6268-5973-4AAC-BF46-28B33FC2F903}"/>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BCAEC926-436D-4DE5-9B80-8A6FDE6B510A}"/>
    <cellStyle name="Comma 4 2 4 2 5 2 3" xfId="12633" xr:uid="{B3F55E01-248C-407A-9E4E-ED93001CD2FD}"/>
    <cellStyle name="Comma 4 2 4 2 5 3" xfId="6267" xr:uid="{00000000-0005-0000-0000-0000C6080000}"/>
    <cellStyle name="Comma 4 2 4 2 5 3 2" xfId="14706" xr:uid="{A80235D3-4574-4236-9FCA-B6D92C0F6EB3}"/>
    <cellStyle name="Comma 4 2 4 2 5 4" xfId="10488" xr:uid="{33A4DC24-980E-4C5B-B065-829DBDDF20F2}"/>
    <cellStyle name="Comma 4 2 4 2 6" xfId="2395" xr:uid="{00000000-0005-0000-0000-0000C7080000}"/>
    <cellStyle name="Comma 4 2 4 2 6 2" xfId="6680" xr:uid="{00000000-0005-0000-0000-0000C8080000}"/>
    <cellStyle name="Comma 4 2 4 2 6 2 2" xfId="15119" xr:uid="{98C31CB9-B803-48F8-9A8B-7D021D020A66}"/>
    <cellStyle name="Comma 4 2 4 2 6 3" xfId="10901" xr:uid="{F90B0BCE-BFD1-481B-A16D-BD3D0BBB4280}"/>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18AB3A1A-5656-4792-9E08-773CCFEB292A}"/>
    <cellStyle name="Comma 4 2 4 2 8 3" xfId="11218" xr:uid="{67184E91-1FED-49C6-939E-8623B06CFA64}"/>
    <cellStyle name="Comma 4 2 4 2 9" xfId="4614" xr:uid="{00000000-0005-0000-0000-0000CC080000}"/>
    <cellStyle name="Comma 4 2 4 2 9 2" xfId="13053" xr:uid="{8FE2726F-3124-4D24-A377-5953DED137AB}"/>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E0CCAB7F-9357-45A8-B755-52088A0603A2}"/>
    <cellStyle name="Comma 4 2 4 3 2 3" xfId="11393" xr:uid="{D5CF8D1F-D424-4AF4-9B90-43B18DAF4415}"/>
    <cellStyle name="Comma 4 2 4 3 3" xfId="5027" xr:uid="{00000000-0005-0000-0000-0000D0080000}"/>
    <cellStyle name="Comma 4 2 4 3 3 2" xfId="13466" xr:uid="{FFCB6FA9-06A4-41D0-9940-EA031FB53380}"/>
    <cellStyle name="Comma 4 2 4 3 4" xfId="9248" xr:uid="{E9ECE758-09A0-4546-ADF8-4880931D839D}"/>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F3141701-1362-4D62-8E80-225EC201637D}"/>
    <cellStyle name="Comma 4 2 4 4 2 3" xfId="11806" xr:uid="{42AFD409-4FE7-4FD6-9D9D-339FF93DB1D8}"/>
    <cellStyle name="Comma 4 2 4 4 3" xfId="5440" xr:uid="{00000000-0005-0000-0000-0000D4080000}"/>
    <cellStyle name="Comma 4 2 4 4 3 2" xfId="13879" xr:uid="{17A8B210-1DA8-40B0-BEEC-BFAA90A46221}"/>
    <cellStyle name="Comma 4 2 4 4 4" xfId="9661" xr:uid="{8643892B-8FA6-47D3-947E-805DB262CC6A}"/>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A4E2E0C7-406E-4600-80D2-5848E1483BFD}"/>
    <cellStyle name="Comma 4 2 4 5 2 3" xfId="12219" xr:uid="{C6375442-F183-4EE6-BF54-02F42F4B1438}"/>
    <cellStyle name="Comma 4 2 4 5 3" xfId="5853" xr:uid="{00000000-0005-0000-0000-0000D8080000}"/>
    <cellStyle name="Comma 4 2 4 5 3 2" xfId="14292" xr:uid="{9E6A1333-14B5-4DFB-8D5C-9D4EB78CA486}"/>
    <cellStyle name="Comma 4 2 4 5 4" xfId="10074" xr:uid="{D397DA43-EEBF-4E87-A9BF-ABB8C6F85CD3}"/>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2041189F-2BF4-42B6-A6C1-1BD9E3B2A918}"/>
    <cellStyle name="Comma 4 2 4 6 2 3" xfId="12632" xr:uid="{4FC5DD42-68CB-4006-B6FD-9B3A74EFE71E}"/>
    <cellStyle name="Comma 4 2 4 6 3" xfId="6266" xr:uid="{00000000-0005-0000-0000-0000DC080000}"/>
    <cellStyle name="Comma 4 2 4 6 3 2" xfId="14705" xr:uid="{25F73799-D7A8-4372-90A1-63F98E71C369}"/>
    <cellStyle name="Comma 4 2 4 6 4" xfId="10487" xr:uid="{EF1D80B3-90E4-41F0-A322-C23621B0EB02}"/>
    <cellStyle name="Comma 4 2 4 7" xfId="2394" xr:uid="{00000000-0005-0000-0000-0000DD080000}"/>
    <cellStyle name="Comma 4 2 4 7 2" xfId="6679" xr:uid="{00000000-0005-0000-0000-0000DE080000}"/>
    <cellStyle name="Comma 4 2 4 7 2 2" xfId="15118" xr:uid="{2361FA2C-EFA9-4D84-A7FE-CBF58AD0A12D}"/>
    <cellStyle name="Comma 4 2 4 7 3" xfId="10900" xr:uid="{930C9604-F19A-4B80-B9B6-56FDA17F9125}"/>
    <cellStyle name="Comma 4 2 4 8" xfId="2369" xr:uid="{00000000-0005-0000-0000-0000DF080000}"/>
    <cellStyle name="Comma 4 2 4 9" xfId="2772" xr:uid="{00000000-0005-0000-0000-0000E0080000}"/>
    <cellStyle name="Comma 4 2 4 9 2" xfId="6996" xr:uid="{00000000-0005-0000-0000-0000E1080000}"/>
    <cellStyle name="Comma 4 2 4 9 2 2" xfId="15435" xr:uid="{0DA3F081-B5AE-4F14-B7BB-6F7762EE4AC6}"/>
    <cellStyle name="Comma 4 2 4 9 3" xfId="11217" xr:uid="{7C0C67CE-4EF2-4744-AEA2-16FFB5C59DC2}"/>
    <cellStyle name="Comma 4 2 5" xfId="142" xr:uid="{00000000-0005-0000-0000-0000E2080000}"/>
    <cellStyle name="Comma 4 2 5 10" xfId="8836" xr:uid="{120FCCA5-3947-4EE2-BA64-B56FD784A70B}"/>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1F008A2F-8FA5-4AA0-8618-0E3752543037}"/>
    <cellStyle name="Comma 4 2 5 2 2 3" xfId="11395" xr:uid="{720EA773-E5DA-4C4F-839C-2325A78E0505}"/>
    <cellStyle name="Comma 4 2 5 2 3" xfId="5029" xr:uid="{00000000-0005-0000-0000-0000E6080000}"/>
    <cellStyle name="Comma 4 2 5 2 3 2" xfId="13468" xr:uid="{53EB8617-7051-4634-B775-CEE790FC1127}"/>
    <cellStyle name="Comma 4 2 5 2 4" xfId="9250" xr:uid="{CDFD069F-89E1-41B1-A381-0314792F0423}"/>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8D066019-7F5C-48CA-BA2A-C8CCF1AC123C}"/>
    <cellStyle name="Comma 4 2 5 3 2 3" xfId="11808" xr:uid="{C67108E2-8CB3-4B7C-8241-1A0CF6AC6324}"/>
    <cellStyle name="Comma 4 2 5 3 3" xfId="5442" xr:uid="{00000000-0005-0000-0000-0000EA080000}"/>
    <cellStyle name="Comma 4 2 5 3 3 2" xfId="13881" xr:uid="{B4D8BD39-F273-4B20-9300-15429D55814F}"/>
    <cellStyle name="Comma 4 2 5 3 4" xfId="9663" xr:uid="{6A90A9B5-D60A-45F8-9FBF-B91B9E511EA6}"/>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5826E0CC-F165-4598-89F2-81E7D693B36B}"/>
    <cellStyle name="Comma 4 2 5 4 2 3" xfId="12221" xr:uid="{A31D204E-4D7F-4CB6-933F-ED95AEB86630}"/>
    <cellStyle name="Comma 4 2 5 4 3" xfId="5855" xr:uid="{00000000-0005-0000-0000-0000EE080000}"/>
    <cellStyle name="Comma 4 2 5 4 3 2" xfId="14294" xr:uid="{50224720-EC0E-4A2A-BFE7-4F02868C2C21}"/>
    <cellStyle name="Comma 4 2 5 4 4" xfId="10076" xr:uid="{E45FC6CE-57A6-49A0-B7A3-5BD5E0E74777}"/>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414ECF3A-DBB8-4523-BC6B-50FD6B98ACE8}"/>
    <cellStyle name="Comma 4 2 5 5 2 3" xfId="12634" xr:uid="{6985FCD8-14E2-47A4-8D11-D24ABB240831}"/>
    <cellStyle name="Comma 4 2 5 5 3" xfId="6268" xr:uid="{00000000-0005-0000-0000-0000F2080000}"/>
    <cellStyle name="Comma 4 2 5 5 3 2" xfId="14707" xr:uid="{754E97BA-4184-454F-AAC1-F7FC33223FB6}"/>
    <cellStyle name="Comma 4 2 5 5 4" xfId="10489" xr:uid="{B59685EA-0159-4124-98D3-D8F3060AF9E0}"/>
    <cellStyle name="Comma 4 2 5 6" xfId="2396" xr:uid="{00000000-0005-0000-0000-0000F3080000}"/>
    <cellStyle name="Comma 4 2 5 6 2" xfId="6681" xr:uid="{00000000-0005-0000-0000-0000F4080000}"/>
    <cellStyle name="Comma 4 2 5 6 2 2" xfId="15120" xr:uid="{A9FB40A2-75B6-445A-8B5A-B3362B9BAEE2}"/>
    <cellStyle name="Comma 4 2 5 6 3" xfId="10902" xr:uid="{7956558D-4655-4EAA-942D-2B3642AA517E}"/>
    <cellStyle name="Comma 4 2 5 7" xfId="2367" xr:uid="{00000000-0005-0000-0000-0000F5080000}"/>
    <cellStyle name="Comma 4 2 5 8" xfId="2774" xr:uid="{00000000-0005-0000-0000-0000F6080000}"/>
    <cellStyle name="Comma 4 2 5 8 2" xfId="6998" xr:uid="{00000000-0005-0000-0000-0000F7080000}"/>
    <cellStyle name="Comma 4 2 5 8 2 2" xfId="15437" xr:uid="{0057D6BA-73C3-46D3-8A26-10834F91B28A}"/>
    <cellStyle name="Comma 4 2 5 8 3" xfId="11219" xr:uid="{69852DC3-E138-4162-BF17-A4828A86E6CD}"/>
    <cellStyle name="Comma 4 2 5 9" xfId="4615" xr:uid="{00000000-0005-0000-0000-0000F8080000}"/>
    <cellStyle name="Comma 4 2 5 9 2" xfId="13054" xr:uid="{92D559FA-5575-408F-B832-438810E35C4B}"/>
    <cellStyle name="Comma 4 2 6" xfId="143" xr:uid="{00000000-0005-0000-0000-0000F9080000}"/>
    <cellStyle name="Comma 4 2 6 10" xfId="8837" xr:uid="{76A2257A-FF5B-47F5-8E6C-FBA3E001E4B1}"/>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127B117E-F68A-4FAC-9CAE-F66C97433D94}"/>
    <cellStyle name="Comma 4 2 6 2 2 3" xfId="11396" xr:uid="{1F05B594-BCC6-4A4E-9F36-056F461FC9FB}"/>
    <cellStyle name="Comma 4 2 6 2 3" xfId="5030" xr:uid="{00000000-0005-0000-0000-0000FD080000}"/>
    <cellStyle name="Comma 4 2 6 2 3 2" xfId="13469" xr:uid="{76B81451-5E89-44A2-95E8-6A73CD0A7111}"/>
    <cellStyle name="Comma 4 2 6 2 4" xfId="9251" xr:uid="{67FF37D6-51AF-4991-833E-7B500C18C0B5}"/>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77BD4598-8ED6-4B2C-BCE1-EC3E6E0A1C93}"/>
    <cellStyle name="Comma 4 2 6 3 2 3" xfId="11809" xr:uid="{DEB124D9-D826-40F9-95E7-7772A671D3A1}"/>
    <cellStyle name="Comma 4 2 6 3 3" xfId="5443" xr:uid="{00000000-0005-0000-0000-000001090000}"/>
    <cellStyle name="Comma 4 2 6 3 3 2" xfId="13882" xr:uid="{D9E02942-1352-4CDA-A545-AB0F73148A6A}"/>
    <cellStyle name="Comma 4 2 6 3 4" xfId="9664" xr:uid="{A402BA33-52F6-447A-BB24-21440C44E9ED}"/>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A40F9CB7-F806-4320-BFBB-121FEC27003C}"/>
    <cellStyle name="Comma 4 2 6 4 2 3" xfId="12222" xr:uid="{3F2BD852-E984-41B0-AF0B-16CBD6204E3A}"/>
    <cellStyle name="Comma 4 2 6 4 3" xfId="5856" xr:uid="{00000000-0005-0000-0000-000005090000}"/>
    <cellStyle name="Comma 4 2 6 4 3 2" xfId="14295" xr:uid="{44963E74-5E6F-47CF-A17A-6583EC5BB7C9}"/>
    <cellStyle name="Comma 4 2 6 4 4" xfId="10077" xr:uid="{3AAC458E-D268-4F9F-A596-D26A3E1C0612}"/>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B78FB5BF-8D94-4823-A379-E4CA8F69DCAF}"/>
    <cellStyle name="Comma 4 2 6 5 2 3" xfId="12635" xr:uid="{979E5089-CE14-4A90-9A3C-85E306C463C0}"/>
    <cellStyle name="Comma 4 2 6 5 3" xfId="6269" xr:uid="{00000000-0005-0000-0000-000009090000}"/>
    <cellStyle name="Comma 4 2 6 5 3 2" xfId="14708" xr:uid="{CECEE3A8-CBC6-4D5F-B2CE-2B5FFE5A9846}"/>
    <cellStyle name="Comma 4 2 6 5 4" xfId="10490" xr:uid="{CD64B0B9-2E30-4414-B026-A7A500D4717A}"/>
    <cellStyle name="Comma 4 2 6 6" xfId="2397" xr:uid="{00000000-0005-0000-0000-00000A090000}"/>
    <cellStyle name="Comma 4 2 6 6 2" xfId="6682" xr:uid="{00000000-0005-0000-0000-00000B090000}"/>
    <cellStyle name="Comma 4 2 6 6 2 2" xfId="15121" xr:uid="{1921FF61-06EB-4678-A1B0-BE5523CFC84C}"/>
    <cellStyle name="Comma 4 2 6 6 3" xfId="10903" xr:uid="{815A3F21-365B-45C3-B7FE-CF158E76C7A5}"/>
    <cellStyle name="Comma 4 2 6 7" xfId="2366" xr:uid="{00000000-0005-0000-0000-00000C090000}"/>
    <cellStyle name="Comma 4 2 6 8" xfId="2775" xr:uid="{00000000-0005-0000-0000-00000D090000}"/>
    <cellStyle name="Comma 4 2 6 8 2" xfId="6999" xr:uid="{00000000-0005-0000-0000-00000E090000}"/>
    <cellStyle name="Comma 4 2 6 8 2 2" xfId="15438" xr:uid="{D9FBA0F9-4F6B-4986-BCAF-BF7D3B70771C}"/>
    <cellStyle name="Comma 4 2 6 8 3" xfId="11220" xr:uid="{292CC0D1-2177-43DE-8FBF-9BC0E1B44877}"/>
    <cellStyle name="Comma 4 2 6 9" xfId="4616" xr:uid="{00000000-0005-0000-0000-00000F090000}"/>
    <cellStyle name="Comma 4 2 6 9 2" xfId="13055" xr:uid="{C92387CC-AE11-439A-8596-1CE9A14AD51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AA3F29D6-03BD-4A64-ABC6-207BB4125F83}"/>
    <cellStyle name="Comma 4 3 2 10 3" xfId="11221" xr:uid="{0A54F287-98D0-48CB-98FE-CFCD5E051C74}"/>
    <cellStyle name="Comma 4 3 2 11" xfId="4617" xr:uid="{00000000-0005-0000-0000-000014090000}"/>
    <cellStyle name="Comma 4 3 2 11 2" xfId="13056" xr:uid="{207ECDEF-3148-43B6-B21F-E5AAFFBEC318}"/>
    <cellStyle name="Comma 4 3 2 12" xfId="8838" xr:uid="{650A5438-D746-4DC6-B6D1-7C301BF749BC}"/>
    <cellStyle name="Comma 4 3 2 2" xfId="146" xr:uid="{00000000-0005-0000-0000-000015090000}"/>
    <cellStyle name="Comma 4 3 2 2 10" xfId="4618" xr:uid="{00000000-0005-0000-0000-000016090000}"/>
    <cellStyle name="Comma 4 3 2 2 10 2" xfId="13057" xr:uid="{4C95E160-CA0C-4E44-8DC4-733AABEBCC35}"/>
    <cellStyle name="Comma 4 3 2 2 11" xfId="8839" xr:uid="{94E08F80-0C25-4B1F-9A23-55F4315CDA34}"/>
    <cellStyle name="Comma 4 3 2 2 2" xfId="147" xr:uid="{00000000-0005-0000-0000-000017090000}"/>
    <cellStyle name="Comma 4 3 2 2 2 10" xfId="8840" xr:uid="{26001313-3D44-4017-8AA6-1F64FD85BC67}"/>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CC874D68-835B-4771-A773-243A2A6A177E}"/>
    <cellStyle name="Comma 4 3 2 2 2 2 2 3" xfId="11399" xr:uid="{DCD67B1E-799D-48C6-A6ED-83B58E13AF81}"/>
    <cellStyle name="Comma 4 3 2 2 2 2 3" xfId="5033" xr:uid="{00000000-0005-0000-0000-00001B090000}"/>
    <cellStyle name="Comma 4 3 2 2 2 2 3 2" xfId="13472" xr:uid="{8DCC7CFA-0047-49B4-8DF5-5CFE7E936AA3}"/>
    <cellStyle name="Comma 4 3 2 2 2 2 4" xfId="9254" xr:uid="{24158AAB-DA65-4987-98DC-F017B6055C0C}"/>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6E9794F0-FC40-49A4-A8F0-4DE2FF80DB6A}"/>
    <cellStyle name="Comma 4 3 2 2 2 3 2 3" xfId="11812" xr:uid="{8EC17888-E881-4C5B-B578-B962D0B4F5D2}"/>
    <cellStyle name="Comma 4 3 2 2 2 3 3" xfId="5446" xr:uid="{00000000-0005-0000-0000-00001F090000}"/>
    <cellStyle name="Comma 4 3 2 2 2 3 3 2" xfId="13885" xr:uid="{02F5B64C-531D-45C0-BC52-A9CB5AFCAAA1}"/>
    <cellStyle name="Comma 4 3 2 2 2 3 4" xfId="9667" xr:uid="{7542686C-4931-4376-A2EC-59C3F510F49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AC93B018-5C30-4425-8395-E8F8AF3B96DC}"/>
    <cellStyle name="Comma 4 3 2 2 2 4 2 3" xfId="12225" xr:uid="{DB3F17CD-FAFB-4465-972A-4E113016D0DA}"/>
    <cellStyle name="Comma 4 3 2 2 2 4 3" xfId="5859" xr:uid="{00000000-0005-0000-0000-000023090000}"/>
    <cellStyle name="Comma 4 3 2 2 2 4 3 2" xfId="14298" xr:uid="{64A37CE6-6772-448C-B750-B71F2609F25A}"/>
    <cellStyle name="Comma 4 3 2 2 2 4 4" xfId="10080" xr:uid="{44EF74C2-BCDC-43A1-AB2E-666D5ED1F80D}"/>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14746120-D9B2-49E0-A26E-4D33364D85B2}"/>
    <cellStyle name="Comma 4 3 2 2 2 5 2 3" xfId="12638" xr:uid="{BF2F85E5-A041-4A60-8002-4F5D3AF7EA9D}"/>
    <cellStyle name="Comma 4 3 2 2 2 5 3" xfId="6272" xr:uid="{00000000-0005-0000-0000-000027090000}"/>
    <cellStyle name="Comma 4 3 2 2 2 5 3 2" xfId="14711" xr:uid="{4303E695-9D48-4973-95BC-1A097E811AE6}"/>
    <cellStyle name="Comma 4 3 2 2 2 5 4" xfId="10493" xr:uid="{284DD332-73D8-41D3-ACC5-6778F63A6659}"/>
    <cellStyle name="Comma 4 3 2 2 2 6" xfId="2400" xr:uid="{00000000-0005-0000-0000-000028090000}"/>
    <cellStyle name="Comma 4 3 2 2 2 6 2" xfId="6685" xr:uid="{00000000-0005-0000-0000-000029090000}"/>
    <cellStyle name="Comma 4 3 2 2 2 6 2 2" xfId="15124" xr:uid="{08A07D15-6A66-43EA-BC67-2C656B6F2DAD}"/>
    <cellStyle name="Comma 4 3 2 2 2 6 3" xfId="10906" xr:uid="{721F61D9-C421-4E85-B319-52DEFEB50773}"/>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C3F80728-3204-4C00-8773-F59EF90F5A93}"/>
    <cellStyle name="Comma 4 3 2 2 2 8 3" xfId="11223" xr:uid="{103C0052-5D9A-468A-B5B2-2C512F3EAB14}"/>
    <cellStyle name="Comma 4 3 2 2 2 9" xfId="4619" xr:uid="{00000000-0005-0000-0000-00002D090000}"/>
    <cellStyle name="Comma 4 3 2 2 2 9 2" xfId="13058" xr:uid="{8F764FA9-A2BC-4F27-B4A1-D392E747B16E}"/>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D7D6D7C1-6283-4F2C-860C-F102BC009654}"/>
    <cellStyle name="Comma 4 3 2 2 3 2 3" xfId="11398" xr:uid="{6297265F-CE53-4CE0-9570-410D9C83BB95}"/>
    <cellStyle name="Comma 4 3 2 2 3 3" xfId="5032" xr:uid="{00000000-0005-0000-0000-000031090000}"/>
    <cellStyle name="Comma 4 3 2 2 3 3 2" xfId="13471" xr:uid="{573410EC-6EE7-4C74-9F89-20F013C09869}"/>
    <cellStyle name="Comma 4 3 2 2 3 4" xfId="9253" xr:uid="{9F7A16CB-471B-4234-9A54-84E7DA7CEABD}"/>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C50745C9-3D55-4E17-9A74-D7EAFC2EA670}"/>
    <cellStyle name="Comma 4 3 2 2 4 2 3" xfId="11811" xr:uid="{C1DE5224-4EF0-46F8-B184-06C29FA44134}"/>
    <cellStyle name="Comma 4 3 2 2 4 3" xfId="5445" xr:uid="{00000000-0005-0000-0000-000035090000}"/>
    <cellStyle name="Comma 4 3 2 2 4 3 2" xfId="13884" xr:uid="{83990602-50F5-4305-9A25-0E5C6DAE87DF}"/>
    <cellStyle name="Comma 4 3 2 2 4 4" xfId="9666" xr:uid="{C40E1B64-C947-46C1-A5E9-43C1E4BB7CDB}"/>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89EBB32D-6933-4BC1-AFF6-89ABB5820A88}"/>
    <cellStyle name="Comma 4 3 2 2 5 2 3" xfId="12224" xr:uid="{7FB18E61-0BE8-4002-8F5F-136B074B6AA1}"/>
    <cellStyle name="Comma 4 3 2 2 5 3" xfId="5858" xr:uid="{00000000-0005-0000-0000-000039090000}"/>
    <cellStyle name="Comma 4 3 2 2 5 3 2" xfId="14297" xr:uid="{251D65B2-3BB1-4EE6-AA47-0AEBB589FF73}"/>
    <cellStyle name="Comma 4 3 2 2 5 4" xfId="10079" xr:uid="{DB9F053D-C597-4401-A3DF-951FFC8982C5}"/>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C4A855BB-7CF0-4872-B53A-D41E08EDB61F}"/>
    <cellStyle name="Comma 4 3 2 2 6 2 3" xfId="12637" xr:uid="{7824650E-AD2C-4DF2-B4AA-1079D726DE14}"/>
    <cellStyle name="Comma 4 3 2 2 6 3" xfId="6271" xr:uid="{00000000-0005-0000-0000-00003D090000}"/>
    <cellStyle name="Comma 4 3 2 2 6 3 2" xfId="14710" xr:uid="{9BC8E5EE-6FFB-4F7C-B961-069D752EF9D7}"/>
    <cellStyle name="Comma 4 3 2 2 6 4" xfId="10492" xr:uid="{11C847D8-DDEB-497C-81AF-BB9354433C95}"/>
    <cellStyle name="Comma 4 3 2 2 7" xfId="2399" xr:uid="{00000000-0005-0000-0000-00003E090000}"/>
    <cellStyle name="Comma 4 3 2 2 7 2" xfId="6684" xr:uid="{00000000-0005-0000-0000-00003F090000}"/>
    <cellStyle name="Comma 4 3 2 2 7 2 2" xfId="15123" xr:uid="{7287EEFC-F9C9-4F8E-995B-0C82EBE122A9}"/>
    <cellStyle name="Comma 4 3 2 2 7 3" xfId="10905" xr:uid="{BEA08B0F-E586-4E3F-BC3B-CE0A609B81BF}"/>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2F57CAF9-4106-4FB8-83EA-7089EF9A4FAF}"/>
    <cellStyle name="Comma 4 3 2 2 9 3" xfId="11222" xr:uid="{7CD61F75-3067-44B6-AAF4-B95CED797CDC}"/>
    <cellStyle name="Comma 4 3 2 3" xfId="148" xr:uid="{00000000-0005-0000-0000-000043090000}"/>
    <cellStyle name="Comma 4 3 2 3 10" xfId="8841" xr:uid="{2E9CE5CC-2904-4D7B-9F81-DF44A0DA60BF}"/>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92D2FE36-3DF8-462A-B8B8-5632246D879F}"/>
    <cellStyle name="Comma 4 3 2 3 2 2 3" xfId="11400" xr:uid="{47003592-1339-46EA-BFFC-B3FAFC2B373A}"/>
    <cellStyle name="Comma 4 3 2 3 2 3" xfId="5034" xr:uid="{00000000-0005-0000-0000-000047090000}"/>
    <cellStyle name="Comma 4 3 2 3 2 3 2" xfId="13473" xr:uid="{B9932F74-227E-42BF-85AD-22F8FAAC36C5}"/>
    <cellStyle name="Comma 4 3 2 3 2 4" xfId="9255" xr:uid="{AB0756C4-831B-4134-930E-77B9AD965B6E}"/>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FFCCCE75-B54E-450B-8750-545FD8D5B142}"/>
    <cellStyle name="Comma 4 3 2 3 3 2 3" xfId="11813" xr:uid="{630FA5FB-D012-41D0-AF27-F11629E1A5E1}"/>
    <cellStyle name="Comma 4 3 2 3 3 3" xfId="5447" xr:uid="{00000000-0005-0000-0000-00004B090000}"/>
    <cellStyle name="Comma 4 3 2 3 3 3 2" xfId="13886" xr:uid="{2343AE8D-E466-4C83-84A0-A7403E104DB8}"/>
    <cellStyle name="Comma 4 3 2 3 3 4" xfId="9668" xr:uid="{CC6E7C8C-7955-48AF-924A-B50EDC4BDE56}"/>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85667004-FE69-449C-AB90-40AFD6927A87}"/>
    <cellStyle name="Comma 4 3 2 3 4 2 3" xfId="12226" xr:uid="{0649BA7C-989D-419F-8B3D-394058165CCC}"/>
    <cellStyle name="Comma 4 3 2 3 4 3" xfId="5860" xr:uid="{00000000-0005-0000-0000-00004F090000}"/>
    <cellStyle name="Comma 4 3 2 3 4 3 2" xfId="14299" xr:uid="{B0DF23AE-593A-4B06-A18C-CC809D57C7D6}"/>
    <cellStyle name="Comma 4 3 2 3 4 4" xfId="10081" xr:uid="{6E99FA54-EFA5-47DA-8EE5-F1F9135142C9}"/>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E5685B95-B775-42E4-904C-D646766C27FE}"/>
    <cellStyle name="Comma 4 3 2 3 5 2 3" xfId="12639" xr:uid="{17E266CB-C678-4605-B129-8AD1E8D1DA30}"/>
    <cellStyle name="Comma 4 3 2 3 5 3" xfId="6273" xr:uid="{00000000-0005-0000-0000-000053090000}"/>
    <cellStyle name="Comma 4 3 2 3 5 3 2" xfId="14712" xr:uid="{E57BEDF1-8A8A-4D2C-AF9C-657CCCA207C8}"/>
    <cellStyle name="Comma 4 3 2 3 5 4" xfId="10494" xr:uid="{62A77E18-669E-4CD9-BC53-4E8C56FF259F}"/>
    <cellStyle name="Comma 4 3 2 3 6" xfId="2401" xr:uid="{00000000-0005-0000-0000-000054090000}"/>
    <cellStyle name="Comma 4 3 2 3 6 2" xfId="6686" xr:uid="{00000000-0005-0000-0000-000055090000}"/>
    <cellStyle name="Comma 4 3 2 3 6 2 2" xfId="15125" xr:uid="{9A7F42AE-BDF0-432D-AC80-9D5EB5C1204C}"/>
    <cellStyle name="Comma 4 3 2 3 6 3" xfId="10907" xr:uid="{C4AD8967-0896-4C45-B789-18E6DB81C613}"/>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E4790415-6887-4EE8-82E0-B08BA366303F}"/>
    <cellStyle name="Comma 4 3 2 3 8 3" xfId="11224" xr:uid="{63F14055-C79F-4FCD-84A9-F4DC6138689F}"/>
    <cellStyle name="Comma 4 3 2 3 9" xfId="4620" xr:uid="{00000000-0005-0000-0000-000059090000}"/>
    <cellStyle name="Comma 4 3 2 3 9 2" xfId="13059" xr:uid="{07B06233-3DB4-42C5-A65D-432D5812CBAD}"/>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940B5051-74E0-4D66-9F3F-5E3AC710C220}"/>
    <cellStyle name="Comma 4 3 2 4 2 3" xfId="11397" xr:uid="{618BCB1A-A015-4E83-9864-C917785169A1}"/>
    <cellStyle name="Comma 4 3 2 4 3" xfId="5031" xr:uid="{00000000-0005-0000-0000-00005D090000}"/>
    <cellStyle name="Comma 4 3 2 4 3 2" xfId="13470" xr:uid="{137F379B-A739-42F5-8A2A-FDEC65F4E6B9}"/>
    <cellStyle name="Comma 4 3 2 4 4" xfId="9252" xr:uid="{2C1579E1-5661-4333-B12B-03F74C86FF68}"/>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2AA507A5-F09A-4C01-A803-D3F507D5BCEC}"/>
    <cellStyle name="Comma 4 3 2 5 2 3" xfId="11810" xr:uid="{4F935172-B344-4D77-9324-91E7D6180708}"/>
    <cellStyle name="Comma 4 3 2 5 3" xfId="5444" xr:uid="{00000000-0005-0000-0000-000061090000}"/>
    <cellStyle name="Comma 4 3 2 5 3 2" xfId="13883" xr:uid="{41AE2CBE-1EC1-4882-AE53-082570145A4A}"/>
    <cellStyle name="Comma 4 3 2 5 4" xfId="9665" xr:uid="{95502692-C1F0-4385-BDE8-C9C6F16DEB22}"/>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BD5ADA40-D133-42F1-A53B-B433C0FDF2F8}"/>
    <cellStyle name="Comma 4 3 2 6 2 3" xfId="12223" xr:uid="{C2D35F82-D53E-4333-9F3A-F65EF3F67AC3}"/>
    <cellStyle name="Comma 4 3 2 6 3" xfId="5857" xr:uid="{00000000-0005-0000-0000-000065090000}"/>
    <cellStyle name="Comma 4 3 2 6 3 2" xfId="14296" xr:uid="{DBF1C23D-F802-446F-882D-756CBE9829FD}"/>
    <cellStyle name="Comma 4 3 2 6 4" xfId="10078" xr:uid="{69E732DA-0C59-4CBD-9E66-36018D85B821}"/>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5FCFB702-1B33-4125-99A2-7AA1FD8BEBAE}"/>
    <cellStyle name="Comma 4 3 2 7 2 3" xfId="12636" xr:uid="{5C10E250-E997-4367-8069-21A8A169A72C}"/>
    <cellStyle name="Comma 4 3 2 7 3" xfId="6270" xr:uid="{00000000-0005-0000-0000-000069090000}"/>
    <cellStyle name="Comma 4 3 2 7 3 2" xfId="14709" xr:uid="{47289833-9233-45D8-9231-CBC109068604}"/>
    <cellStyle name="Comma 4 3 2 7 4" xfId="10491" xr:uid="{35622902-E8EF-4965-96E0-E372BE3A0697}"/>
    <cellStyle name="Comma 4 3 2 8" xfId="2398" xr:uid="{00000000-0005-0000-0000-00006A090000}"/>
    <cellStyle name="Comma 4 3 2 8 2" xfId="6683" xr:uid="{00000000-0005-0000-0000-00006B090000}"/>
    <cellStyle name="Comma 4 3 2 8 2 2" xfId="15122" xr:uid="{AFA57159-AE77-4F42-AF1E-EE1105AD9A3A}"/>
    <cellStyle name="Comma 4 3 2 8 3" xfId="10904" xr:uid="{15030E9B-C25F-403B-8D19-49EB2B0647AC}"/>
    <cellStyle name="Comma 4 3 2 9" xfId="2365" xr:uid="{00000000-0005-0000-0000-00006C090000}"/>
    <cellStyle name="Comma 4 3 3" xfId="149" xr:uid="{00000000-0005-0000-0000-00006D090000}"/>
    <cellStyle name="Comma 4 3 3 10" xfId="4621" xr:uid="{00000000-0005-0000-0000-00006E090000}"/>
    <cellStyle name="Comma 4 3 3 10 2" xfId="13060" xr:uid="{BC179B07-C009-4B8F-AD75-551E8AD907FE}"/>
    <cellStyle name="Comma 4 3 3 11" xfId="8842" xr:uid="{D1B9E610-476C-4294-887D-8FF0EC64A43E}"/>
    <cellStyle name="Comma 4 3 3 2" xfId="150" xr:uid="{00000000-0005-0000-0000-00006F090000}"/>
    <cellStyle name="Comma 4 3 3 2 10" xfId="8843" xr:uid="{8FF59B46-FD3C-4F84-9791-088BC31D375F}"/>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5A6AD603-3A7F-4496-948B-28A103EE2110}"/>
    <cellStyle name="Comma 4 3 3 2 2 2 3" xfId="11402" xr:uid="{B60627E9-546A-4FDC-B509-6E9AD1722E3C}"/>
    <cellStyle name="Comma 4 3 3 2 2 3" xfId="5036" xr:uid="{00000000-0005-0000-0000-000073090000}"/>
    <cellStyle name="Comma 4 3 3 2 2 3 2" xfId="13475" xr:uid="{88984CAD-14F3-43A9-9F30-B045A2937081}"/>
    <cellStyle name="Comma 4 3 3 2 2 4" xfId="9257" xr:uid="{81C5B5F9-23F7-4A99-BBC4-9F15ECFA7BF2}"/>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7859F5C4-A6B0-49B2-A9D1-A50D26F5D78A}"/>
    <cellStyle name="Comma 4 3 3 2 3 2 3" xfId="11815" xr:uid="{FD9E82F5-C54D-4DF1-BC02-D03C52F97EB1}"/>
    <cellStyle name="Comma 4 3 3 2 3 3" xfId="5449" xr:uid="{00000000-0005-0000-0000-000077090000}"/>
    <cellStyle name="Comma 4 3 3 2 3 3 2" xfId="13888" xr:uid="{B7113031-27EA-4670-A368-1723DE1D3EFD}"/>
    <cellStyle name="Comma 4 3 3 2 3 4" xfId="9670" xr:uid="{8817905D-02DA-49B9-815D-5B37F742B838}"/>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05FCBDD8-8A4B-4214-A51A-24F9B7A5FBAF}"/>
    <cellStyle name="Comma 4 3 3 2 4 2 3" xfId="12228" xr:uid="{43A1EEAA-D8FE-404C-8CB1-0D5F731A2B26}"/>
    <cellStyle name="Comma 4 3 3 2 4 3" xfId="5862" xr:uid="{00000000-0005-0000-0000-00007B090000}"/>
    <cellStyle name="Comma 4 3 3 2 4 3 2" xfId="14301" xr:uid="{6D2DB647-16A1-4F4E-B548-88CF97B17F65}"/>
    <cellStyle name="Comma 4 3 3 2 4 4" xfId="10083" xr:uid="{08F26E42-423F-4DCB-ACE2-750F6B37DB06}"/>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84E97576-74BE-4798-AFA9-B61E91249D36}"/>
    <cellStyle name="Comma 4 3 3 2 5 2 3" xfId="12641" xr:uid="{484FAA31-5030-4494-8BA9-1EEBCC47A5F0}"/>
    <cellStyle name="Comma 4 3 3 2 5 3" xfId="6275" xr:uid="{00000000-0005-0000-0000-00007F090000}"/>
    <cellStyle name="Comma 4 3 3 2 5 3 2" xfId="14714" xr:uid="{A845F8DE-810B-4559-8008-06BC50FC90B5}"/>
    <cellStyle name="Comma 4 3 3 2 5 4" xfId="10496" xr:uid="{9D9046F1-DB00-4283-AD1B-87133CF54B8E}"/>
    <cellStyle name="Comma 4 3 3 2 6" xfId="2403" xr:uid="{00000000-0005-0000-0000-000080090000}"/>
    <cellStyle name="Comma 4 3 3 2 6 2" xfId="6688" xr:uid="{00000000-0005-0000-0000-000081090000}"/>
    <cellStyle name="Comma 4 3 3 2 6 2 2" xfId="15127" xr:uid="{89AB0292-085C-4421-A0B7-C646F3C320D0}"/>
    <cellStyle name="Comma 4 3 3 2 6 3" xfId="10909" xr:uid="{3762B692-87B0-4A65-AD3B-0C2CCECB3319}"/>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DF643C20-1C47-4C0F-AEFB-E6AE10A4362D}"/>
    <cellStyle name="Comma 4 3 3 2 8 3" xfId="11226" xr:uid="{98C72FEA-BF2A-435D-87F8-F189DF46651C}"/>
    <cellStyle name="Comma 4 3 3 2 9" xfId="4622" xr:uid="{00000000-0005-0000-0000-000085090000}"/>
    <cellStyle name="Comma 4 3 3 2 9 2" xfId="13061" xr:uid="{36D1EA3E-3A3F-49D7-B71E-75957FAF24F0}"/>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6440C29B-CFF3-4B6D-863E-04735A50C40C}"/>
    <cellStyle name="Comma 4 3 3 3 2 3" xfId="11401" xr:uid="{C17DFCDC-70B8-4191-B2A6-5FF0D51EF71A}"/>
    <cellStyle name="Comma 4 3 3 3 3" xfId="5035" xr:uid="{00000000-0005-0000-0000-000089090000}"/>
    <cellStyle name="Comma 4 3 3 3 3 2" xfId="13474" xr:uid="{A36E0719-D858-4435-AD22-8274C2253761}"/>
    <cellStyle name="Comma 4 3 3 3 4" xfId="9256" xr:uid="{40DE57E6-2693-4FBC-9689-57F6AFEC4D30}"/>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1B399F9D-35AE-4C01-9AB3-6BC6F0BE0595}"/>
    <cellStyle name="Comma 4 3 3 4 2 3" xfId="11814" xr:uid="{ACCCE8E1-736C-4D84-AFE1-26134B6DDC85}"/>
    <cellStyle name="Comma 4 3 3 4 3" xfId="5448" xr:uid="{00000000-0005-0000-0000-00008D090000}"/>
    <cellStyle name="Comma 4 3 3 4 3 2" xfId="13887" xr:uid="{E4DD9F73-9C26-49DC-A4A8-8C726E5424DE}"/>
    <cellStyle name="Comma 4 3 3 4 4" xfId="9669" xr:uid="{661972A6-DE6E-4402-BC39-0C90CE2002CD}"/>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E33AABEB-8098-4A88-B991-75A37FC5C26D}"/>
    <cellStyle name="Comma 4 3 3 5 2 3" xfId="12227" xr:uid="{C67438CC-8123-4C41-8242-72CAE5B48A09}"/>
    <cellStyle name="Comma 4 3 3 5 3" xfId="5861" xr:uid="{00000000-0005-0000-0000-000091090000}"/>
    <cellStyle name="Comma 4 3 3 5 3 2" xfId="14300" xr:uid="{014334DE-0724-4D0B-95BC-6632B2F17D3C}"/>
    <cellStyle name="Comma 4 3 3 5 4" xfId="10082" xr:uid="{C52C2354-35DF-4E44-8A22-69DFD1E63408}"/>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726FF577-EA66-4386-A3A4-F976D316385A}"/>
    <cellStyle name="Comma 4 3 3 6 2 3" xfId="12640" xr:uid="{024AB221-9D7B-4EBA-BDC2-39A03F22B2AF}"/>
    <cellStyle name="Comma 4 3 3 6 3" xfId="6274" xr:uid="{00000000-0005-0000-0000-000095090000}"/>
    <cellStyle name="Comma 4 3 3 6 3 2" xfId="14713" xr:uid="{DBDB42D1-3C72-42AF-95DE-660613C3BA35}"/>
    <cellStyle name="Comma 4 3 3 6 4" xfId="10495" xr:uid="{7465AF04-2D7D-4147-A500-1C8AE0369D72}"/>
    <cellStyle name="Comma 4 3 3 7" xfId="2402" xr:uid="{00000000-0005-0000-0000-000096090000}"/>
    <cellStyle name="Comma 4 3 3 7 2" xfId="6687" xr:uid="{00000000-0005-0000-0000-000097090000}"/>
    <cellStyle name="Comma 4 3 3 7 2 2" xfId="15126" xr:uid="{A091E154-F40F-45AB-A6D4-BED21A2D6842}"/>
    <cellStyle name="Comma 4 3 3 7 3" xfId="10908" xr:uid="{0E682ED3-B735-4A35-A6E1-56D18AE3D567}"/>
    <cellStyle name="Comma 4 3 3 8" xfId="2361" xr:uid="{00000000-0005-0000-0000-000098090000}"/>
    <cellStyle name="Comma 4 3 3 9" xfId="2780" xr:uid="{00000000-0005-0000-0000-000099090000}"/>
    <cellStyle name="Comma 4 3 3 9 2" xfId="7004" xr:uid="{00000000-0005-0000-0000-00009A090000}"/>
    <cellStyle name="Comma 4 3 3 9 2 2" xfId="15443" xr:uid="{0CE261CA-06CC-4DB3-BCC6-23F443080D7D}"/>
    <cellStyle name="Comma 4 3 3 9 3" xfId="11225" xr:uid="{47B8E088-CB73-4C97-A6ED-23D498E8F038}"/>
    <cellStyle name="Comma 4 3 4" xfId="151" xr:uid="{00000000-0005-0000-0000-00009B090000}"/>
    <cellStyle name="Comma 4 3 4 10" xfId="8844" xr:uid="{3C2F0CAB-0BFB-4A8D-8BE8-A0C36EA350CB}"/>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530D7CC8-98FC-483F-99EE-9ACA98F20D3D}"/>
    <cellStyle name="Comma 4 3 4 2 2 3" xfId="11403" xr:uid="{2028B050-243B-45E5-8344-AD364ACD9238}"/>
    <cellStyle name="Comma 4 3 4 2 3" xfId="5037" xr:uid="{00000000-0005-0000-0000-00009F090000}"/>
    <cellStyle name="Comma 4 3 4 2 3 2" xfId="13476" xr:uid="{FED8268A-D5A0-4304-BB50-BC96E57C71A1}"/>
    <cellStyle name="Comma 4 3 4 2 4" xfId="9258" xr:uid="{8B9809D6-5CD1-4A09-9ADF-FA4BE82BF7E4}"/>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8423E50F-36E0-4AFC-B00B-DF72608717BB}"/>
    <cellStyle name="Comma 4 3 4 3 2 3" xfId="11816" xr:uid="{EE675F7A-0DE6-40D7-8D1B-0FFEC7E42696}"/>
    <cellStyle name="Comma 4 3 4 3 3" xfId="5450" xr:uid="{00000000-0005-0000-0000-0000A3090000}"/>
    <cellStyle name="Comma 4 3 4 3 3 2" xfId="13889" xr:uid="{7DD79E7D-9622-4665-94D3-D890108AF0BE}"/>
    <cellStyle name="Comma 4 3 4 3 4" xfId="9671" xr:uid="{58D563D0-638E-47BA-BCCB-4FCFAE2784D3}"/>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3EC9A5E7-C89E-41D0-AD2E-3487922A3F47}"/>
    <cellStyle name="Comma 4 3 4 4 2 3" xfId="12229" xr:uid="{598627ED-B2A0-4B1C-A249-8F752FB99421}"/>
    <cellStyle name="Comma 4 3 4 4 3" xfId="5863" xr:uid="{00000000-0005-0000-0000-0000A7090000}"/>
    <cellStyle name="Comma 4 3 4 4 3 2" xfId="14302" xr:uid="{7BDEDED3-D1C9-44E5-9968-1BC8454EB42B}"/>
    <cellStyle name="Comma 4 3 4 4 4" xfId="10084" xr:uid="{57F42867-BBD8-46D1-B447-3975334BAD55}"/>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9262C1BA-E651-4DA2-8B0A-462233D29CBA}"/>
    <cellStyle name="Comma 4 3 4 5 2 3" xfId="12642" xr:uid="{47A1E7CD-CC5D-49F6-8D6A-7A7871F0E692}"/>
    <cellStyle name="Comma 4 3 4 5 3" xfId="6276" xr:uid="{00000000-0005-0000-0000-0000AB090000}"/>
    <cellStyle name="Comma 4 3 4 5 3 2" xfId="14715" xr:uid="{9F83C4EE-D13A-4E7C-ADA6-EFE3370FA2B1}"/>
    <cellStyle name="Comma 4 3 4 5 4" xfId="10497" xr:uid="{5C03AAE0-D471-4DCB-BC81-F3EF26A54809}"/>
    <cellStyle name="Comma 4 3 4 6" xfId="2404" xr:uid="{00000000-0005-0000-0000-0000AC090000}"/>
    <cellStyle name="Comma 4 3 4 6 2" xfId="6689" xr:uid="{00000000-0005-0000-0000-0000AD090000}"/>
    <cellStyle name="Comma 4 3 4 6 2 2" xfId="15128" xr:uid="{0A7EB5A1-506C-4AC7-B4EA-9582BA0E76B7}"/>
    <cellStyle name="Comma 4 3 4 6 3" xfId="10910" xr:uid="{75C84613-2803-48BE-9A85-836A6CEFAB90}"/>
    <cellStyle name="Comma 4 3 4 7" xfId="2700" xr:uid="{00000000-0005-0000-0000-0000AE090000}"/>
    <cellStyle name="Comma 4 3 4 8" xfId="2782" xr:uid="{00000000-0005-0000-0000-0000AF090000}"/>
    <cellStyle name="Comma 4 3 4 8 2" xfId="7006" xr:uid="{00000000-0005-0000-0000-0000B0090000}"/>
    <cellStyle name="Comma 4 3 4 8 2 2" xfId="15445" xr:uid="{056E20BA-48A4-4AB7-8AF9-CC2508D19813}"/>
    <cellStyle name="Comma 4 3 4 8 3" xfId="11227" xr:uid="{ADCBE9EA-B63B-4F98-A11D-E3BE5909DA76}"/>
    <cellStyle name="Comma 4 3 4 9" xfId="4623" xr:uid="{00000000-0005-0000-0000-0000B1090000}"/>
    <cellStyle name="Comma 4 3 4 9 2" xfId="13062" xr:uid="{F47E0EF7-B7A6-4B43-B64C-7B323F5E1D0D}"/>
    <cellStyle name="Comma 4 3 5" xfId="152" xr:uid="{00000000-0005-0000-0000-0000B2090000}"/>
    <cellStyle name="Comma 4 3 5 10" xfId="8845" xr:uid="{58CDE808-CA18-4175-9E31-1CC52FDF3223}"/>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CE4121D0-35CD-45AC-9CC2-5F6AFB79DAB9}"/>
    <cellStyle name="Comma 4 3 5 2 2 3" xfId="11404" xr:uid="{E1D94F48-66AE-495C-BA99-75C3A074A8AE}"/>
    <cellStyle name="Comma 4 3 5 2 3" xfId="5038" xr:uid="{00000000-0005-0000-0000-0000B6090000}"/>
    <cellStyle name="Comma 4 3 5 2 3 2" xfId="13477" xr:uid="{6E68FEEC-BF6E-4D38-AE49-4BB756E6E537}"/>
    <cellStyle name="Comma 4 3 5 2 4" xfId="9259" xr:uid="{7A8A6D3B-85D2-49EB-9E39-800566F68E9B}"/>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BDD0A96C-F43C-4B95-BAAD-908A0C495732}"/>
    <cellStyle name="Comma 4 3 5 3 2 3" xfId="11817" xr:uid="{FC630C13-E454-4015-8E52-DA6EA14229AF}"/>
    <cellStyle name="Comma 4 3 5 3 3" xfId="5451" xr:uid="{00000000-0005-0000-0000-0000BA090000}"/>
    <cellStyle name="Comma 4 3 5 3 3 2" xfId="13890" xr:uid="{B3DF0837-3BA5-4D4E-86FE-AD8A7076ED0C}"/>
    <cellStyle name="Comma 4 3 5 3 4" xfId="9672" xr:uid="{973A38A2-BF81-4F9C-9F1E-47AC711BF8C3}"/>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C1BAD69A-E84C-4468-813B-A5443849B794}"/>
    <cellStyle name="Comma 4 3 5 4 2 3" xfId="12230" xr:uid="{EA714D9E-CD8D-4738-9F6E-5751ACF71B37}"/>
    <cellStyle name="Comma 4 3 5 4 3" xfId="5864" xr:uid="{00000000-0005-0000-0000-0000BE090000}"/>
    <cellStyle name="Comma 4 3 5 4 3 2" xfId="14303" xr:uid="{5E847C52-4180-4D60-939D-F795A585C256}"/>
    <cellStyle name="Comma 4 3 5 4 4" xfId="10085" xr:uid="{8EBCE303-7772-4E0A-BF3D-DD1E7BC8A8A9}"/>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17F0FE4E-B95E-40C0-BB8B-317D9E8F7B9A}"/>
    <cellStyle name="Comma 4 3 5 5 2 3" xfId="12643" xr:uid="{FBD85311-56E5-4277-8B08-D75107CE03EF}"/>
    <cellStyle name="Comma 4 3 5 5 3" xfId="6277" xr:uid="{00000000-0005-0000-0000-0000C2090000}"/>
    <cellStyle name="Comma 4 3 5 5 3 2" xfId="14716" xr:uid="{9548DCA2-E3BB-491D-B5C1-8CFFA2CF410C}"/>
    <cellStyle name="Comma 4 3 5 5 4" xfId="10498" xr:uid="{C11122EE-A352-487F-8717-9D2B29BFFF56}"/>
    <cellStyle name="Comma 4 3 5 6" xfId="2405" xr:uid="{00000000-0005-0000-0000-0000C3090000}"/>
    <cellStyle name="Comma 4 3 5 6 2" xfId="6690" xr:uid="{00000000-0005-0000-0000-0000C4090000}"/>
    <cellStyle name="Comma 4 3 5 6 2 2" xfId="15129" xr:uid="{F685B567-2EFE-47E1-AF47-244FB3C43FF7}"/>
    <cellStyle name="Comma 4 3 5 6 3" xfId="10911" xr:uid="{A9D23B29-FDD7-411C-A37B-B2BA3FDB1C81}"/>
    <cellStyle name="Comma 4 3 5 7" xfId="2701" xr:uid="{00000000-0005-0000-0000-0000C5090000}"/>
    <cellStyle name="Comma 4 3 5 8" xfId="2783" xr:uid="{00000000-0005-0000-0000-0000C6090000}"/>
    <cellStyle name="Comma 4 3 5 8 2" xfId="7007" xr:uid="{00000000-0005-0000-0000-0000C7090000}"/>
    <cellStyle name="Comma 4 3 5 8 2 2" xfId="15446" xr:uid="{4AB17BCB-44C0-49A5-B91C-09E8E25893D5}"/>
    <cellStyle name="Comma 4 3 5 8 3" xfId="11228" xr:uid="{954ED85E-E07E-4980-A1F4-9E5FA5E697A7}"/>
    <cellStyle name="Comma 4 3 5 9" xfId="4624" xr:uid="{00000000-0005-0000-0000-0000C8090000}"/>
    <cellStyle name="Comma 4 3 5 9 2" xfId="13063" xr:uid="{A603FD1A-E4D8-4177-B895-9B0CDDD14841}"/>
    <cellStyle name="Comma 4 4" xfId="153" xr:uid="{00000000-0005-0000-0000-0000C9090000}"/>
    <cellStyle name="Comma 4 4 10" xfId="2784" xr:uid="{00000000-0005-0000-0000-0000CA090000}"/>
    <cellStyle name="Comma 4 4 10 2" xfId="7008" xr:uid="{00000000-0005-0000-0000-0000CB090000}"/>
    <cellStyle name="Comma 4 4 10 2 2" xfId="15447" xr:uid="{36A7168C-3764-4C1D-B0FE-496B334C3663}"/>
    <cellStyle name="Comma 4 4 10 3" xfId="11229" xr:uid="{49653FBB-8BBA-4DF1-87A3-1FF92A5259A9}"/>
    <cellStyle name="Comma 4 4 11" xfId="4625" xr:uid="{00000000-0005-0000-0000-0000CC090000}"/>
    <cellStyle name="Comma 4 4 11 2" xfId="13064" xr:uid="{210F2CBF-106C-4A2C-906E-CE890F93F45C}"/>
    <cellStyle name="Comma 4 4 12" xfId="8846" xr:uid="{168E22B9-3C7D-4213-BD03-BF8317CA1949}"/>
    <cellStyle name="Comma 4 4 2" xfId="154" xr:uid="{00000000-0005-0000-0000-0000CD090000}"/>
    <cellStyle name="Comma 4 4 2 10" xfId="4626" xr:uid="{00000000-0005-0000-0000-0000CE090000}"/>
    <cellStyle name="Comma 4 4 2 10 2" xfId="13065" xr:uid="{A218257C-C2F8-46E3-9E15-038F35231B73}"/>
    <cellStyle name="Comma 4 4 2 11" xfId="8847" xr:uid="{9974BAB5-13C2-4F1B-9BA5-7E1C4232D88B}"/>
    <cellStyle name="Comma 4 4 2 2" xfId="155" xr:uid="{00000000-0005-0000-0000-0000CF090000}"/>
    <cellStyle name="Comma 4 4 2 2 10" xfId="8848" xr:uid="{5F033F4A-09AF-4462-8278-2EF350C5FF20}"/>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A32EAB81-6E67-4818-9AA6-66A546AB0214}"/>
    <cellStyle name="Comma 4 4 2 2 2 2 3" xfId="11407" xr:uid="{C26751F8-2F70-4903-9DFE-061B47C9D8CB}"/>
    <cellStyle name="Comma 4 4 2 2 2 3" xfId="5041" xr:uid="{00000000-0005-0000-0000-0000D3090000}"/>
    <cellStyle name="Comma 4 4 2 2 2 3 2" xfId="13480" xr:uid="{0A848936-2979-4A52-8C42-64CE57585386}"/>
    <cellStyle name="Comma 4 4 2 2 2 4" xfId="9262" xr:uid="{CA5F6C41-6A6F-466D-BDC3-A05A357892F2}"/>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746AFEA9-AAD5-4424-8921-7DAC1E4BBD08}"/>
    <cellStyle name="Comma 4 4 2 2 3 2 3" xfId="11820" xr:uid="{C5983F81-C2A7-468B-9C55-9ED6DCE0F1A9}"/>
    <cellStyle name="Comma 4 4 2 2 3 3" xfId="5454" xr:uid="{00000000-0005-0000-0000-0000D7090000}"/>
    <cellStyle name="Comma 4 4 2 2 3 3 2" xfId="13893" xr:uid="{39844C41-FE17-4D7F-8436-493FD7CF1E78}"/>
    <cellStyle name="Comma 4 4 2 2 3 4" xfId="9675" xr:uid="{FBA1011D-E2AD-42F5-98A4-885D1678C5B1}"/>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CFFE123E-0D75-4823-A97C-8411FE24C157}"/>
    <cellStyle name="Comma 4 4 2 2 4 2 3" xfId="12233" xr:uid="{F7394C46-EA55-4E5C-B6D6-3811D9A82E40}"/>
    <cellStyle name="Comma 4 4 2 2 4 3" xfId="5867" xr:uid="{00000000-0005-0000-0000-0000DB090000}"/>
    <cellStyle name="Comma 4 4 2 2 4 3 2" xfId="14306" xr:uid="{B7DEF067-FCD4-46BC-AA51-98C7E44B574B}"/>
    <cellStyle name="Comma 4 4 2 2 4 4" xfId="10088" xr:uid="{F9D5E80E-4233-47F0-9D0E-B4F2716D6449}"/>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82DBD91B-3E4A-4BC3-9BBD-856DC6F7DD67}"/>
    <cellStyle name="Comma 4 4 2 2 5 2 3" xfId="12646" xr:uid="{EE20E6AD-AD84-4C76-A90F-1767817F7491}"/>
    <cellStyle name="Comma 4 4 2 2 5 3" xfId="6280" xr:uid="{00000000-0005-0000-0000-0000DF090000}"/>
    <cellStyle name="Comma 4 4 2 2 5 3 2" xfId="14719" xr:uid="{1BC92E94-72BD-452D-9B35-834880995DC6}"/>
    <cellStyle name="Comma 4 4 2 2 5 4" xfId="10501" xr:uid="{AEC1FCE8-769D-4D6F-8CDB-8BDEF68F0CA6}"/>
    <cellStyle name="Comma 4 4 2 2 6" xfId="2408" xr:uid="{00000000-0005-0000-0000-0000E0090000}"/>
    <cellStyle name="Comma 4 4 2 2 6 2" xfId="6693" xr:uid="{00000000-0005-0000-0000-0000E1090000}"/>
    <cellStyle name="Comma 4 4 2 2 6 2 2" xfId="15132" xr:uid="{CDC42A7E-4936-433B-85E7-0E06F90BEDE0}"/>
    <cellStyle name="Comma 4 4 2 2 6 3" xfId="10914" xr:uid="{5768DC34-7230-4A6B-8C0E-B9BCA3AD701E}"/>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3EAF9DE0-E1A9-4839-A44F-DCBC5477A8C3}"/>
    <cellStyle name="Comma 4 4 2 2 8 3" xfId="11231" xr:uid="{D9172B04-4AEB-4A7B-A4D1-31C47F7FBB81}"/>
    <cellStyle name="Comma 4 4 2 2 9" xfId="4627" xr:uid="{00000000-0005-0000-0000-0000E5090000}"/>
    <cellStyle name="Comma 4 4 2 2 9 2" xfId="13066" xr:uid="{9B8F802A-D43E-4177-8D3F-44F9DE934429}"/>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56785F80-6855-4970-A409-74F1BE8B40C6}"/>
    <cellStyle name="Comma 4 4 2 3 2 3" xfId="11406" xr:uid="{0D65493A-F206-46AD-8C2E-F2570507647B}"/>
    <cellStyle name="Comma 4 4 2 3 3" xfId="5040" xr:uid="{00000000-0005-0000-0000-0000E9090000}"/>
    <cellStyle name="Comma 4 4 2 3 3 2" xfId="13479" xr:uid="{CF664B66-6C2B-43B6-9295-4B743B80F36A}"/>
    <cellStyle name="Comma 4 4 2 3 4" xfId="9261" xr:uid="{DF0AF191-D855-473C-BD7B-9417ADD7CF9F}"/>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36FB0A9C-9AE6-48CF-96FE-D416FE08ABBB}"/>
    <cellStyle name="Comma 4 4 2 4 2 3" xfId="11819" xr:uid="{B8F2E7F2-29E8-46FC-89A1-9BC4D1979274}"/>
    <cellStyle name="Comma 4 4 2 4 3" xfId="5453" xr:uid="{00000000-0005-0000-0000-0000ED090000}"/>
    <cellStyle name="Comma 4 4 2 4 3 2" xfId="13892" xr:uid="{68C6504F-1985-46B6-873C-045B8BC158F3}"/>
    <cellStyle name="Comma 4 4 2 4 4" xfId="9674" xr:uid="{41C8A7E9-336B-482F-8DCF-6E675B569CE4}"/>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21989B63-7EB0-42FC-A4A6-154B8E8B7EEA}"/>
    <cellStyle name="Comma 4 4 2 5 2 3" xfId="12232" xr:uid="{EFCE4530-4E44-4CF3-8473-19B9E75815A3}"/>
    <cellStyle name="Comma 4 4 2 5 3" xfId="5866" xr:uid="{00000000-0005-0000-0000-0000F1090000}"/>
    <cellStyle name="Comma 4 4 2 5 3 2" xfId="14305" xr:uid="{F46DDE7D-1703-4BBC-A8E4-12B203DEAB3B}"/>
    <cellStyle name="Comma 4 4 2 5 4" xfId="10087" xr:uid="{ADFFEEDF-05F4-4829-BDE6-47B020317271}"/>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166C5069-E455-45AE-947A-EC6BFB638612}"/>
    <cellStyle name="Comma 4 4 2 6 2 3" xfId="12645" xr:uid="{A001476D-F0D4-4918-9DD4-78E32242EDC2}"/>
    <cellStyle name="Comma 4 4 2 6 3" xfId="6279" xr:uid="{00000000-0005-0000-0000-0000F5090000}"/>
    <cellStyle name="Comma 4 4 2 6 3 2" xfId="14718" xr:uid="{DCF26E0A-E473-41B7-8B1D-AA5276AE2DDA}"/>
    <cellStyle name="Comma 4 4 2 6 4" xfId="10500" xr:uid="{E1099E5F-674D-4441-93D1-A588368AE5A7}"/>
    <cellStyle name="Comma 4 4 2 7" xfId="2407" xr:uid="{00000000-0005-0000-0000-0000F6090000}"/>
    <cellStyle name="Comma 4 4 2 7 2" xfId="6692" xr:uid="{00000000-0005-0000-0000-0000F7090000}"/>
    <cellStyle name="Comma 4 4 2 7 2 2" xfId="15131" xr:uid="{F5B9876D-DF50-40D9-8462-5F31E88E9FC1}"/>
    <cellStyle name="Comma 4 4 2 7 3" xfId="10913" xr:uid="{9EA60607-7ACE-4E6C-A9BE-1D48584E7EC7}"/>
    <cellStyle name="Comma 4 4 2 8" xfId="2703" xr:uid="{00000000-0005-0000-0000-0000F8090000}"/>
    <cellStyle name="Comma 4 4 2 9" xfId="2785" xr:uid="{00000000-0005-0000-0000-0000F9090000}"/>
    <cellStyle name="Comma 4 4 2 9 2" xfId="7009" xr:uid="{00000000-0005-0000-0000-0000FA090000}"/>
    <cellStyle name="Comma 4 4 2 9 2 2" xfId="15448" xr:uid="{38E8BF87-8E23-4BC3-ADFD-DF946C6F630D}"/>
    <cellStyle name="Comma 4 4 2 9 3" xfId="11230" xr:uid="{95C9D02C-FA3F-4CE2-8A48-868D84F60401}"/>
    <cellStyle name="Comma 4 4 3" xfId="156" xr:uid="{00000000-0005-0000-0000-0000FB090000}"/>
    <cellStyle name="Comma 4 4 3 10" xfId="8849" xr:uid="{F48513B1-04FA-4F48-9105-5705327C6B36}"/>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34C6D7D8-25F1-4FF1-A709-5009C9B17BA0}"/>
    <cellStyle name="Comma 4 4 3 2 2 3" xfId="11408" xr:uid="{E87A582D-8DE2-4964-9916-4D05D0572A10}"/>
    <cellStyle name="Comma 4 4 3 2 3" xfId="5042" xr:uid="{00000000-0005-0000-0000-0000FF090000}"/>
    <cellStyle name="Comma 4 4 3 2 3 2" xfId="13481" xr:uid="{5321685C-718E-4306-B429-9047F735957F}"/>
    <cellStyle name="Comma 4 4 3 2 4" xfId="9263" xr:uid="{65397882-E075-43A5-8BBF-73D3A8E3CA76}"/>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301244F2-A4E1-416C-8051-CCF1FFE919D3}"/>
    <cellStyle name="Comma 4 4 3 3 2 3" xfId="11821" xr:uid="{A9D6E038-BA9B-4A4B-88B6-9E20DC33F31E}"/>
    <cellStyle name="Comma 4 4 3 3 3" xfId="5455" xr:uid="{00000000-0005-0000-0000-0000030A0000}"/>
    <cellStyle name="Comma 4 4 3 3 3 2" xfId="13894" xr:uid="{313D7849-957D-4542-A396-1FDC10961EF9}"/>
    <cellStyle name="Comma 4 4 3 3 4" xfId="9676" xr:uid="{4AB6561C-694C-4065-A852-6A682C2ABC78}"/>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9CB72332-E893-4D02-8B7B-741B7803A60C}"/>
    <cellStyle name="Comma 4 4 3 4 2 3" xfId="12234" xr:uid="{2FD94785-4C79-4A49-90E3-D524983EDC77}"/>
    <cellStyle name="Comma 4 4 3 4 3" xfId="5868" xr:uid="{00000000-0005-0000-0000-0000070A0000}"/>
    <cellStyle name="Comma 4 4 3 4 3 2" xfId="14307" xr:uid="{1BAAC971-EC42-485C-9A9A-28CB5E374D08}"/>
    <cellStyle name="Comma 4 4 3 4 4" xfId="10089" xr:uid="{18617F0B-A9FE-4C25-8620-591500C6A4CE}"/>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1D63F72F-4096-4BA5-9519-2E721CCA2DDF}"/>
    <cellStyle name="Comma 4 4 3 5 2 3" xfId="12647" xr:uid="{4CD4148F-A610-42B2-85DD-FB47994F0CFB}"/>
    <cellStyle name="Comma 4 4 3 5 3" xfId="6281" xr:uid="{00000000-0005-0000-0000-00000B0A0000}"/>
    <cellStyle name="Comma 4 4 3 5 3 2" xfId="14720" xr:uid="{A3B8E8BC-220E-40A6-AEB5-0A4249D10F4F}"/>
    <cellStyle name="Comma 4 4 3 5 4" xfId="10502" xr:uid="{198789FE-F034-48BE-A96D-BBCEE39C592A}"/>
    <cellStyle name="Comma 4 4 3 6" xfId="2409" xr:uid="{00000000-0005-0000-0000-00000C0A0000}"/>
    <cellStyle name="Comma 4 4 3 6 2" xfId="6694" xr:uid="{00000000-0005-0000-0000-00000D0A0000}"/>
    <cellStyle name="Comma 4 4 3 6 2 2" xfId="15133" xr:uid="{F3F47E54-172F-45C5-B9A4-18A7C569E062}"/>
    <cellStyle name="Comma 4 4 3 6 3" xfId="10915" xr:uid="{8C178B1C-E01D-4B3E-BF2D-4825B2B8DA31}"/>
    <cellStyle name="Comma 4 4 3 7" xfId="2705" xr:uid="{00000000-0005-0000-0000-00000E0A0000}"/>
    <cellStyle name="Comma 4 4 3 8" xfId="2787" xr:uid="{00000000-0005-0000-0000-00000F0A0000}"/>
    <cellStyle name="Comma 4 4 3 8 2" xfId="7011" xr:uid="{00000000-0005-0000-0000-0000100A0000}"/>
    <cellStyle name="Comma 4 4 3 8 2 2" xfId="15450" xr:uid="{7B8F7634-661E-4C62-AB91-3A046DCBC8C7}"/>
    <cellStyle name="Comma 4 4 3 8 3" xfId="11232" xr:uid="{2E50D876-E7CD-4CC3-AF31-16333F1089CC}"/>
    <cellStyle name="Comma 4 4 3 9" xfId="4628" xr:uid="{00000000-0005-0000-0000-0000110A0000}"/>
    <cellStyle name="Comma 4 4 3 9 2" xfId="13067" xr:uid="{2C6B745C-DE71-4A6A-A219-22E05A75488C}"/>
    <cellStyle name="Comma 4 4 4" xfId="690" xr:uid="{00000000-0005-0000-0000-0000120A0000}"/>
    <cellStyle name="Comma 4 4 4 2" xfId="2961" xr:uid="{00000000-0005-0000-0000-0000130A0000}"/>
    <cellStyle name="Comma 4 4 4 2 2" xfId="7184" xr:uid="{00000000-0005-0000-0000-0000140A0000}"/>
    <cellStyle name="Comma 4 4 4 2 2 2" xfId="15623" xr:uid="{E15FEDE4-9C4B-4E23-814C-3A5D70A5AA68}"/>
    <cellStyle name="Comma 4 4 4 2 3" xfId="11405" xr:uid="{60D8052E-D785-4E3C-8D47-836CC5F1B1D7}"/>
    <cellStyle name="Comma 4 4 4 3" xfId="5039" xr:uid="{00000000-0005-0000-0000-0000150A0000}"/>
    <cellStyle name="Comma 4 4 4 3 2" xfId="13478" xr:uid="{D1CF8000-1A02-4242-A4BE-CCED1FFF1613}"/>
    <cellStyle name="Comma 4 4 4 4" xfId="9260" xr:uid="{13D2D6CC-43E7-4C7E-BF33-C3D01690E5A2}"/>
    <cellStyle name="Comma 4 4 5" xfId="1143" xr:uid="{00000000-0005-0000-0000-0000160A0000}"/>
    <cellStyle name="Comma 4 4 5 2" xfId="3374" xr:uid="{00000000-0005-0000-0000-0000170A0000}"/>
    <cellStyle name="Comma 4 4 5 2 2" xfId="7597" xr:uid="{00000000-0005-0000-0000-0000180A0000}"/>
    <cellStyle name="Comma 4 4 5 2 2 2" xfId="16036" xr:uid="{18FFA057-E63A-4B95-BD16-FBBBB78A064A}"/>
    <cellStyle name="Comma 4 4 5 2 3" xfId="11818" xr:uid="{9DF9A88D-EB91-4746-B964-D37B3B9AF2B6}"/>
    <cellStyle name="Comma 4 4 5 3" xfId="5452" xr:uid="{00000000-0005-0000-0000-0000190A0000}"/>
    <cellStyle name="Comma 4 4 5 3 2" xfId="13891" xr:uid="{A2A44914-BFB9-46C3-A114-1D9754150EE2}"/>
    <cellStyle name="Comma 4 4 5 4" xfId="9673" xr:uid="{92CC51A2-FDB7-4D2D-B315-44A9F0AAC4C6}"/>
    <cellStyle name="Comma 4 4 6" xfId="1557" xr:uid="{00000000-0005-0000-0000-00001A0A0000}"/>
    <cellStyle name="Comma 4 4 6 2" xfId="3787" xr:uid="{00000000-0005-0000-0000-00001B0A0000}"/>
    <cellStyle name="Comma 4 4 6 2 2" xfId="8010" xr:uid="{00000000-0005-0000-0000-00001C0A0000}"/>
    <cellStyle name="Comma 4 4 6 2 2 2" xfId="16449" xr:uid="{111769CE-8B99-4264-893C-2BBE1E17100E}"/>
    <cellStyle name="Comma 4 4 6 2 3" xfId="12231" xr:uid="{55CCFEE2-9279-4FE7-9D69-EFCDB4809856}"/>
    <cellStyle name="Comma 4 4 6 3" xfId="5865" xr:uid="{00000000-0005-0000-0000-00001D0A0000}"/>
    <cellStyle name="Comma 4 4 6 3 2" xfId="14304" xr:uid="{E7B01EF9-9A87-454C-9558-ABA9A646B398}"/>
    <cellStyle name="Comma 4 4 6 4" xfId="10086" xr:uid="{E8167255-57ED-4661-AD49-3DFB01E64F15}"/>
    <cellStyle name="Comma 4 4 7" xfId="1971" xr:uid="{00000000-0005-0000-0000-00001E0A0000}"/>
    <cellStyle name="Comma 4 4 7 2" xfId="4200" xr:uid="{00000000-0005-0000-0000-00001F0A0000}"/>
    <cellStyle name="Comma 4 4 7 2 2" xfId="8423" xr:uid="{00000000-0005-0000-0000-0000200A0000}"/>
    <cellStyle name="Comma 4 4 7 2 2 2" xfId="16862" xr:uid="{87145F12-9AB6-4654-AD65-027A1866B0F8}"/>
    <cellStyle name="Comma 4 4 7 2 3" xfId="12644" xr:uid="{85177C9F-1D50-4B1D-8855-2DB25CA08255}"/>
    <cellStyle name="Comma 4 4 7 3" xfId="6278" xr:uid="{00000000-0005-0000-0000-0000210A0000}"/>
    <cellStyle name="Comma 4 4 7 3 2" xfId="14717" xr:uid="{D036DF43-C0BC-4BC9-A3D8-DA874D4D3ACA}"/>
    <cellStyle name="Comma 4 4 7 4" xfId="10499" xr:uid="{E4E9DCB5-E346-44CF-A975-7B027BE4803A}"/>
    <cellStyle name="Comma 4 4 8" xfId="2406" xr:uid="{00000000-0005-0000-0000-0000220A0000}"/>
    <cellStyle name="Comma 4 4 8 2" xfId="6691" xr:uid="{00000000-0005-0000-0000-0000230A0000}"/>
    <cellStyle name="Comma 4 4 8 2 2" xfId="15130" xr:uid="{12A1D38A-ED60-4552-8001-0A8CAA7F2202}"/>
    <cellStyle name="Comma 4 4 8 3" xfId="10912" xr:uid="{30203833-F4C6-48A2-8EDB-A1BE27DB8389}"/>
    <cellStyle name="Comma 4 4 9" xfId="2702" xr:uid="{00000000-0005-0000-0000-0000240A0000}"/>
    <cellStyle name="Comma 4 5" xfId="157" xr:uid="{00000000-0005-0000-0000-0000250A0000}"/>
    <cellStyle name="Comma 4 5 10" xfId="4629" xr:uid="{00000000-0005-0000-0000-0000260A0000}"/>
    <cellStyle name="Comma 4 5 10 2" xfId="13068" xr:uid="{52EB7E9A-2C0D-424B-9B4C-6A0E935A582A}"/>
    <cellStyle name="Comma 4 5 11" xfId="8850" xr:uid="{DCEBEF74-874B-461C-9BA9-408A1953768A}"/>
    <cellStyle name="Comma 4 5 2" xfId="158" xr:uid="{00000000-0005-0000-0000-0000270A0000}"/>
    <cellStyle name="Comma 4 5 2 10" xfId="8851" xr:uid="{AF184858-0988-4599-91D5-8EDF90CCFB06}"/>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B208232B-C846-4477-A017-8F7AEF8E5980}"/>
    <cellStyle name="Comma 4 5 2 2 2 3" xfId="11410" xr:uid="{AE2C2745-71FB-4623-AFFD-3E7C8CE214CA}"/>
    <cellStyle name="Comma 4 5 2 2 3" xfId="5044" xr:uid="{00000000-0005-0000-0000-00002B0A0000}"/>
    <cellStyle name="Comma 4 5 2 2 3 2" xfId="13483" xr:uid="{8827898B-F29B-4704-9A20-0B1DCB39DE57}"/>
    <cellStyle name="Comma 4 5 2 2 4" xfId="9265" xr:uid="{0680098B-55EB-4242-B3D0-2036092848D4}"/>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A934A820-326F-48AF-A650-8E9462681A90}"/>
    <cellStyle name="Comma 4 5 2 3 2 3" xfId="11823" xr:uid="{E6869137-141D-4A6E-9A24-706DACC12874}"/>
    <cellStyle name="Comma 4 5 2 3 3" xfId="5457" xr:uid="{00000000-0005-0000-0000-00002F0A0000}"/>
    <cellStyle name="Comma 4 5 2 3 3 2" xfId="13896" xr:uid="{32A731D3-B6BA-4687-AA2B-721EBD47B197}"/>
    <cellStyle name="Comma 4 5 2 3 4" xfId="9678" xr:uid="{B1C39D70-48EE-43E7-B459-2E3E06C7F13C}"/>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0652BCD9-1BD3-4217-A138-EC6EC679E03A}"/>
    <cellStyle name="Comma 4 5 2 4 2 3" xfId="12236" xr:uid="{88ACBBDC-BE65-4F3B-8D88-49270FCCEBF8}"/>
    <cellStyle name="Comma 4 5 2 4 3" xfId="5870" xr:uid="{00000000-0005-0000-0000-0000330A0000}"/>
    <cellStyle name="Comma 4 5 2 4 3 2" xfId="14309" xr:uid="{854214A0-ABFA-40CE-8C3A-7AE17951EE0B}"/>
    <cellStyle name="Comma 4 5 2 4 4" xfId="10091" xr:uid="{3AE96CF4-4561-486D-8385-45E647DC21BE}"/>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5486D1D4-865B-4AA7-A7EC-62C06605166D}"/>
    <cellStyle name="Comma 4 5 2 5 2 3" xfId="12649" xr:uid="{6F63E79C-F412-4700-9FDD-DD7754B531A1}"/>
    <cellStyle name="Comma 4 5 2 5 3" xfId="6283" xr:uid="{00000000-0005-0000-0000-0000370A0000}"/>
    <cellStyle name="Comma 4 5 2 5 3 2" xfId="14722" xr:uid="{C502B3E5-D242-4EE6-A04A-CE7F6D8BD5A2}"/>
    <cellStyle name="Comma 4 5 2 5 4" xfId="10504" xr:uid="{7943C863-A963-449A-B632-91E38B4D558E}"/>
    <cellStyle name="Comma 4 5 2 6" xfId="2411" xr:uid="{00000000-0005-0000-0000-0000380A0000}"/>
    <cellStyle name="Comma 4 5 2 6 2" xfId="6696" xr:uid="{00000000-0005-0000-0000-0000390A0000}"/>
    <cellStyle name="Comma 4 5 2 6 2 2" xfId="15135" xr:uid="{DE1F69D4-C309-4227-85C0-4D3022207B71}"/>
    <cellStyle name="Comma 4 5 2 6 3" xfId="10917" xr:uid="{3A3C9156-497B-43A4-BACF-33E2E841AD74}"/>
    <cellStyle name="Comma 4 5 2 7" xfId="2707" xr:uid="{00000000-0005-0000-0000-00003A0A0000}"/>
    <cellStyle name="Comma 4 5 2 8" xfId="2789" xr:uid="{00000000-0005-0000-0000-00003B0A0000}"/>
    <cellStyle name="Comma 4 5 2 8 2" xfId="7013" xr:uid="{00000000-0005-0000-0000-00003C0A0000}"/>
    <cellStyle name="Comma 4 5 2 8 2 2" xfId="15452" xr:uid="{E8E65539-D32B-49E2-9FBD-F10665744816}"/>
    <cellStyle name="Comma 4 5 2 8 3" xfId="11234" xr:uid="{FCB2E6B7-C806-4DFD-AF11-1DACF83DF4F1}"/>
    <cellStyle name="Comma 4 5 2 9" xfId="4630" xr:uid="{00000000-0005-0000-0000-00003D0A0000}"/>
    <cellStyle name="Comma 4 5 2 9 2" xfId="13069" xr:uid="{051CD70E-1D82-4ADC-863D-BD8DD8D3A615}"/>
    <cellStyle name="Comma 4 5 3" xfId="694" xr:uid="{00000000-0005-0000-0000-00003E0A0000}"/>
    <cellStyle name="Comma 4 5 3 2" xfId="2965" xr:uid="{00000000-0005-0000-0000-00003F0A0000}"/>
    <cellStyle name="Comma 4 5 3 2 2" xfId="7188" xr:uid="{00000000-0005-0000-0000-0000400A0000}"/>
    <cellStyle name="Comma 4 5 3 2 2 2" xfId="15627" xr:uid="{78D43CA1-0CD6-4D77-A12F-6C0124AD635D}"/>
    <cellStyle name="Comma 4 5 3 2 3" xfId="11409" xr:uid="{D8C66BF5-2509-40A8-B13F-012867FE5004}"/>
    <cellStyle name="Comma 4 5 3 3" xfId="5043" xr:uid="{00000000-0005-0000-0000-0000410A0000}"/>
    <cellStyle name="Comma 4 5 3 3 2" xfId="13482" xr:uid="{1BA745E3-0A15-4700-86C7-035416ED16A4}"/>
    <cellStyle name="Comma 4 5 3 4" xfId="9264" xr:uid="{49BF8EB9-2720-4279-9CB3-461229DB8DC2}"/>
    <cellStyle name="Comma 4 5 4" xfId="1147" xr:uid="{00000000-0005-0000-0000-0000420A0000}"/>
    <cellStyle name="Comma 4 5 4 2" xfId="3378" xr:uid="{00000000-0005-0000-0000-0000430A0000}"/>
    <cellStyle name="Comma 4 5 4 2 2" xfId="7601" xr:uid="{00000000-0005-0000-0000-0000440A0000}"/>
    <cellStyle name="Comma 4 5 4 2 2 2" xfId="16040" xr:uid="{86FF7A90-8466-43D5-A023-9CEE1BF05D6A}"/>
    <cellStyle name="Comma 4 5 4 2 3" xfId="11822" xr:uid="{C23A1E00-ED7F-4057-996A-8F9F09212DA5}"/>
    <cellStyle name="Comma 4 5 4 3" xfId="5456" xr:uid="{00000000-0005-0000-0000-0000450A0000}"/>
    <cellStyle name="Comma 4 5 4 3 2" xfId="13895" xr:uid="{08EAC8E6-5367-4CC6-B287-7841A148A25D}"/>
    <cellStyle name="Comma 4 5 4 4" xfId="9677" xr:uid="{19C2A3C7-6CB7-42EE-BF08-9D8727AD8A27}"/>
    <cellStyle name="Comma 4 5 5" xfId="1561" xr:uid="{00000000-0005-0000-0000-0000460A0000}"/>
    <cellStyle name="Comma 4 5 5 2" xfId="3791" xr:uid="{00000000-0005-0000-0000-0000470A0000}"/>
    <cellStyle name="Comma 4 5 5 2 2" xfId="8014" xr:uid="{00000000-0005-0000-0000-0000480A0000}"/>
    <cellStyle name="Comma 4 5 5 2 2 2" xfId="16453" xr:uid="{41605EB7-09D8-4077-87C9-A67C9B5BE39C}"/>
    <cellStyle name="Comma 4 5 5 2 3" xfId="12235" xr:uid="{4929DDFB-CC4C-4C3D-BA4E-3B7717142482}"/>
    <cellStyle name="Comma 4 5 5 3" xfId="5869" xr:uid="{00000000-0005-0000-0000-0000490A0000}"/>
    <cellStyle name="Comma 4 5 5 3 2" xfId="14308" xr:uid="{305B8A8D-FE46-487F-992F-3212619E00F1}"/>
    <cellStyle name="Comma 4 5 5 4" xfId="10090" xr:uid="{1B6F0B77-A0E1-4B43-A318-EE3F106005B1}"/>
    <cellStyle name="Comma 4 5 6" xfId="1975" xr:uid="{00000000-0005-0000-0000-00004A0A0000}"/>
    <cellStyle name="Comma 4 5 6 2" xfId="4204" xr:uid="{00000000-0005-0000-0000-00004B0A0000}"/>
    <cellStyle name="Comma 4 5 6 2 2" xfId="8427" xr:uid="{00000000-0005-0000-0000-00004C0A0000}"/>
    <cellStyle name="Comma 4 5 6 2 2 2" xfId="16866" xr:uid="{83959E96-3364-474F-895E-8B4F88E87A31}"/>
    <cellStyle name="Comma 4 5 6 2 3" xfId="12648" xr:uid="{6124D497-9177-4978-8631-5A24F7E501A5}"/>
    <cellStyle name="Comma 4 5 6 3" xfId="6282" xr:uid="{00000000-0005-0000-0000-00004D0A0000}"/>
    <cellStyle name="Comma 4 5 6 3 2" xfId="14721" xr:uid="{A7AF7A15-214D-4848-BC94-ACBCCB830833}"/>
    <cellStyle name="Comma 4 5 6 4" xfId="10503" xr:uid="{8CC49160-37C3-4C38-B856-104C6ED08EA0}"/>
    <cellStyle name="Comma 4 5 7" xfId="2410" xr:uid="{00000000-0005-0000-0000-00004E0A0000}"/>
    <cellStyle name="Comma 4 5 7 2" xfId="6695" xr:uid="{00000000-0005-0000-0000-00004F0A0000}"/>
    <cellStyle name="Comma 4 5 7 2 2" xfId="15134" xr:uid="{D2278349-B175-4982-BA3C-7B44B7166D9E}"/>
    <cellStyle name="Comma 4 5 7 3" xfId="10916" xr:uid="{C4601F72-C9BC-4078-AE1F-CC88C980D185}"/>
    <cellStyle name="Comma 4 5 8" xfId="2706" xr:uid="{00000000-0005-0000-0000-0000500A0000}"/>
    <cellStyle name="Comma 4 5 9" xfId="2788" xr:uid="{00000000-0005-0000-0000-0000510A0000}"/>
    <cellStyle name="Comma 4 5 9 2" xfId="7012" xr:uid="{00000000-0005-0000-0000-0000520A0000}"/>
    <cellStyle name="Comma 4 5 9 2 2" xfId="15451" xr:uid="{D5596EA0-9146-477F-AA15-A0AC80BCD528}"/>
    <cellStyle name="Comma 4 5 9 3" xfId="11233" xr:uid="{9D338B98-1AEE-4150-85F4-5AA0AEB09795}"/>
    <cellStyle name="Comma 4 6" xfId="159" xr:uid="{00000000-0005-0000-0000-0000530A0000}"/>
    <cellStyle name="Comma 4 6 10" xfId="8852" xr:uid="{D79C2EBE-0D1E-49AB-8FF0-6C14BC7FA7F3}"/>
    <cellStyle name="Comma 4 6 2" xfId="696" xr:uid="{00000000-0005-0000-0000-0000540A0000}"/>
    <cellStyle name="Comma 4 6 2 2" xfId="2967" xr:uid="{00000000-0005-0000-0000-0000550A0000}"/>
    <cellStyle name="Comma 4 6 2 2 2" xfId="7190" xr:uid="{00000000-0005-0000-0000-0000560A0000}"/>
    <cellStyle name="Comma 4 6 2 2 2 2" xfId="15629" xr:uid="{41D767AB-A53D-42AE-97BC-450ED841427D}"/>
    <cellStyle name="Comma 4 6 2 2 3" xfId="11411" xr:uid="{88E898FC-ED37-4BAE-95CF-C8173659D0FB}"/>
    <cellStyle name="Comma 4 6 2 3" xfId="5045" xr:uid="{00000000-0005-0000-0000-0000570A0000}"/>
    <cellStyle name="Comma 4 6 2 3 2" xfId="13484" xr:uid="{5EAAC1BD-53EE-4316-9487-7A8C87A43513}"/>
    <cellStyle name="Comma 4 6 2 4" xfId="9266" xr:uid="{0D436A32-5007-4A5A-A6E2-05166DAAAAA3}"/>
    <cellStyle name="Comma 4 6 3" xfId="1149" xr:uid="{00000000-0005-0000-0000-0000580A0000}"/>
    <cellStyle name="Comma 4 6 3 2" xfId="3380" xr:uid="{00000000-0005-0000-0000-0000590A0000}"/>
    <cellStyle name="Comma 4 6 3 2 2" xfId="7603" xr:uid="{00000000-0005-0000-0000-00005A0A0000}"/>
    <cellStyle name="Comma 4 6 3 2 2 2" xfId="16042" xr:uid="{98E1BF34-32EF-4155-A64A-57735706787D}"/>
    <cellStyle name="Comma 4 6 3 2 3" xfId="11824" xr:uid="{1940F7B6-6232-4201-85FB-DDB5606B876E}"/>
    <cellStyle name="Comma 4 6 3 3" xfId="5458" xr:uid="{00000000-0005-0000-0000-00005B0A0000}"/>
    <cellStyle name="Comma 4 6 3 3 2" xfId="13897" xr:uid="{AEA78452-219F-4792-A417-8BC8B39D4D4D}"/>
    <cellStyle name="Comma 4 6 3 4" xfId="9679" xr:uid="{C100FC14-5EE5-405E-AFB4-6CB69F20F264}"/>
    <cellStyle name="Comma 4 6 4" xfId="1563" xr:uid="{00000000-0005-0000-0000-00005C0A0000}"/>
    <cellStyle name="Comma 4 6 4 2" xfId="3793" xr:uid="{00000000-0005-0000-0000-00005D0A0000}"/>
    <cellStyle name="Comma 4 6 4 2 2" xfId="8016" xr:uid="{00000000-0005-0000-0000-00005E0A0000}"/>
    <cellStyle name="Comma 4 6 4 2 2 2" xfId="16455" xr:uid="{E9AC27FE-4C33-45FF-9DA3-048AA4670743}"/>
    <cellStyle name="Comma 4 6 4 2 3" xfId="12237" xr:uid="{1B4E56F1-0C09-46AB-A7B8-3ACE462FC51A}"/>
    <cellStyle name="Comma 4 6 4 3" xfId="5871" xr:uid="{00000000-0005-0000-0000-00005F0A0000}"/>
    <cellStyle name="Comma 4 6 4 3 2" xfId="14310" xr:uid="{C4C84E08-0194-424B-A77E-F8ACF3955CEB}"/>
    <cellStyle name="Comma 4 6 4 4" xfId="10092" xr:uid="{369B85C1-2DCE-4F1D-A4F7-E46C96201D49}"/>
    <cellStyle name="Comma 4 6 5" xfId="1977" xr:uid="{00000000-0005-0000-0000-0000600A0000}"/>
    <cellStyle name="Comma 4 6 5 2" xfId="4206" xr:uid="{00000000-0005-0000-0000-0000610A0000}"/>
    <cellStyle name="Comma 4 6 5 2 2" xfId="8429" xr:uid="{00000000-0005-0000-0000-0000620A0000}"/>
    <cellStyle name="Comma 4 6 5 2 2 2" xfId="16868" xr:uid="{B8AEEE39-57E7-42AD-9C75-0C076DEC9C84}"/>
    <cellStyle name="Comma 4 6 5 2 3" xfId="12650" xr:uid="{4A53CAB2-B052-4D86-A175-E2A557B176CD}"/>
    <cellStyle name="Comma 4 6 5 3" xfId="6284" xr:uid="{00000000-0005-0000-0000-0000630A0000}"/>
    <cellStyle name="Comma 4 6 5 3 2" xfId="14723" xr:uid="{4B8B91C0-ED55-491C-B92D-BABFEEF087AA}"/>
    <cellStyle name="Comma 4 6 5 4" xfId="10505" xr:uid="{8520C5F1-4F7E-45B9-ABB7-D164747C59D9}"/>
    <cellStyle name="Comma 4 6 6" xfId="2412" xr:uid="{00000000-0005-0000-0000-0000640A0000}"/>
    <cellStyle name="Comma 4 6 6 2" xfId="6697" xr:uid="{00000000-0005-0000-0000-0000650A0000}"/>
    <cellStyle name="Comma 4 6 6 2 2" xfId="15136" xr:uid="{EA2095A0-56F1-4B46-8169-FED2B0A345AD}"/>
    <cellStyle name="Comma 4 6 6 3" xfId="10918" xr:uid="{EF6B8CB9-5AC9-4BE3-AE5C-10DF0034B29F}"/>
    <cellStyle name="Comma 4 6 7" xfId="2708" xr:uid="{00000000-0005-0000-0000-0000660A0000}"/>
    <cellStyle name="Comma 4 6 8" xfId="2790" xr:uid="{00000000-0005-0000-0000-0000670A0000}"/>
    <cellStyle name="Comma 4 6 8 2" xfId="7014" xr:uid="{00000000-0005-0000-0000-0000680A0000}"/>
    <cellStyle name="Comma 4 6 8 2 2" xfId="15453" xr:uid="{835C7AD8-8B12-42F6-9AC9-6B063E703AFA}"/>
    <cellStyle name="Comma 4 6 8 3" xfId="11235" xr:uid="{B6ACBECB-1503-4D73-92BC-8C66409FFE76}"/>
    <cellStyle name="Comma 4 6 9" xfId="4631" xr:uid="{00000000-0005-0000-0000-0000690A0000}"/>
    <cellStyle name="Comma 4 6 9 2" xfId="13070" xr:uid="{A7686EF8-BD3D-4195-8A53-65BAF1895276}"/>
    <cellStyle name="Comma 4 7" xfId="160" xr:uid="{00000000-0005-0000-0000-00006A0A0000}"/>
    <cellStyle name="Comma 4 7 10" xfId="8853" xr:uid="{8AE139D1-B117-4DFA-BF2F-35B065E5A258}"/>
    <cellStyle name="Comma 4 7 2" xfId="697" xr:uid="{00000000-0005-0000-0000-00006B0A0000}"/>
    <cellStyle name="Comma 4 7 2 2" xfId="2968" xr:uid="{00000000-0005-0000-0000-00006C0A0000}"/>
    <cellStyle name="Comma 4 7 2 2 2" xfId="7191" xr:uid="{00000000-0005-0000-0000-00006D0A0000}"/>
    <cellStyle name="Comma 4 7 2 2 2 2" xfId="15630" xr:uid="{96305447-DBE2-4916-92F3-03A053A6B1D6}"/>
    <cellStyle name="Comma 4 7 2 2 3" xfId="11412" xr:uid="{3E57D6B1-EA94-4426-B9B1-CDC17377A319}"/>
    <cellStyle name="Comma 4 7 2 3" xfId="5046" xr:uid="{00000000-0005-0000-0000-00006E0A0000}"/>
    <cellStyle name="Comma 4 7 2 3 2" xfId="13485" xr:uid="{47327215-9494-4D5E-B5A7-71500E591A69}"/>
    <cellStyle name="Comma 4 7 2 4" xfId="9267" xr:uid="{C1D1FE14-D3B2-49C8-88AC-D1DE617D9CBB}"/>
    <cellStyle name="Comma 4 7 3" xfId="1150" xr:uid="{00000000-0005-0000-0000-00006F0A0000}"/>
    <cellStyle name="Comma 4 7 3 2" xfId="3381" xr:uid="{00000000-0005-0000-0000-0000700A0000}"/>
    <cellStyle name="Comma 4 7 3 2 2" xfId="7604" xr:uid="{00000000-0005-0000-0000-0000710A0000}"/>
    <cellStyle name="Comma 4 7 3 2 2 2" xfId="16043" xr:uid="{493018AF-C15E-4516-8659-A6EBE101953F}"/>
    <cellStyle name="Comma 4 7 3 2 3" xfId="11825" xr:uid="{D39D1A81-41AF-432E-9D57-71F6F23821D1}"/>
    <cellStyle name="Comma 4 7 3 3" xfId="5459" xr:uid="{00000000-0005-0000-0000-0000720A0000}"/>
    <cellStyle name="Comma 4 7 3 3 2" xfId="13898" xr:uid="{B1066DD2-2497-4EFF-B9D1-75F16D60FFFB}"/>
    <cellStyle name="Comma 4 7 3 4" xfId="9680" xr:uid="{12B6BB31-2790-4A24-B04D-E84A58A9B337}"/>
    <cellStyle name="Comma 4 7 4" xfId="1564" xr:uid="{00000000-0005-0000-0000-0000730A0000}"/>
    <cellStyle name="Comma 4 7 4 2" xfId="3794" xr:uid="{00000000-0005-0000-0000-0000740A0000}"/>
    <cellStyle name="Comma 4 7 4 2 2" xfId="8017" xr:uid="{00000000-0005-0000-0000-0000750A0000}"/>
    <cellStyle name="Comma 4 7 4 2 2 2" xfId="16456" xr:uid="{36E0B174-4014-48F1-907C-D27978E32B17}"/>
    <cellStyle name="Comma 4 7 4 2 3" xfId="12238" xr:uid="{A0D39939-167E-46B7-9005-76A3A1CE7465}"/>
    <cellStyle name="Comma 4 7 4 3" xfId="5872" xr:uid="{00000000-0005-0000-0000-0000760A0000}"/>
    <cellStyle name="Comma 4 7 4 3 2" xfId="14311" xr:uid="{078CF11C-5AB0-44A6-821B-5C89E8A00DB2}"/>
    <cellStyle name="Comma 4 7 4 4" xfId="10093" xr:uid="{B015CDFC-1685-478B-A239-7FDDE8CAFCC7}"/>
    <cellStyle name="Comma 4 7 5" xfId="1978" xr:uid="{00000000-0005-0000-0000-0000770A0000}"/>
    <cellStyle name="Comma 4 7 5 2" xfId="4207" xr:uid="{00000000-0005-0000-0000-0000780A0000}"/>
    <cellStyle name="Comma 4 7 5 2 2" xfId="8430" xr:uid="{00000000-0005-0000-0000-0000790A0000}"/>
    <cellStyle name="Comma 4 7 5 2 2 2" xfId="16869" xr:uid="{91F8B1B4-5E81-4F09-9885-40B5FFF1A589}"/>
    <cellStyle name="Comma 4 7 5 2 3" xfId="12651" xr:uid="{9E4D3690-1703-4580-9DC5-1C155444353B}"/>
    <cellStyle name="Comma 4 7 5 3" xfId="6285" xr:uid="{00000000-0005-0000-0000-00007A0A0000}"/>
    <cellStyle name="Comma 4 7 5 3 2" xfId="14724" xr:uid="{CF3FC21F-821E-41B9-99B0-24D413448661}"/>
    <cellStyle name="Comma 4 7 5 4" xfId="10506" xr:uid="{3094BA38-ADFB-42E4-B578-9DD6DD5D9663}"/>
    <cellStyle name="Comma 4 7 6" xfId="2413" xr:uid="{00000000-0005-0000-0000-00007B0A0000}"/>
    <cellStyle name="Comma 4 7 6 2" xfId="6698" xr:uid="{00000000-0005-0000-0000-00007C0A0000}"/>
    <cellStyle name="Comma 4 7 6 2 2" xfId="15137" xr:uid="{60B50A23-1944-4C35-9322-095009A42BFD}"/>
    <cellStyle name="Comma 4 7 6 3" xfId="10919" xr:uid="{28CACEFF-D84F-4BCA-A4C4-DB812E7B7449}"/>
    <cellStyle name="Comma 4 7 7" xfId="2709" xr:uid="{00000000-0005-0000-0000-00007D0A0000}"/>
    <cellStyle name="Comma 4 7 8" xfId="2791" xr:uid="{00000000-0005-0000-0000-00007E0A0000}"/>
    <cellStyle name="Comma 4 7 8 2" xfId="7015" xr:uid="{00000000-0005-0000-0000-00007F0A0000}"/>
    <cellStyle name="Comma 4 7 8 2 2" xfId="15454" xr:uid="{FF34C7A5-9000-49FE-ADD3-A62134803FD7}"/>
    <cellStyle name="Comma 4 7 8 3" xfId="11236" xr:uid="{979DEDB9-15EB-4E75-928E-67763EABFEA6}"/>
    <cellStyle name="Comma 4 7 9" xfId="4632" xr:uid="{00000000-0005-0000-0000-0000800A0000}"/>
    <cellStyle name="Comma 4 7 9 2" xfId="13071" xr:uid="{F424FB7B-B14A-4C11-B1C2-6B5587DAC87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39BFAA7A-0F78-451C-8BC9-C532DEDC9519}"/>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A585B4E7-35E0-448E-8640-041E7709C664}"/>
    <cellStyle name="Currency 14 3" xfId="8720" xr:uid="{729B09A7-2394-4D7C-912C-1471FB3455A3}"/>
    <cellStyle name="Currency 14 3 2" xfId="8724" xr:uid="{1945FB0F-31EC-4D98-B64C-BAFBADA341A1}"/>
    <cellStyle name="Currency 14 3 2 2" xfId="17162" xr:uid="{EC60CDC6-BCFD-4E91-877C-5BCDC0DE6486}"/>
    <cellStyle name="Currency 14 3 3" xfId="17159" xr:uid="{AD1C28F9-EF6E-4FCB-BA5B-591504172B5F}"/>
    <cellStyle name="Currency 14 4" xfId="12942" xr:uid="{E22FA769-1AF0-47BE-874C-92550194F7E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8F3B67C9-59FF-464D-8AD4-CD3670F48BA8}"/>
    <cellStyle name="Currency 3 2 2 10 3" xfId="11237" xr:uid="{F7E9D6E2-D02E-4475-A38C-B7CC53D86911}"/>
    <cellStyle name="Currency 3 2 2 11" xfId="4633" xr:uid="{00000000-0005-0000-0000-0000A50A0000}"/>
    <cellStyle name="Currency 3 2 2 11 2" xfId="13072" xr:uid="{784FD008-0F2B-4FD3-A317-6256DA8478C4}"/>
    <cellStyle name="Currency 3 2 2 12" xfId="8854" xr:uid="{272D38A2-F52F-46FD-8794-E22ABF11B687}"/>
    <cellStyle name="Currency 3 2 2 2" xfId="179" xr:uid="{00000000-0005-0000-0000-0000A60A0000}"/>
    <cellStyle name="Currency 3 2 2 2 10" xfId="4634" xr:uid="{00000000-0005-0000-0000-0000A70A0000}"/>
    <cellStyle name="Currency 3 2 2 2 10 2" xfId="13073" xr:uid="{2B828F1E-1726-494D-9D01-4DB73E9F7A9A}"/>
    <cellStyle name="Currency 3 2 2 2 11" xfId="8855" xr:uid="{483B19E0-45A6-44B9-9B1B-FACD97094BC2}"/>
    <cellStyle name="Currency 3 2 2 2 2" xfId="180" xr:uid="{00000000-0005-0000-0000-0000A80A0000}"/>
    <cellStyle name="Currency 3 2 2 2 2 10" xfId="8856" xr:uid="{9CA26F76-6E19-452F-A517-45204B2D161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DF658269-CC4D-4D99-A2DF-8FD5219C0422}"/>
    <cellStyle name="Currency 3 2 2 2 2 2 2 3" xfId="11415" xr:uid="{0FF29C28-42D5-4E94-91EB-CE88B278CA67}"/>
    <cellStyle name="Currency 3 2 2 2 2 2 3" xfId="5049" xr:uid="{00000000-0005-0000-0000-0000AC0A0000}"/>
    <cellStyle name="Currency 3 2 2 2 2 2 3 2" xfId="13488" xr:uid="{FB543763-D9B1-4118-9CEE-9C604E9DEA9C}"/>
    <cellStyle name="Currency 3 2 2 2 2 2 4" xfId="9270" xr:uid="{6613DC0F-5765-4F46-9E7A-279CB6DEF9E8}"/>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43716131-AC6F-4B29-AB4E-44E66F14A909}"/>
    <cellStyle name="Currency 3 2 2 2 2 3 2 3" xfId="11828" xr:uid="{9A61637B-6758-4334-9072-5531CA7A25B7}"/>
    <cellStyle name="Currency 3 2 2 2 2 3 3" xfId="5462" xr:uid="{00000000-0005-0000-0000-0000B00A0000}"/>
    <cellStyle name="Currency 3 2 2 2 2 3 3 2" xfId="13901" xr:uid="{AE9E5B2C-2284-4A6D-9CF4-AA6F70F33DD6}"/>
    <cellStyle name="Currency 3 2 2 2 2 3 4" xfId="9683" xr:uid="{8DEC66B9-4DF0-4381-A7DF-9AA092B18397}"/>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D97C4DC0-AE85-420A-AB97-FD6CAF51C052}"/>
    <cellStyle name="Currency 3 2 2 2 2 4 2 3" xfId="12241" xr:uid="{2463550E-6989-43A2-8345-39C9E661ED17}"/>
    <cellStyle name="Currency 3 2 2 2 2 4 3" xfId="5875" xr:uid="{00000000-0005-0000-0000-0000B40A0000}"/>
    <cellStyle name="Currency 3 2 2 2 2 4 3 2" xfId="14314" xr:uid="{98742313-9C9E-44B7-9DB4-ECD2EA08A474}"/>
    <cellStyle name="Currency 3 2 2 2 2 4 4" xfId="10096" xr:uid="{3D794901-3660-43DB-940B-BBE600E809A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EF555FBB-6CFE-44DC-801A-AE9B8233FD08}"/>
    <cellStyle name="Currency 3 2 2 2 2 5 2 3" xfId="12654" xr:uid="{6E09D1FC-E1CB-4E52-B7A1-5EBC892B3E85}"/>
    <cellStyle name="Currency 3 2 2 2 2 5 3" xfId="6288" xr:uid="{00000000-0005-0000-0000-0000B80A0000}"/>
    <cellStyle name="Currency 3 2 2 2 2 5 3 2" xfId="14727" xr:uid="{AE5CD608-8CB3-4FF8-B08C-BFFAAB966DA3}"/>
    <cellStyle name="Currency 3 2 2 2 2 5 4" xfId="10509" xr:uid="{F68553E1-53C8-40FA-90E0-C0BE4B88FFB6}"/>
    <cellStyle name="Currency 3 2 2 2 2 6" xfId="2416" xr:uid="{00000000-0005-0000-0000-0000B90A0000}"/>
    <cellStyle name="Currency 3 2 2 2 2 6 2" xfId="6701" xr:uid="{00000000-0005-0000-0000-0000BA0A0000}"/>
    <cellStyle name="Currency 3 2 2 2 2 6 2 2" xfId="15140" xr:uid="{E55AC149-E0C3-4CBA-96B6-D400EE35B352}"/>
    <cellStyle name="Currency 3 2 2 2 2 6 3" xfId="10922" xr:uid="{0ACDCF1E-3461-43F5-956E-186EFEAF2A1E}"/>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65C44D46-1E58-4488-A823-1B31F21C061F}"/>
    <cellStyle name="Currency 3 2 2 2 2 8 3" xfId="11239" xr:uid="{1B893FC3-56FD-4489-9325-971FA5E64025}"/>
    <cellStyle name="Currency 3 2 2 2 2 9" xfId="4635" xr:uid="{00000000-0005-0000-0000-0000BE0A0000}"/>
    <cellStyle name="Currency 3 2 2 2 2 9 2" xfId="13074" xr:uid="{57710038-C070-404D-AEA3-97E9B89B929F}"/>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13ED88F6-E199-409C-9E1C-6935CCED4B1F}"/>
    <cellStyle name="Currency 3 2 2 2 3 2 3" xfId="11414" xr:uid="{4141CD0C-028A-417D-AA46-AB4153EC58C4}"/>
    <cellStyle name="Currency 3 2 2 2 3 3" xfId="5048" xr:uid="{00000000-0005-0000-0000-0000C20A0000}"/>
    <cellStyle name="Currency 3 2 2 2 3 3 2" xfId="13487" xr:uid="{CF48CE83-EC36-4D29-AC0A-5024792FA1AC}"/>
    <cellStyle name="Currency 3 2 2 2 3 4" xfId="9269" xr:uid="{622E572F-4372-4856-818D-A6F2F3E3BDBD}"/>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86C46133-B1E0-4B5B-9A99-5A8E93251B28}"/>
    <cellStyle name="Currency 3 2 2 2 4 2 3" xfId="11827" xr:uid="{18736E4C-1CCF-409F-A6EE-D9236F340B7E}"/>
    <cellStyle name="Currency 3 2 2 2 4 3" xfId="5461" xr:uid="{00000000-0005-0000-0000-0000C60A0000}"/>
    <cellStyle name="Currency 3 2 2 2 4 3 2" xfId="13900" xr:uid="{52B31EE3-46A3-40CF-8A4F-DFD2B4387303}"/>
    <cellStyle name="Currency 3 2 2 2 4 4" xfId="9682" xr:uid="{A6C375C1-E7C9-45C9-9BCA-0FA056E8CE36}"/>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7EE5B39F-F3CD-4896-ACEB-FBEB75801C48}"/>
    <cellStyle name="Currency 3 2 2 2 5 2 3" xfId="12240" xr:uid="{2D527A90-C4B0-401C-8683-8928B20E82D0}"/>
    <cellStyle name="Currency 3 2 2 2 5 3" xfId="5874" xr:uid="{00000000-0005-0000-0000-0000CA0A0000}"/>
    <cellStyle name="Currency 3 2 2 2 5 3 2" xfId="14313" xr:uid="{44067622-F41A-41D1-9979-4276E3C2BE04}"/>
    <cellStyle name="Currency 3 2 2 2 5 4" xfId="10095" xr:uid="{0826EDAD-05E8-4115-BC49-A23833106E17}"/>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B6DC5AF4-D39D-4040-B864-317647CAD980}"/>
    <cellStyle name="Currency 3 2 2 2 6 2 3" xfId="12653" xr:uid="{2DD4DB09-B601-4165-9322-B7A6046AD33E}"/>
    <cellStyle name="Currency 3 2 2 2 6 3" xfId="6287" xr:uid="{00000000-0005-0000-0000-0000CE0A0000}"/>
    <cellStyle name="Currency 3 2 2 2 6 3 2" xfId="14726" xr:uid="{1447A2E2-A27B-47C0-AC82-87FDE7172333}"/>
    <cellStyle name="Currency 3 2 2 2 6 4" xfId="10508" xr:uid="{3496AE93-E515-447D-A9A3-15B382BA6402}"/>
    <cellStyle name="Currency 3 2 2 2 7" xfId="2415" xr:uid="{00000000-0005-0000-0000-0000CF0A0000}"/>
    <cellStyle name="Currency 3 2 2 2 7 2" xfId="6700" xr:uid="{00000000-0005-0000-0000-0000D00A0000}"/>
    <cellStyle name="Currency 3 2 2 2 7 2 2" xfId="15139" xr:uid="{3A4DEF02-BD3F-43CD-A0EB-03D40246007A}"/>
    <cellStyle name="Currency 3 2 2 2 7 3" xfId="10921" xr:uid="{FFED09DC-2F81-4AB7-85CB-C6E4CC21D3E6}"/>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B5A3CAF6-068D-4C6E-B3D1-A0CF7F08C031}"/>
    <cellStyle name="Currency 3 2 2 2 9 3" xfId="11238" xr:uid="{C9BEAA7D-8000-4A3F-B9C1-A5DD4872A94E}"/>
    <cellStyle name="Currency 3 2 2 3" xfId="181" xr:uid="{00000000-0005-0000-0000-0000D40A0000}"/>
    <cellStyle name="Currency 3 2 2 3 10" xfId="8857" xr:uid="{55FB43ED-835E-48DE-B206-F6A1856A0174}"/>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CBFCD994-583F-44FE-842B-57962E7FC266}"/>
    <cellStyle name="Currency 3 2 2 3 2 2 3" xfId="11416" xr:uid="{750ECC7B-5844-4B61-951F-0F56A7721B8C}"/>
    <cellStyle name="Currency 3 2 2 3 2 3" xfId="5050" xr:uid="{00000000-0005-0000-0000-0000D80A0000}"/>
    <cellStyle name="Currency 3 2 2 3 2 3 2" xfId="13489" xr:uid="{059083A3-F047-477B-B915-E7261A14592A}"/>
    <cellStyle name="Currency 3 2 2 3 2 4" xfId="9271" xr:uid="{CA03222B-438B-4CC9-91B7-847AA1002093}"/>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7D7B4248-68CC-401A-A200-F3E9EFD19ED4}"/>
    <cellStyle name="Currency 3 2 2 3 3 2 3" xfId="11829" xr:uid="{EACF7B0E-525E-41FC-BD1E-EDF51EE8B29E}"/>
    <cellStyle name="Currency 3 2 2 3 3 3" xfId="5463" xr:uid="{00000000-0005-0000-0000-0000DC0A0000}"/>
    <cellStyle name="Currency 3 2 2 3 3 3 2" xfId="13902" xr:uid="{B7EF0833-4CB8-49C4-82EE-185AEE814147}"/>
    <cellStyle name="Currency 3 2 2 3 3 4" xfId="9684" xr:uid="{84AB3FBA-C4E3-43E5-8FD8-30EBD621EFF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76F6425A-67AD-46EA-A9E4-E4E4C4269850}"/>
    <cellStyle name="Currency 3 2 2 3 4 2 3" xfId="12242" xr:uid="{C9B08FD2-F4E7-4302-A529-E33D5B6AC4CB}"/>
    <cellStyle name="Currency 3 2 2 3 4 3" xfId="5876" xr:uid="{00000000-0005-0000-0000-0000E00A0000}"/>
    <cellStyle name="Currency 3 2 2 3 4 3 2" xfId="14315" xr:uid="{BA6DE5AF-DE23-4CAE-92EC-7668508C70AC}"/>
    <cellStyle name="Currency 3 2 2 3 4 4" xfId="10097" xr:uid="{E288DFE0-C25C-4EB4-9750-C82628F81473}"/>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722A80E6-0088-43B0-A8AE-E9E1A1C9452A}"/>
    <cellStyle name="Currency 3 2 2 3 5 2 3" xfId="12655" xr:uid="{C76FC437-E8D9-4F22-A279-A51887718B83}"/>
    <cellStyle name="Currency 3 2 2 3 5 3" xfId="6289" xr:uid="{00000000-0005-0000-0000-0000E40A0000}"/>
    <cellStyle name="Currency 3 2 2 3 5 3 2" xfId="14728" xr:uid="{17C6A509-187F-489B-AC90-73E06523E091}"/>
    <cellStyle name="Currency 3 2 2 3 5 4" xfId="10510" xr:uid="{FB326561-6AAA-43E0-8149-DED883629303}"/>
    <cellStyle name="Currency 3 2 2 3 6" xfId="2417" xr:uid="{00000000-0005-0000-0000-0000E50A0000}"/>
    <cellStyle name="Currency 3 2 2 3 6 2" xfId="6702" xr:uid="{00000000-0005-0000-0000-0000E60A0000}"/>
    <cellStyle name="Currency 3 2 2 3 6 2 2" xfId="15141" xr:uid="{94546035-D56D-4832-A14F-FF98F7A38A45}"/>
    <cellStyle name="Currency 3 2 2 3 6 3" xfId="10923" xr:uid="{9EDCC0F3-9F9A-4DDC-87D8-F22C05C0DBBF}"/>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8F312489-EA20-41E2-B881-EA0E4FF2741F}"/>
    <cellStyle name="Currency 3 2 2 3 8 3" xfId="11240" xr:uid="{70E89207-8220-40E6-90F0-84D64B318990}"/>
    <cellStyle name="Currency 3 2 2 3 9" xfId="4636" xr:uid="{00000000-0005-0000-0000-0000EA0A0000}"/>
    <cellStyle name="Currency 3 2 2 3 9 2" xfId="13075" xr:uid="{3FDB4F61-5F4F-4E38-9A6B-7C97E1A983A4}"/>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9819E909-1406-4137-AF05-6A2E877707F6}"/>
    <cellStyle name="Currency 3 2 2 4 2 3" xfId="11413" xr:uid="{3C4CD560-4D53-4AA0-896B-A05A8079E18D}"/>
    <cellStyle name="Currency 3 2 2 4 3" xfId="5047" xr:uid="{00000000-0005-0000-0000-0000EE0A0000}"/>
    <cellStyle name="Currency 3 2 2 4 3 2" xfId="13486" xr:uid="{90C0EE88-325C-4A25-AA63-C19627A33C1B}"/>
    <cellStyle name="Currency 3 2 2 4 4" xfId="9268" xr:uid="{841E8255-B855-4774-9C3C-0D230E28961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4580B107-4313-4503-AF4B-E8AF137C9E06}"/>
    <cellStyle name="Currency 3 2 2 5 2 3" xfId="11826" xr:uid="{A84DD28B-48AD-4839-8239-143DF40314D5}"/>
    <cellStyle name="Currency 3 2 2 5 3" xfId="5460" xr:uid="{00000000-0005-0000-0000-0000F20A0000}"/>
    <cellStyle name="Currency 3 2 2 5 3 2" xfId="13899" xr:uid="{D84CDC0A-E998-4E96-A349-054049F149C3}"/>
    <cellStyle name="Currency 3 2 2 5 4" xfId="9681" xr:uid="{602F1D23-DE51-4F94-9F13-836A25B63126}"/>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6F0FE2A6-4C1B-4680-80C2-2057C24A2956}"/>
    <cellStyle name="Currency 3 2 2 6 2 3" xfId="12239" xr:uid="{797781D4-98C5-4612-AAE2-C754FD557D07}"/>
    <cellStyle name="Currency 3 2 2 6 3" xfId="5873" xr:uid="{00000000-0005-0000-0000-0000F60A0000}"/>
    <cellStyle name="Currency 3 2 2 6 3 2" xfId="14312" xr:uid="{228F6F76-6E81-428A-994A-565CB0D68DE0}"/>
    <cellStyle name="Currency 3 2 2 6 4" xfId="10094" xr:uid="{C4C74F86-7E55-4D43-8CEF-4726369218DE}"/>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58345135-A462-4E00-8ED2-155CB993C4EC}"/>
    <cellStyle name="Currency 3 2 2 7 2 3" xfId="12652" xr:uid="{D31B313E-200B-4BBD-B60B-BF1D588D3C31}"/>
    <cellStyle name="Currency 3 2 2 7 3" xfId="6286" xr:uid="{00000000-0005-0000-0000-0000FA0A0000}"/>
    <cellStyle name="Currency 3 2 2 7 3 2" xfId="14725" xr:uid="{5B156A90-020C-4593-84B1-3CB6245CCD3D}"/>
    <cellStyle name="Currency 3 2 2 7 4" xfId="10507" xr:uid="{0BA90B01-D0C7-4EB4-9C4C-8B60DF86C4A1}"/>
    <cellStyle name="Currency 3 2 2 8" xfId="2414" xr:uid="{00000000-0005-0000-0000-0000FB0A0000}"/>
    <cellStyle name="Currency 3 2 2 8 2" xfId="6699" xr:uid="{00000000-0005-0000-0000-0000FC0A0000}"/>
    <cellStyle name="Currency 3 2 2 8 2 2" xfId="15138" xr:uid="{32DD2F0C-862D-4060-8E94-9713D178724E}"/>
    <cellStyle name="Currency 3 2 2 8 3" xfId="10920" xr:uid="{47D1EDF7-EF44-41EC-ABB2-852BE72F450F}"/>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8C4D9032-B0D6-4F48-B9C3-9454289922AB}"/>
    <cellStyle name="Currency 3 2 3 11" xfId="8858" xr:uid="{AB920C31-C6B4-44BF-9162-DE06FB86ACA9}"/>
    <cellStyle name="Currency 3 2 3 2" xfId="183" xr:uid="{00000000-0005-0000-0000-0000000B0000}"/>
    <cellStyle name="Currency 3 2 3 2 10" xfId="8859" xr:uid="{66BDC023-A09E-4653-94E3-9CA7AEF27F64}"/>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BE4BE30E-BF16-46FA-B2AF-1E3A1F964362}"/>
    <cellStyle name="Currency 3 2 3 2 2 2 3" xfId="11418" xr:uid="{CC964623-6274-44C8-92FE-41B6C89F1198}"/>
    <cellStyle name="Currency 3 2 3 2 2 3" xfId="5052" xr:uid="{00000000-0005-0000-0000-0000040B0000}"/>
    <cellStyle name="Currency 3 2 3 2 2 3 2" xfId="13491" xr:uid="{D29C2068-78DC-441D-917D-9B815EEA8D5E}"/>
    <cellStyle name="Currency 3 2 3 2 2 4" xfId="9273" xr:uid="{13ADAF7A-B0FF-4888-A1FB-06EE2FDAAE4E}"/>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642BFD07-B323-4B78-BAD3-D4D44F1FB456}"/>
    <cellStyle name="Currency 3 2 3 2 3 2 3" xfId="11831" xr:uid="{73553BB0-796B-4455-A07E-711D69F649BC}"/>
    <cellStyle name="Currency 3 2 3 2 3 3" xfId="5465" xr:uid="{00000000-0005-0000-0000-0000080B0000}"/>
    <cellStyle name="Currency 3 2 3 2 3 3 2" xfId="13904" xr:uid="{93F6683F-0119-4439-B220-70A46F2921E3}"/>
    <cellStyle name="Currency 3 2 3 2 3 4" xfId="9686" xr:uid="{5B636741-C9ED-489C-8021-8AED40F3FCFC}"/>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7850C27F-0C16-4D19-9FBC-BAED97FB21AF}"/>
    <cellStyle name="Currency 3 2 3 2 4 2 3" xfId="12244" xr:uid="{5771ABF7-69FD-4CFF-B9F2-AE23F88AF213}"/>
    <cellStyle name="Currency 3 2 3 2 4 3" xfId="5878" xr:uid="{00000000-0005-0000-0000-00000C0B0000}"/>
    <cellStyle name="Currency 3 2 3 2 4 3 2" xfId="14317" xr:uid="{8D180CE2-EAED-40A7-9E30-643F67E145C3}"/>
    <cellStyle name="Currency 3 2 3 2 4 4" xfId="10099" xr:uid="{7B2861F2-B5D6-4F3F-8E90-3E665F4CBA7D}"/>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C00FCA36-B09A-4F79-BBF8-01A4DC293DBE}"/>
    <cellStyle name="Currency 3 2 3 2 5 2 3" xfId="12657" xr:uid="{D3E29344-2115-4BC9-BBCB-86A7C04B7DA0}"/>
    <cellStyle name="Currency 3 2 3 2 5 3" xfId="6291" xr:uid="{00000000-0005-0000-0000-0000100B0000}"/>
    <cellStyle name="Currency 3 2 3 2 5 3 2" xfId="14730" xr:uid="{2E184658-3C7A-4D26-BDD3-F82C31032BC7}"/>
    <cellStyle name="Currency 3 2 3 2 5 4" xfId="10512" xr:uid="{EB298CB4-1447-4B42-BD72-F13217D2025B}"/>
    <cellStyle name="Currency 3 2 3 2 6" xfId="2419" xr:uid="{00000000-0005-0000-0000-0000110B0000}"/>
    <cellStyle name="Currency 3 2 3 2 6 2" xfId="6704" xr:uid="{00000000-0005-0000-0000-0000120B0000}"/>
    <cellStyle name="Currency 3 2 3 2 6 2 2" xfId="15143" xr:uid="{FDD2C854-5BD1-4C48-9A8A-2FAFE901C1C1}"/>
    <cellStyle name="Currency 3 2 3 2 6 3" xfId="10925" xr:uid="{5DCDD8DF-C7F6-4F56-84C8-3D22D7E9E65A}"/>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B6897840-9EE4-4387-9856-C2C254DB1A81}"/>
    <cellStyle name="Currency 3 2 3 2 8 3" xfId="11242" xr:uid="{E4CB1CF4-ABF0-4630-A0BD-14DFF761A869}"/>
    <cellStyle name="Currency 3 2 3 2 9" xfId="4638" xr:uid="{00000000-0005-0000-0000-0000160B0000}"/>
    <cellStyle name="Currency 3 2 3 2 9 2" xfId="13077" xr:uid="{735721CB-7E8D-404B-B986-91E891957D7D}"/>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707E3DC9-77D4-4D91-A085-EF19AD11C744}"/>
    <cellStyle name="Currency 3 2 3 3 2 3" xfId="11417" xr:uid="{48BB381C-747A-4A23-A8FC-C3222FFEB4FF}"/>
    <cellStyle name="Currency 3 2 3 3 3" xfId="5051" xr:uid="{00000000-0005-0000-0000-00001A0B0000}"/>
    <cellStyle name="Currency 3 2 3 3 3 2" xfId="13490" xr:uid="{32D07D0A-DB80-4EC9-8D29-202F6154A75F}"/>
    <cellStyle name="Currency 3 2 3 3 4" xfId="9272" xr:uid="{72869022-E372-4DB4-B423-8291BA92DFB3}"/>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F0A4697E-09CF-48CB-9FD1-AAAABD3F2155}"/>
    <cellStyle name="Currency 3 2 3 4 2 3" xfId="11830" xr:uid="{2DDAFF5A-1C0F-4A04-ABE2-EDCBE9CACFD7}"/>
    <cellStyle name="Currency 3 2 3 4 3" xfId="5464" xr:uid="{00000000-0005-0000-0000-00001E0B0000}"/>
    <cellStyle name="Currency 3 2 3 4 3 2" xfId="13903" xr:uid="{E7DDE9EA-A16E-47F9-8295-84294418D2EB}"/>
    <cellStyle name="Currency 3 2 3 4 4" xfId="9685" xr:uid="{52A18EBD-514B-4CBE-BB80-6F7D1B201CE9}"/>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FF095E84-4D0C-4FC5-A96B-8DCEF667B583}"/>
    <cellStyle name="Currency 3 2 3 5 2 3" xfId="12243" xr:uid="{F2A2E6DC-2D06-4DB7-8E53-3A6F4CE38786}"/>
    <cellStyle name="Currency 3 2 3 5 3" xfId="5877" xr:uid="{00000000-0005-0000-0000-0000220B0000}"/>
    <cellStyle name="Currency 3 2 3 5 3 2" xfId="14316" xr:uid="{C8F070C8-A702-4BC2-A4CE-9B364585D37B}"/>
    <cellStyle name="Currency 3 2 3 5 4" xfId="10098" xr:uid="{A5DA0C01-D6A9-43F0-BCD1-8C07718D56CE}"/>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5090FA01-F318-4580-A46B-C1BF914C5B3B}"/>
    <cellStyle name="Currency 3 2 3 6 2 3" xfId="12656" xr:uid="{B464C803-F651-42C4-9D0A-E6A3B16BD5D6}"/>
    <cellStyle name="Currency 3 2 3 6 3" xfId="6290" xr:uid="{00000000-0005-0000-0000-0000260B0000}"/>
    <cellStyle name="Currency 3 2 3 6 3 2" xfId="14729" xr:uid="{ED6FCA3C-E201-4E45-8946-9C6761E185DC}"/>
    <cellStyle name="Currency 3 2 3 6 4" xfId="10511" xr:uid="{00A3896E-9489-45B2-9A9F-2DF5E187531E}"/>
    <cellStyle name="Currency 3 2 3 7" xfId="2418" xr:uid="{00000000-0005-0000-0000-0000270B0000}"/>
    <cellStyle name="Currency 3 2 3 7 2" xfId="6703" xr:uid="{00000000-0005-0000-0000-0000280B0000}"/>
    <cellStyle name="Currency 3 2 3 7 2 2" xfId="15142" xr:uid="{948D81D8-117F-46AC-8D03-43E5926D1FFF}"/>
    <cellStyle name="Currency 3 2 3 7 3" xfId="10924" xr:uid="{121E8279-D2CE-4CE6-B1CD-6CDDA836A6C0}"/>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C1E02577-37EC-4176-8338-A156DA783637}"/>
    <cellStyle name="Currency 3 2 3 9 3" xfId="11241" xr:uid="{8999FF5E-FAC3-407F-A9A4-CBE8003E23AE}"/>
    <cellStyle name="Currency 3 2 4" xfId="184" xr:uid="{00000000-0005-0000-0000-00002C0B0000}"/>
    <cellStyle name="Currency 3 2 4 10" xfId="8860" xr:uid="{63AC3006-672E-41C0-A17C-D79AFFAC8BBD}"/>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838EDB4A-3EF8-45D4-8EA5-762615941B0F}"/>
    <cellStyle name="Currency 3 2 4 2 2 3" xfId="11419" xr:uid="{79277CFF-4A85-488C-B98A-0816A8A0B67D}"/>
    <cellStyle name="Currency 3 2 4 2 3" xfId="5053" xr:uid="{00000000-0005-0000-0000-0000300B0000}"/>
    <cellStyle name="Currency 3 2 4 2 3 2" xfId="13492" xr:uid="{74779E4B-C863-45A3-BC5C-6E3C68905C82}"/>
    <cellStyle name="Currency 3 2 4 2 4" xfId="9274" xr:uid="{980ACDB0-FF28-4123-87C9-10E927B5D1CB}"/>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E162D5DC-2A17-489E-AA65-790E9E31D83F}"/>
    <cellStyle name="Currency 3 2 4 3 2 3" xfId="11832" xr:uid="{929E3656-E72C-4096-9CDE-AFDAC3B7B920}"/>
    <cellStyle name="Currency 3 2 4 3 3" xfId="5466" xr:uid="{00000000-0005-0000-0000-0000340B0000}"/>
    <cellStyle name="Currency 3 2 4 3 3 2" xfId="13905" xr:uid="{C2546F12-5E3D-4542-BE2D-810EDA70A369}"/>
    <cellStyle name="Currency 3 2 4 3 4" xfId="9687" xr:uid="{F5595202-EA56-451C-AABB-550E8AB7AD09}"/>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B517275D-2B74-4929-9D2F-53A99D311E01}"/>
    <cellStyle name="Currency 3 2 4 4 2 3" xfId="12245" xr:uid="{923C5888-CF33-4229-8F6E-C9A7F4023865}"/>
    <cellStyle name="Currency 3 2 4 4 3" xfId="5879" xr:uid="{00000000-0005-0000-0000-0000380B0000}"/>
    <cellStyle name="Currency 3 2 4 4 3 2" xfId="14318" xr:uid="{DF63E508-CAC7-46C9-8825-DE0766699443}"/>
    <cellStyle name="Currency 3 2 4 4 4" xfId="10100" xr:uid="{31A097C8-FB19-4929-BACA-09437BD67507}"/>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A637BDE9-A6C7-42B4-94C3-F7299720755B}"/>
    <cellStyle name="Currency 3 2 4 5 2 3" xfId="12658" xr:uid="{91C1875F-4A07-45CC-86A1-74EAB86B4D67}"/>
    <cellStyle name="Currency 3 2 4 5 3" xfId="6292" xr:uid="{00000000-0005-0000-0000-00003C0B0000}"/>
    <cellStyle name="Currency 3 2 4 5 3 2" xfId="14731" xr:uid="{97E278F0-25DE-4ABF-BA42-F757F3133847}"/>
    <cellStyle name="Currency 3 2 4 5 4" xfId="10513" xr:uid="{4884BE3E-1266-4614-86A3-A1FE108B693F}"/>
    <cellStyle name="Currency 3 2 4 6" xfId="2420" xr:uid="{00000000-0005-0000-0000-00003D0B0000}"/>
    <cellStyle name="Currency 3 2 4 6 2" xfId="6705" xr:uid="{00000000-0005-0000-0000-00003E0B0000}"/>
    <cellStyle name="Currency 3 2 4 6 2 2" xfId="15144" xr:uid="{A99A8458-AE57-4654-9806-7093EF47EB60}"/>
    <cellStyle name="Currency 3 2 4 6 3" xfId="10926" xr:uid="{A4A9A1D6-1C3F-488F-A9ED-9D4F492DBBC1}"/>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225A35ED-D58C-431C-975F-B131D2149B22}"/>
    <cellStyle name="Currency 3 2 4 8 3" xfId="11243" xr:uid="{C8BF07EE-4D81-4195-A499-09A82A89FE86}"/>
    <cellStyle name="Currency 3 2 4 9" xfId="4639" xr:uid="{00000000-0005-0000-0000-0000420B0000}"/>
    <cellStyle name="Currency 3 2 4 9 2" xfId="13078" xr:uid="{F4503534-84C7-4F5C-9E72-C5E79C0C742E}"/>
    <cellStyle name="Currency 3 2 5" xfId="185" xr:uid="{00000000-0005-0000-0000-0000430B0000}"/>
    <cellStyle name="Currency 3 2 5 10" xfId="8861" xr:uid="{A43AC986-E141-45AA-8C76-3694CE419368}"/>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0BB11C24-7583-4530-9E6A-D06EE1BDF678}"/>
    <cellStyle name="Currency 3 2 5 2 2 3" xfId="11420" xr:uid="{C85ACE5C-988B-425D-A933-FF5754F32DB8}"/>
    <cellStyle name="Currency 3 2 5 2 3" xfId="5054" xr:uid="{00000000-0005-0000-0000-0000470B0000}"/>
    <cellStyle name="Currency 3 2 5 2 3 2" xfId="13493" xr:uid="{7AD88923-9F20-4669-B0CF-3FB3D26E2591}"/>
    <cellStyle name="Currency 3 2 5 2 4" xfId="9275" xr:uid="{44717338-D99D-47DF-8665-E36109E92E04}"/>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4555B4F1-530F-4F64-A3E8-D9B7C706F924}"/>
    <cellStyle name="Currency 3 2 5 3 2 3" xfId="11833" xr:uid="{E5512AB6-DE61-4E12-99C3-9E56C6C6F689}"/>
    <cellStyle name="Currency 3 2 5 3 3" xfId="5467" xr:uid="{00000000-0005-0000-0000-00004B0B0000}"/>
    <cellStyle name="Currency 3 2 5 3 3 2" xfId="13906" xr:uid="{4FAF5884-B020-4329-AFB6-3D2D89737ADE}"/>
    <cellStyle name="Currency 3 2 5 3 4" xfId="9688" xr:uid="{D9106589-CD7F-4B59-93EA-7C2B0B2D8FE3}"/>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D2111EBE-3C57-48DB-962D-AD8983D69861}"/>
    <cellStyle name="Currency 3 2 5 4 2 3" xfId="12246" xr:uid="{4D51AD0B-10AF-4AF1-AABF-10A77295681A}"/>
    <cellStyle name="Currency 3 2 5 4 3" xfId="5880" xr:uid="{00000000-0005-0000-0000-00004F0B0000}"/>
    <cellStyle name="Currency 3 2 5 4 3 2" xfId="14319" xr:uid="{FFA052C0-1497-4144-86AC-8A7A469318EC}"/>
    <cellStyle name="Currency 3 2 5 4 4" xfId="10101" xr:uid="{9391B7BF-7192-4720-AAE3-5F19CE8BA1A4}"/>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D4D27D30-9F47-4C7C-8F7A-A23A41E06F40}"/>
    <cellStyle name="Currency 3 2 5 5 2 3" xfId="12659" xr:uid="{139A1D8F-98C8-40F2-977F-4E0C9ABFA614}"/>
    <cellStyle name="Currency 3 2 5 5 3" xfId="6293" xr:uid="{00000000-0005-0000-0000-0000530B0000}"/>
    <cellStyle name="Currency 3 2 5 5 3 2" xfId="14732" xr:uid="{56FA8023-A370-4C6C-A224-6D7FEC1D5AD6}"/>
    <cellStyle name="Currency 3 2 5 5 4" xfId="10514" xr:uid="{DECC4855-076E-4D02-813E-40C4E21C1353}"/>
    <cellStyle name="Currency 3 2 5 6" xfId="2421" xr:uid="{00000000-0005-0000-0000-0000540B0000}"/>
    <cellStyle name="Currency 3 2 5 6 2" xfId="6706" xr:uid="{00000000-0005-0000-0000-0000550B0000}"/>
    <cellStyle name="Currency 3 2 5 6 2 2" xfId="15145" xr:uid="{101D9353-98F7-4DA5-9851-2355B0FBCC09}"/>
    <cellStyle name="Currency 3 2 5 6 3" xfId="10927" xr:uid="{989721D2-7A69-4958-A31B-41868F132FB9}"/>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813CC18C-1361-4BDB-95FC-D792146C6C57}"/>
    <cellStyle name="Currency 3 2 5 8 3" xfId="11244" xr:uid="{CBF67D23-8A26-4090-B39F-1F9F41630B3F}"/>
    <cellStyle name="Currency 3 2 5 9" xfId="4640" xr:uid="{00000000-0005-0000-0000-0000590B0000}"/>
    <cellStyle name="Currency 3 2 5 9 2" xfId="13079" xr:uid="{8A08B82C-070B-4531-A03A-4390D0E60BFA}"/>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AAA0AEC8-9C97-4F2B-8DE3-E549896FC950}"/>
    <cellStyle name="Currency 5 2 2 2 10 3" xfId="11245" xr:uid="{3201DE00-8678-48AB-8C90-AF2562E83A04}"/>
    <cellStyle name="Currency 5 2 2 2 11" xfId="4641" xr:uid="{00000000-0005-0000-0000-00006C0B0000}"/>
    <cellStyle name="Currency 5 2 2 2 11 2" xfId="13080" xr:uid="{982D23A8-3225-4F22-A24F-6824BB02A956}"/>
    <cellStyle name="Currency 5 2 2 2 12" xfId="8862" xr:uid="{5A81D77B-8883-48C5-9F1F-3277C784A62F}"/>
    <cellStyle name="Currency 5 2 2 2 2" xfId="197" xr:uid="{00000000-0005-0000-0000-00006D0B0000}"/>
    <cellStyle name="Currency 5 2 2 2 2 10" xfId="4642" xr:uid="{00000000-0005-0000-0000-00006E0B0000}"/>
    <cellStyle name="Currency 5 2 2 2 2 10 2" xfId="13081" xr:uid="{B0B473AC-CAC2-43FD-B79D-65248DCA98FF}"/>
    <cellStyle name="Currency 5 2 2 2 2 11" xfId="8863" xr:uid="{4A9ABF4E-EBE5-459C-BEED-D578862373CA}"/>
    <cellStyle name="Currency 5 2 2 2 2 2" xfId="198" xr:uid="{00000000-0005-0000-0000-00006F0B0000}"/>
    <cellStyle name="Currency 5 2 2 2 2 2 10" xfId="8864" xr:uid="{3E46DA94-1717-4607-B879-667D8A6C2C48}"/>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A11B1EEE-56D9-45E8-A6C8-A6754B7AB48D}"/>
    <cellStyle name="Currency 5 2 2 2 2 2 2 2 3" xfId="11423" xr:uid="{F3480686-CE61-460A-9E7C-611807C526F2}"/>
    <cellStyle name="Currency 5 2 2 2 2 2 2 3" xfId="5057" xr:uid="{00000000-0005-0000-0000-0000730B0000}"/>
    <cellStyle name="Currency 5 2 2 2 2 2 2 3 2" xfId="13496" xr:uid="{525444AF-0597-4EC0-95AC-B81E1FD1A26C}"/>
    <cellStyle name="Currency 5 2 2 2 2 2 2 4" xfId="9278" xr:uid="{5FFE798B-D279-4ED2-B004-641914EB0F73}"/>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146D40C5-ABBA-49AF-81F3-3776E2D8C729}"/>
    <cellStyle name="Currency 5 2 2 2 2 2 3 2 3" xfId="11836" xr:uid="{C9ABC433-50EB-4911-91EC-29A246083EA5}"/>
    <cellStyle name="Currency 5 2 2 2 2 2 3 3" xfId="5470" xr:uid="{00000000-0005-0000-0000-0000770B0000}"/>
    <cellStyle name="Currency 5 2 2 2 2 2 3 3 2" xfId="13909" xr:uid="{358012C8-3F71-45C5-9E9D-6FCD705F217B}"/>
    <cellStyle name="Currency 5 2 2 2 2 2 3 4" xfId="9691" xr:uid="{E35EC17D-3E9E-41AE-9169-BFE10183230E}"/>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0A106B3E-7ACE-4514-BB43-52207C41F9DF}"/>
    <cellStyle name="Currency 5 2 2 2 2 2 4 2 3" xfId="12249" xr:uid="{0436C62D-8090-4DBD-83BC-5F3BBE2CE371}"/>
    <cellStyle name="Currency 5 2 2 2 2 2 4 3" xfId="5883" xr:uid="{00000000-0005-0000-0000-00007B0B0000}"/>
    <cellStyle name="Currency 5 2 2 2 2 2 4 3 2" xfId="14322" xr:uid="{41F2920B-C723-4AEF-A0A2-0AFB952F39B7}"/>
    <cellStyle name="Currency 5 2 2 2 2 2 4 4" xfId="10104" xr:uid="{A362A01C-887F-40A1-9FB5-7FDE03114BBC}"/>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9C5AB23A-08C1-40BC-A78B-94492E5FE836}"/>
    <cellStyle name="Currency 5 2 2 2 2 2 5 2 3" xfId="12662" xr:uid="{5495E76F-F0D5-4FED-BBCD-CC06ADF00F82}"/>
    <cellStyle name="Currency 5 2 2 2 2 2 5 3" xfId="6296" xr:uid="{00000000-0005-0000-0000-00007F0B0000}"/>
    <cellStyle name="Currency 5 2 2 2 2 2 5 3 2" xfId="14735" xr:uid="{F040D921-E907-44E4-88F0-4689EB7F0A26}"/>
    <cellStyle name="Currency 5 2 2 2 2 2 5 4" xfId="10517" xr:uid="{B0A711E9-69E3-45B6-B379-1B7ED963F1E8}"/>
    <cellStyle name="Currency 5 2 2 2 2 2 6" xfId="2424" xr:uid="{00000000-0005-0000-0000-0000800B0000}"/>
    <cellStyle name="Currency 5 2 2 2 2 2 6 2" xfId="6709" xr:uid="{00000000-0005-0000-0000-0000810B0000}"/>
    <cellStyle name="Currency 5 2 2 2 2 2 6 2 2" xfId="15148" xr:uid="{8BEBD384-1F05-4224-9CAC-D518C3E5D8E6}"/>
    <cellStyle name="Currency 5 2 2 2 2 2 6 3" xfId="10930" xr:uid="{B5105635-20EB-4647-BE9A-97428B53CA15}"/>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E5C8FB46-722F-4138-A69A-DB52DF097B34}"/>
    <cellStyle name="Currency 5 2 2 2 2 2 8 3" xfId="11247" xr:uid="{340989CC-E6C4-4B5D-BA6E-B8DB9A9F1ABF}"/>
    <cellStyle name="Currency 5 2 2 2 2 2 9" xfId="4643" xr:uid="{00000000-0005-0000-0000-0000850B0000}"/>
    <cellStyle name="Currency 5 2 2 2 2 2 9 2" xfId="13082" xr:uid="{9FBBC318-1157-4C6E-9FED-C52588FDDBBC}"/>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3FF20B23-8BFF-4F48-8399-0A6AEDA6E127}"/>
    <cellStyle name="Currency 5 2 2 2 2 3 2 3" xfId="11422" xr:uid="{66D21A3E-B0EC-49D5-A79F-B3157D44EFFC}"/>
    <cellStyle name="Currency 5 2 2 2 2 3 3" xfId="5056" xr:uid="{00000000-0005-0000-0000-0000890B0000}"/>
    <cellStyle name="Currency 5 2 2 2 2 3 3 2" xfId="13495" xr:uid="{275BE603-2565-4DE5-9A7B-F08E9B56B310}"/>
    <cellStyle name="Currency 5 2 2 2 2 3 4" xfId="9277" xr:uid="{31F66792-8F75-4862-B9DD-5B8E53B1BC81}"/>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6E390D58-2862-4897-9C86-90A0CD7A772C}"/>
    <cellStyle name="Currency 5 2 2 2 2 4 2 3" xfId="11835" xr:uid="{25729FD3-287D-496B-AB49-F2F6B5CE1A98}"/>
    <cellStyle name="Currency 5 2 2 2 2 4 3" xfId="5469" xr:uid="{00000000-0005-0000-0000-00008D0B0000}"/>
    <cellStyle name="Currency 5 2 2 2 2 4 3 2" xfId="13908" xr:uid="{2182275C-5509-4C95-9C0D-D563370D1EEA}"/>
    <cellStyle name="Currency 5 2 2 2 2 4 4" xfId="9690" xr:uid="{9EC03F51-9F76-455B-B3A2-546369C18A9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F4FF0C56-503B-4026-9AA4-9EAFF0EB4531}"/>
    <cellStyle name="Currency 5 2 2 2 2 5 2 3" xfId="12248" xr:uid="{85153378-4E7E-4B5A-B1EB-C3E701B69C59}"/>
    <cellStyle name="Currency 5 2 2 2 2 5 3" xfId="5882" xr:uid="{00000000-0005-0000-0000-0000910B0000}"/>
    <cellStyle name="Currency 5 2 2 2 2 5 3 2" xfId="14321" xr:uid="{590DDA04-6BD0-432E-971E-ABEA8BAABF0F}"/>
    <cellStyle name="Currency 5 2 2 2 2 5 4" xfId="10103" xr:uid="{B385F06C-4B6D-46B3-9686-64BCBE8F28F1}"/>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7B0A8D26-EC5F-4644-80DE-2353173B2332}"/>
    <cellStyle name="Currency 5 2 2 2 2 6 2 3" xfId="12661" xr:uid="{2291D190-9073-4833-A5E9-C99656D98FA8}"/>
    <cellStyle name="Currency 5 2 2 2 2 6 3" xfId="6295" xr:uid="{00000000-0005-0000-0000-0000950B0000}"/>
    <cellStyle name="Currency 5 2 2 2 2 6 3 2" xfId="14734" xr:uid="{3C8E0CBF-4085-430C-8D17-117631C3DDCA}"/>
    <cellStyle name="Currency 5 2 2 2 2 6 4" xfId="10516" xr:uid="{1A38B99B-CD57-4A01-9A19-553B582F94CC}"/>
    <cellStyle name="Currency 5 2 2 2 2 7" xfId="2423" xr:uid="{00000000-0005-0000-0000-0000960B0000}"/>
    <cellStyle name="Currency 5 2 2 2 2 7 2" xfId="6708" xr:uid="{00000000-0005-0000-0000-0000970B0000}"/>
    <cellStyle name="Currency 5 2 2 2 2 7 2 2" xfId="15147" xr:uid="{01B56F2C-BE7B-4BD8-BB99-0EE5DA9E1734}"/>
    <cellStyle name="Currency 5 2 2 2 2 7 3" xfId="10929" xr:uid="{EAA0EEFF-26B5-4DC7-847A-D1AC23730964}"/>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08318B08-9075-45DD-A797-64BE695FD848}"/>
    <cellStyle name="Currency 5 2 2 2 2 9 3" xfId="11246" xr:uid="{9529B0C8-9059-4F8B-B5C5-25F21DD99D90}"/>
    <cellStyle name="Currency 5 2 2 2 3" xfId="199" xr:uid="{00000000-0005-0000-0000-00009B0B0000}"/>
    <cellStyle name="Currency 5 2 2 2 3 10" xfId="8865" xr:uid="{24679DFA-C9EB-4FD1-A08C-0998AEA98ED9}"/>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C747802B-38DC-4EED-91FC-6606F5C442F1}"/>
    <cellStyle name="Currency 5 2 2 2 3 2 2 3" xfId="11424" xr:uid="{615A85EB-4E0F-464E-86DB-ABBCBA46C7FC}"/>
    <cellStyle name="Currency 5 2 2 2 3 2 3" xfId="5058" xr:uid="{00000000-0005-0000-0000-00009F0B0000}"/>
    <cellStyle name="Currency 5 2 2 2 3 2 3 2" xfId="13497" xr:uid="{C1276B6D-BC1C-491B-A844-FD33F6DBF75C}"/>
    <cellStyle name="Currency 5 2 2 2 3 2 4" xfId="9279" xr:uid="{EA6EFA4E-FDEF-4BB4-BCCD-78CB749EAB8A}"/>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16EF2CDF-B8BB-462A-999B-677FC38A262F}"/>
    <cellStyle name="Currency 5 2 2 2 3 3 2 3" xfId="11837" xr:uid="{1F9588AB-325E-4C99-8920-F9EBC1A06E71}"/>
    <cellStyle name="Currency 5 2 2 2 3 3 3" xfId="5471" xr:uid="{00000000-0005-0000-0000-0000A30B0000}"/>
    <cellStyle name="Currency 5 2 2 2 3 3 3 2" xfId="13910" xr:uid="{2D3F77A1-3BF3-44D4-9D28-C5FB932B3075}"/>
    <cellStyle name="Currency 5 2 2 2 3 3 4" xfId="9692" xr:uid="{FB0F3C70-63B3-4081-8D87-6FCB5F0CE35F}"/>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B22B968C-155A-47F7-B98F-2A28E12B43BF}"/>
    <cellStyle name="Currency 5 2 2 2 3 4 2 3" xfId="12250" xr:uid="{F36D58D9-5771-45B9-8D3D-9EAC8A067E27}"/>
    <cellStyle name="Currency 5 2 2 2 3 4 3" xfId="5884" xr:uid="{00000000-0005-0000-0000-0000A70B0000}"/>
    <cellStyle name="Currency 5 2 2 2 3 4 3 2" xfId="14323" xr:uid="{746F39A9-75FE-400A-BCA0-E7FB79459A56}"/>
    <cellStyle name="Currency 5 2 2 2 3 4 4" xfId="10105" xr:uid="{D7DCDD06-9121-492E-AA06-A1FB8307363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4A30EA92-AA85-4789-AF36-D1CB71268665}"/>
    <cellStyle name="Currency 5 2 2 2 3 5 2 3" xfId="12663" xr:uid="{925882A0-84BA-4C58-AD71-F26C6221382D}"/>
    <cellStyle name="Currency 5 2 2 2 3 5 3" xfId="6297" xr:uid="{00000000-0005-0000-0000-0000AB0B0000}"/>
    <cellStyle name="Currency 5 2 2 2 3 5 3 2" xfId="14736" xr:uid="{1D420A27-2B6D-4C35-9D0F-09846D6A919F}"/>
    <cellStyle name="Currency 5 2 2 2 3 5 4" xfId="10518" xr:uid="{908E5E6D-233E-4E73-B549-CEB3559745A5}"/>
    <cellStyle name="Currency 5 2 2 2 3 6" xfId="2425" xr:uid="{00000000-0005-0000-0000-0000AC0B0000}"/>
    <cellStyle name="Currency 5 2 2 2 3 6 2" xfId="6710" xr:uid="{00000000-0005-0000-0000-0000AD0B0000}"/>
    <cellStyle name="Currency 5 2 2 2 3 6 2 2" xfId="15149" xr:uid="{72146BE3-9FC1-4227-BAB3-0DB86293D393}"/>
    <cellStyle name="Currency 5 2 2 2 3 6 3" xfId="10931" xr:uid="{0EDC5974-1FB2-463C-A0D1-31B66538226B}"/>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C143D6DD-6AEB-43FE-BB07-5AF7F7C97C19}"/>
    <cellStyle name="Currency 5 2 2 2 3 8 3" xfId="11248" xr:uid="{A9B2378F-A2DC-454D-BAB1-561D536ECA0F}"/>
    <cellStyle name="Currency 5 2 2 2 3 9" xfId="4644" xr:uid="{00000000-0005-0000-0000-0000B10B0000}"/>
    <cellStyle name="Currency 5 2 2 2 3 9 2" xfId="13083" xr:uid="{C6A6E190-CD87-4644-B33A-273041EA3D74}"/>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B0207F8C-7344-4D82-8BB4-E7D731C21C8C}"/>
    <cellStyle name="Currency 5 2 2 2 4 2 3" xfId="11421" xr:uid="{6C7066F0-5D15-4122-9584-8C79601DD50F}"/>
    <cellStyle name="Currency 5 2 2 2 4 3" xfId="5055" xr:uid="{00000000-0005-0000-0000-0000B50B0000}"/>
    <cellStyle name="Currency 5 2 2 2 4 3 2" xfId="13494" xr:uid="{FB322FC9-1223-4D6D-8B65-F90EFF9F6225}"/>
    <cellStyle name="Currency 5 2 2 2 4 4" xfId="9276" xr:uid="{E2C21CD5-4042-4B46-B700-7A050F6AF3D1}"/>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F4E8953C-90D1-4BA8-BA1E-8AC22258103B}"/>
    <cellStyle name="Currency 5 2 2 2 5 2 3" xfId="11834" xr:uid="{14C7D195-7FE0-4968-8BF2-E7B3C7B3FCDE}"/>
    <cellStyle name="Currency 5 2 2 2 5 3" xfId="5468" xr:uid="{00000000-0005-0000-0000-0000B90B0000}"/>
    <cellStyle name="Currency 5 2 2 2 5 3 2" xfId="13907" xr:uid="{19CF2D20-70A9-4FD4-9E92-703B857A06A0}"/>
    <cellStyle name="Currency 5 2 2 2 5 4" xfId="9689" xr:uid="{454A94DB-14D2-412E-8D1C-304EB888E8F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D6BEC5A6-EA8E-47D1-B2B9-219E88380643}"/>
    <cellStyle name="Currency 5 2 2 2 6 2 3" xfId="12247" xr:uid="{906ACA06-EEA3-408D-9E7F-078E0F89F1D1}"/>
    <cellStyle name="Currency 5 2 2 2 6 3" xfId="5881" xr:uid="{00000000-0005-0000-0000-0000BD0B0000}"/>
    <cellStyle name="Currency 5 2 2 2 6 3 2" xfId="14320" xr:uid="{05957F27-4B1C-493C-BEA5-0A4BC98C6E47}"/>
    <cellStyle name="Currency 5 2 2 2 6 4" xfId="10102" xr:uid="{4F308093-6AD7-41F7-A39A-189AC55686E4}"/>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D84F2DF7-2C5B-4C40-9A1D-D876BDCF123E}"/>
    <cellStyle name="Currency 5 2 2 2 7 2 3" xfId="12660" xr:uid="{E310DE66-5052-4410-86CA-2E529741710B}"/>
    <cellStyle name="Currency 5 2 2 2 7 3" xfId="6294" xr:uid="{00000000-0005-0000-0000-0000C10B0000}"/>
    <cellStyle name="Currency 5 2 2 2 7 3 2" xfId="14733" xr:uid="{6ACB2658-B6BA-45E4-9BB4-A44F3D6210E5}"/>
    <cellStyle name="Currency 5 2 2 2 7 4" xfId="10515" xr:uid="{24A4B326-EF35-4F44-96FB-C239AF90B44E}"/>
    <cellStyle name="Currency 5 2 2 2 8" xfId="2422" xr:uid="{00000000-0005-0000-0000-0000C20B0000}"/>
    <cellStyle name="Currency 5 2 2 2 8 2" xfId="6707" xr:uid="{00000000-0005-0000-0000-0000C30B0000}"/>
    <cellStyle name="Currency 5 2 2 2 8 2 2" xfId="15146" xr:uid="{0E78E517-D06A-4901-8216-35109F20C55C}"/>
    <cellStyle name="Currency 5 2 2 2 8 3" xfId="10928" xr:uid="{37A323F7-A8C1-41C7-A421-9C93209B4519}"/>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19885071-5A22-4558-9B47-6A7F196D0A57}"/>
    <cellStyle name="Currency 5 2 2 3 11" xfId="8866" xr:uid="{C720ABED-E864-4CE1-8C46-F885EFE286DF}"/>
    <cellStyle name="Currency 5 2 2 3 2" xfId="201" xr:uid="{00000000-0005-0000-0000-0000C70B0000}"/>
    <cellStyle name="Currency 5 2 2 3 2 10" xfId="8867" xr:uid="{82777406-1CBD-4F23-B5F8-0E210DF4F9E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6B781E79-DDCC-42B0-97C1-84C1CF0C3A4B}"/>
    <cellStyle name="Currency 5 2 2 3 2 2 2 3" xfId="11426" xr:uid="{B948F475-1E10-4F2F-B8C9-138FA5410621}"/>
    <cellStyle name="Currency 5 2 2 3 2 2 3" xfId="5060" xr:uid="{00000000-0005-0000-0000-0000CB0B0000}"/>
    <cellStyle name="Currency 5 2 2 3 2 2 3 2" xfId="13499" xr:uid="{D9F825A9-B17A-4394-A75B-1274334C3788}"/>
    <cellStyle name="Currency 5 2 2 3 2 2 4" xfId="9281" xr:uid="{4A623B18-FA72-43B4-900F-3FEE25246972}"/>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CDC0876B-F752-4F0A-AC4B-778C022DCF00}"/>
    <cellStyle name="Currency 5 2 2 3 2 3 2 3" xfId="11839" xr:uid="{C0DFC608-2A52-43F0-BCA6-77C1CAE52308}"/>
    <cellStyle name="Currency 5 2 2 3 2 3 3" xfId="5473" xr:uid="{00000000-0005-0000-0000-0000CF0B0000}"/>
    <cellStyle name="Currency 5 2 2 3 2 3 3 2" xfId="13912" xr:uid="{520E519B-B56A-4F4C-8ED8-86FE53A85EED}"/>
    <cellStyle name="Currency 5 2 2 3 2 3 4" xfId="9694" xr:uid="{E4CE501A-9E71-46E7-9233-E5B3FE33F228}"/>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809F4390-9B36-424A-ABD3-959C577F4B60}"/>
    <cellStyle name="Currency 5 2 2 3 2 4 2 3" xfId="12252" xr:uid="{607AD7A2-5746-4D94-B1AF-CDE6B36CA2B7}"/>
    <cellStyle name="Currency 5 2 2 3 2 4 3" xfId="5886" xr:uid="{00000000-0005-0000-0000-0000D30B0000}"/>
    <cellStyle name="Currency 5 2 2 3 2 4 3 2" xfId="14325" xr:uid="{EE83AC2A-E612-4DFD-8436-7503AF49DD4C}"/>
    <cellStyle name="Currency 5 2 2 3 2 4 4" xfId="10107" xr:uid="{C69CF9DD-4DB6-470A-AA89-45B00B92B1AB}"/>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B4764AA8-E973-4471-A6DB-D781EBCD4349}"/>
    <cellStyle name="Currency 5 2 2 3 2 5 2 3" xfId="12665" xr:uid="{8FB84978-F743-4FAE-9446-A96DC37164F2}"/>
    <cellStyle name="Currency 5 2 2 3 2 5 3" xfId="6299" xr:uid="{00000000-0005-0000-0000-0000D70B0000}"/>
    <cellStyle name="Currency 5 2 2 3 2 5 3 2" xfId="14738" xr:uid="{22BA0F5C-C31A-4B34-B12B-DD033D20AF6C}"/>
    <cellStyle name="Currency 5 2 2 3 2 5 4" xfId="10520" xr:uid="{A6BD9F70-357D-4C02-AC6E-FD076E7AE2DB}"/>
    <cellStyle name="Currency 5 2 2 3 2 6" xfId="2427" xr:uid="{00000000-0005-0000-0000-0000D80B0000}"/>
    <cellStyle name="Currency 5 2 2 3 2 6 2" xfId="6712" xr:uid="{00000000-0005-0000-0000-0000D90B0000}"/>
    <cellStyle name="Currency 5 2 2 3 2 6 2 2" xfId="15151" xr:uid="{E4B53EEC-74B7-477C-93AD-EC9011FDE474}"/>
    <cellStyle name="Currency 5 2 2 3 2 6 3" xfId="10933" xr:uid="{976A4F8B-B37C-4CBC-8578-356C4D1ECA1A}"/>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082AF953-1097-4B07-8C86-BE4532691D0D}"/>
    <cellStyle name="Currency 5 2 2 3 2 8 3" xfId="11250" xr:uid="{4CD190E2-433A-4C87-B8CB-921979B03985}"/>
    <cellStyle name="Currency 5 2 2 3 2 9" xfId="4646" xr:uid="{00000000-0005-0000-0000-0000DD0B0000}"/>
    <cellStyle name="Currency 5 2 2 3 2 9 2" xfId="13085" xr:uid="{141F7DF6-44FF-4468-92A5-F3E4BAC89AEB}"/>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FD5DE639-EA9B-46FB-8F9F-0E2AFDA57400}"/>
    <cellStyle name="Currency 5 2 2 3 3 2 3" xfId="11425" xr:uid="{33008F72-C3E2-406A-A39B-DC17F1215983}"/>
    <cellStyle name="Currency 5 2 2 3 3 3" xfId="5059" xr:uid="{00000000-0005-0000-0000-0000E10B0000}"/>
    <cellStyle name="Currency 5 2 2 3 3 3 2" xfId="13498" xr:uid="{D54D10E8-E7D7-4E04-96BC-26EB2D1E3A9D}"/>
    <cellStyle name="Currency 5 2 2 3 3 4" xfId="9280" xr:uid="{CAE1E4C2-FE40-47F1-8F7E-63A31B38036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77F37681-C324-4AD6-8C86-32D7ED1725F5}"/>
    <cellStyle name="Currency 5 2 2 3 4 2 3" xfId="11838" xr:uid="{ECB8C189-2168-4C5B-AF58-632092CDAF75}"/>
    <cellStyle name="Currency 5 2 2 3 4 3" xfId="5472" xr:uid="{00000000-0005-0000-0000-0000E50B0000}"/>
    <cellStyle name="Currency 5 2 2 3 4 3 2" xfId="13911" xr:uid="{8F225E4A-6996-4B60-8192-579D64A70ECA}"/>
    <cellStyle name="Currency 5 2 2 3 4 4" xfId="9693" xr:uid="{D3E28C1E-4783-4791-89E5-E8097DB6E33F}"/>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BE3151B6-B8C1-481E-A3F7-F1082A4ED83D}"/>
    <cellStyle name="Currency 5 2 2 3 5 2 3" xfId="12251" xr:uid="{88898F86-203B-4923-B259-C5982C762F09}"/>
    <cellStyle name="Currency 5 2 2 3 5 3" xfId="5885" xr:uid="{00000000-0005-0000-0000-0000E90B0000}"/>
    <cellStyle name="Currency 5 2 2 3 5 3 2" xfId="14324" xr:uid="{D1016558-9502-4409-9945-3D4D0C3ECD40}"/>
    <cellStyle name="Currency 5 2 2 3 5 4" xfId="10106" xr:uid="{8BE84ED1-7580-4FC7-BE25-F84CDF1285D2}"/>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F5F75A5A-79E2-4F18-96FB-0734861EC8EB}"/>
    <cellStyle name="Currency 5 2 2 3 6 2 3" xfId="12664" xr:uid="{393FD56A-14D7-4275-A357-6DC1F1F6E18A}"/>
    <cellStyle name="Currency 5 2 2 3 6 3" xfId="6298" xr:uid="{00000000-0005-0000-0000-0000ED0B0000}"/>
    <cellStyle name="Currency 5 2 2 3 6 3 2" xfId="14737" xr:uid="{C9F2044A-E8CC-4EE6-82AE-F00096BD65C3}"/>
    <cellStyle name="Currency 5 2 2 3 6 4" xfId="10519" xr:uid="{80ED06BF-220E-4225-9917-22C083F86897}"/>
    <cellStyle name="Currency 5 2 2 3 7" xfId="2426" xr:uid="{00000000-0005-0000-0000-0000EE0B0000}"/>
    <cellStyle name="Currency 5 2 2 3 7 2" xfId="6711" xr:uid="{00000000-0005-0000-0000-0000EF0B0000}"/>
    <cellStyle name="Currency 5 2 2 3 7 2 2" xfId="15150" xr:uid="{C8159CAF-6F6B-44F0-AC32-171588E3DABA}"/>
    <cellStyle name="Currency 5 2 2 3 7 3" xfId="10932" xr:uid="{880D1CCC-DEB0-4BB9-BC2B-4E175D2FAE6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3697DD3E-EDA2-48B0-9DAF-811EB9A6048D}"/>
    <cellStyle name="Currency 5 2 2 3 9 3" xfId="11249" xr:uid="{9DF84AE5-F404-47FE-98D8-B0FD08DAE07F}"/>
    <cellStyle name="Currency 5 2 2 4" xfId="202" xr:uid="{00000000-0005-0000-0000-0000F30B0000}"/>
    <cellStyle name="Currency 5 2 2 4 10" xfId="8868" xr:uid="{ECF5FF3C-CA19-4F64-8C4B-C138CCE6899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248BD6B4-D492-467A-949C-C4EAB8C2DC3B}"/>
    <cellStyle name="Currency 5 2 2 4 2 2 3" xfId="11427" xr:uid="{14C83A6E-036C-4B30-AF7C-33945FAE1B27}"/>
    <cellStyle name="Currency 5 2 2 4 2 3" xfId="5061" xr:uid="{00000000-0005-0000-0000-0000F70B0000}"/>
    <cellStyle name="Currency 5 2 2 4 2 3 2" xfId="13500" xr:uid="{A68CFEF4-6844-4EFA-9E07-5EA86979A89A}"/>
    <cellStyle name="Currency 5 2 2 4 2 4" xfId="9282" xr:uid="{0430AC5F-5B4F-47D4-90A5-F5CFF59625E7}"/>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99FD1565-954F-46BA-BAE0-AC9B19FDC754}"/>
    <cellStyle name="Currency 5 2 2 4 3 2 3" xfId="11840" xr:uid="{03B6F00E-9FFB-4807-B490-3C13C4978F94}"/>
    <cellStyle name="Currency 5 2 2 4 3 3" xfId="5474" xr:uid="{00000000-0005-0000-0000-0000FB0B0000}"/>
    <cellStyle name="Currency 5 2 2 4 3 3 2" xfId="13913" xr:uid="{27C343D7-49DA-4D46-B63E-C1A80E520D4D}"/>
    <cellStyle name="Currency 5 2 2 4 3 4" xfId="9695" xr:uid="{6633F6B5-419D-4777-832A-1C97E7AFA4A6}"/>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82173F2B-7C92-4A48-B2C0-FD654EA8FF36}"/>
    <cellStyle name="Currency 5 2 2 4 4 2 3" xfId="12253" xr:uid="{7B33BA55-435F-48DE-B1B4-69D39AFA31D7}"/>
    <cellStyle name="Currency 5 2 2 4 4 3" xfId="5887" xr:uid="{00000000-0005-0000-0000-0000FF0B0000}"/>
    <cellStyle name="Currency 5 2 2 4 4 3 2" xfId="14326" xr:uid="{414FDE6F-BBED-46E5-B6F8-E111DB10BD72}"/>
    <cellStyle name="Currency 5 2 2 4 4 4" xfId="10108" xr:uid="{9B146C06-BDE9-4E08-A655-009050E12F9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017F5913-F27C-480F-AF9A-6F891052B27A}"/>
    <cellStyle name="Currency 5 2 2 4 5 2 3" xfId="12666" xr:uid="{2502AB72-BE4C-4C44-9E2A-1BB1EA471EF1}"/>
    <cellStyle name="Currency 5 2 2 4 5 3" xfId="6300" xr:uid="{00000000-0005-0000-0000-0000030C0000}"/>
    <cellStyle name="Currency 5 2 2 4 5 3 2" xfId="14739" xr:uid="{E5FADF66-2461-4538-B013-BB001AC74FC3}"/>
    <cellStyle name="Currency 5 2 2 4 5 4" xfId="10521" xr:uid="{00B14CE8-ACFD-445A-8861-749CE15C61AA}"/>
    <cellStyle name="Currency 5 2 2 4 6" xfId="2428" xr:uid="{00000000-0005-0000-0000-0000040C0000}"/>
    <cellStyle name="Currency 5 2 2 4 6 2" xfId="6713" xr:uid="{00000000-0005-0000-0000-0000050C0000}"/>
    <cellStyle name="Currency 5 2 2 4 6 2 2" xfId="15152" xr:uid="{522E16A3-F2C0-4A93-A43C-FC35B2AFE1E8}"/>
    <cellStyle name="Currency 5 2 2 4 6 3" xfId="10934" xr:uid="{A37B461B-EEF9-4CA6-BDCE-20D5BA68EFC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C17DCFDA-46D5-42AB-AA45-8FBF7E85B6E6}"/>
    <cellStyle name="Currency 5 2 2 4 8 3" xfId="11251" xr:uid="{830AD0E7-EA69-45F3-B07C-33C625E7BCBD}"/>
    <cellStyle name="Currency 5 2 2 4 9" xfId="4647" xr:uid="{00000000-0005-0000-0000-0000090C0000}"/>
    <cellStyle name="Currency 5 2 2 4 9 2" xfId="13086" xr:uid="{598D8F86-A9DA-477D-909D-2D4BD8B20985}"/>
    <cellStyle name="Currency 5 2 2 5" xfId="203" xr:uid="{00000000-0005-0000-0000-00000A0C0000}"/>
    <cellStyle name="Currency 5 2 2 5 10" xfId="8869" xr:uid="{4F7D913F-52A2-4257-9444-F9F9E4171AE6}"/>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04848E46-7B8D-45A7-A294-649491464FBC}"/>
    <cellStyle name="Currency 5 2 2 5 2 2 3" xfId="11428" xr:uid="{842163C0-41DC-4D7A-9372-7F45EFB1540B}"/>
    <cellStyle name="Currency 5 2 2 5 2 3" xfId="5062" xr:uid="{00000000-0005-0000-0000-00000E0C0000}"/>
    <cellStyle name="Currency 5 2 2 5 2 3 2" xfId="13501" xr:uid="{3E5619B1-0BBE-4102-9800-2098883CEEDB}"/>
    <cellStyle name="Currency 5 2 2 5 2 4" xfId="9283" xr:uid="{8D1113A2-8D01-4134-8514-7FA3E492866E}"/>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9819F495-6459-416F-B9A0-EEB728F83D61}"/>
    <cellStyle name="Currency 5 2 2 5 3 2 3" xfId="11841" xr:uid="{73919A04-82EC-4768-851E-35A9C4E4C046}"/>
    <cellStyle name="Currency 5 2 2 5 3 3" xfId="5475" xr:uid="{00000000-0005-0000-0000-0000120C0000}"/>
    <cellStyle name="Currency 5 2 2 5 3 3 2" xfId="13914" xr:uid="{3DDB11D6-B11A-4ACD-BFE7-044907BB81E5}"/>
    <cellStyle name="Currency 5 2 2 5 3 4" xfId="9696" xr:uid="{9C6725D5-38BB-416A-95B7-CC022700940E}"/>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D6AA263E-BD9B-45C4-B28D-68AF1E88C616}"/>
    <cellStyle name="Currency 5 2 2 5 4 2 3" xfId="12254" xr:uid="{415CBBD4-751A-4C70-BD7C-0209B554362D}"/>
    <cellStyle name="Currency 5 2 2 5 4 3" xfId="5888" xr:uid="{00000000-0005-0000-0000-0000160C0000}"/>
    <cellStyle name="Currency 5 2 2 5 4 3 2" xfId="14327" xr:uid="{A3909287-627D-483F-AB3A-DA6372EA5325}"/>
    <cellStyle name="Currency 5 2 2 5 4 4" xfId="10109" xr:uid="{99EB0DF6-6398-4174-9B4D-D12680387846}"/>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F93CE2C9-7430-494C-AAE9-0DAF8BB4E801}"/>
    <cellStyle name="Currency 5 2 2 5 5 2 3" xfId="12667" xr:uid="{4A84399B-5103-4AAF-A841-FF9C58BC1940}"/>
    <cellStyle name="Currency 5 2 2 5 5 3" xfId="6301" xr:uid="{00000000-0005-0000-0000-00001A0C0000}"/>
    <cellStyle name="Currency 5 2 2 5 5 3 2" xfId="14740" xr:uid="{1A5F7A02-F6FE-49C6-B2AC-7127D2BED54F}"/>
    <cellStyle name="Currency 5 2 2 5 5 4" xfId="10522" xr:uid="{678F09EA-619D-4C8A-9856-448BB4A67FCC}"/>
    <cellStyle name="Currency 5 2 2 5 6" xfId="2429" xr:uid="{00000000-0005-0000-0000-00001B0C0000}"/>
    <cellStyle name="Currency 5 2 2 5 6 2" xfId="6714" xr:uid="{00000000-0005-0000-0000-00001C0C0000}"/>
    <cellStyle name="Currency 5 2 2 5 6 2 2" xfId="15153" xr:uid="{1BD647D1-5FE1-41C3-8B13-BE93A42F821F}"/>
    <cellStyle name="Currency 5 2 2 5 6 3" xfId="10935" xr:uid="{05119F9D-274A-43C4-8607-D235EA0D8D7E}"/>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282F3E30-1167-4E8F-A14C-8935975E8E2D}"/>
    <cellStyle name="Currency 5 2 2 5 8 3" xfId="11252" xr:uid="{CF7DF21C-C679-4E16-A256-B8B5D1F6A240}"/>
    <cellStyle name="Currency 5 2 2 5 9" xfId="4648" xr:uid="{00000000-0005-0000-0000-0000200C0000}"/>
    <cellStyle name="Currency 5 2 2 5 9 2" xfId="13087" xr:uid="{3153F232-23AF-4FB4-B796-9D982080B408}"/>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68E5247C-59AB-4D03-BD28-8992503AEE98}"/>
    <cellStyle name="Currency 5 2 4 11" xfId="8870" xr:uid="{7D525CD0-2059-4BB3-81DE-783780E5A866}"/>
    <cellStyle name="Currency 5 2 4 2" xfId="206" xr:uid="{00000000-0005-0000-0000-0000250C0000}"/>
    <cellStyle name="Currency 5 2 4 2 10" xfId="8871" xr:uid="{013FF735-9B88-43E8-80F1-0678782D601B}"/>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AD815146-2826-4002-A075-974F48819C01}"/>
    <cellStyle name="Currency 5 2 4 2 2 2 3" xfId="11430" xr:uid="{F1753D4D-C33C-4C1E-95F3-94A6B00D1381}"/>
    <cellStyle name="Currency 5 2 4 2 2 3" xfId="5064" xr:uid="{00000000-0005-0000-0000-0000290C0000}"/>
    <cellStyle name="Currency 5 2 4 2 2 3 2" xfId="13503" xr:uid="{CF47DF76-134C-4681-8730-56BEFF26F970}"/>
    <cellStyle name="Currency 5 2 4 2 2 4" xfId="9285" xr:uid="{ECD93A96-1A51-442B-AA68-58E25CEA825F}"/>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9DB2993D-0567-4E20-81BE-10CACD8A3502}"/>
    <cellStyle name="Currency 5 2 4 2 3 2 3" xfId="11843" xr:uid="{3D7DDB9E-1783-41C2-AA53-0F2DB31C39AC}"/>
    <cellStyle name="Currency 5 2 4 2 3 3" xfId="5477" xr:uid="{00000000-0005-0000-0000-00002D0C0000}"/>
    <cellStyle name="Currency 5 2 4 2 3 3 2" xfId="13916" xr:uid="{C81F1C5C-5F23-48FD-98B6-A69450BFD5C0}"/>
    <cellStyle name="Currency 5 2 4 2 3 4" xfId="9698" xr:uid="{A14C237F-528B-404C-BE82-6E81A057D523}"/>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6A10A4B2-ACAC-467B-81F9-15AEE8476FDF}"/>
    <cellStyle name="Currency 5 2 4 2 4 2 3" xfId="12256" xr:uid="{4E9B36DD-ED17-43FC-A999-2B04DA653A1B}"/>
    <cellStyle name="Currency 5 2 4 2 4 3" xfId="5890" xr:uid="{00000000-0005-0000-0000-0000310C0000}"/>
    <cellStyle name="Currency 5 2 4 2 4 3 2" xfId="14329" xr:uid="{10EC3187-7EE4-472B-A991-A1C51C5D0EBC}"/>
    <cellStyle name="Currency 5 2 4 2 4 4" xfId="10111" xr:uid="{BA1FAA65-22EB-4453-A39C-55A3DC956325}"/>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8E1E53EA-E560-4A11-B7F7-5E8F716A3140}"/>
    <cellStyle name="Currency 5 2 4 2 5 2 3" xfId="12669" xr:uid="{4864E1C2-6981-42E2-81C2-C46912D35B88}"/>
    <cellStyle name="Currency 5 2 4 2 5 3" xfId="6303" xr:uid="{00000000-0005-0000-0000-0000350C0000}"/>
    <cellStyle name="Currency 5 2 4 2 5 3 2" xfId="14742" xr:uid="{CF285A59-D531-49D2-9066-61C701D4E1D0}"/>
    <cellStyle name="Currency 5 2 4 2 5 4" xfId="10524" xr:uid="{8C1DABD5-4C83-4E86-8E7A-005E7AFC1AD5}"/>
    <cellStyle name="Currency 5 2 4 2 6" xfId="2431" xr:uid="{00000000-0005-0000-0000-0000360C0000}"/>
    <cellStyle name="Currency 5 2 4 2 6 2" xfId="6716" xr:uid="{00000000-0005-0000-0000-0000370C0000}"/>
    <cellStyle name="Currency 5 2 4 2 6 2 2" xfId="15155" xr:uid="{31421F41-804D-4F55-829A-DCBCD483A80F}"/>
    <cellStyle name="Currency 5 2 4 2 6 3" xfId="10937" xr:uid="{529A7DBC-9AB7-40F2-84B6-3E983B04F702}"/>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19A6961C-EE27-4CCB-A86A-BF9CBA205DD0}"/>
    <cellStyle name="Currency 5 2 4 2 8 3" xfId="11254" xr:uid="{D3FAAC21-5F42-4F91-B33C-28973CECA06E}"/>
    <cellStyle name="Currency 5 2 4 2 9" xfId="4650" xr:uid="{00000000-0005-0000-0000-00003B0C0000}"/>
    <cellStyle name="Currency 5 2 4 2 9 2" xfId="13089" xr:uid="{53C279CF-A1FA-4DC7-9190-E7C0C760B585}"/>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2F2E4A1B-2017-4BDA-BA16-35C66FC16F8E}"/>
    <cellStyle name="Currency 5 2 4 3 2 3" xfId="11429" xr:uid="{AE1E8EA8-B99B-463D-B54C-72AF34370068}"/>
    <cellStyle name="Currency 5 2 4 3 3" xfId="5063" xr:uid="{00000000-0005-0000-0000-00003F0C0000}"/>
    <cellStyle name="Currency 5 2 4 3 3 2" xfId="13502" xr:uid="{DE9BFC61-595E-48A9-A9BD-228E1CF4E66E}"/>
    <cellStyle name="Currency 5 2 4 3 4" xfId="9284" xr:uid="{622E2ECB-4797-4EE7-936A-2CA9728E091C}"/>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0E58AC01-10B3-4A7E-BE28-7EF838F0FC21}"/>
    <cellStyle name="Currency 5 2 4 4 2 3" xfId="11842" xr:uid="{E6F1E5E1-4BD6-48EE-9887-F1FEFC60CE60}"/>
    <cellStyle name="Currency 5 2 4 4 3" xfId="5476" xr:uid="{00000000-0005-0000-0000-0000430C0000}"/>
    <cellStyle name="Currency 5 2 4 4 3 2" xfId="13915" xr:uid="{C93204CE-0169-4AE7-B722-F54AB40BD10E}"/>
    <cellStyle name="Currency 5 2 4 4 4" xfId="9697" xr:uid="{B30E3BA4-EEC7-4859-9F85-1F49E0B05AE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ED20A005-C6CD-427D-BD01-E6E0D977E770}"/>
    <cellStyle name="Currency 5 2 4 5 2 3" xfId="12255" xr:uid="{650F1BC1-18EE-489E-A806-767D00878074}"/>
    <cellStyle name="Currency 5 2 4 5 3" xfId="5889" xr:uid="{00000000-0005-0000-0000-0000470C0000}"/>
    <cellStyle name="Currency 5 2 4 5 3 2" xfId="14328" xr:uid="{B96B8DC4-08A4-4DF2-B331-CC5DF4B7B904}"/>
    <cellStyle name="Currency 5 2 4 5 4" xfId="10110" xr:uid="{16057A9A-0A8D-459F-874E-D051576DAD0A}"/>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6C437B27-E7D6-47BA-A0E4-6BB84858A9EC}"/>
    <cellStyle name="Currency 5 2 4 6 2 3" xfId="12668" xr:uid="{D3B51EAF-DC04-4F0D-BA51-7073DF2A390D}"/>
    <cellStyle name="Currency 5 2 4 6 3" xfId="6302" xr:uid="{00000000-0005-0000-0000-00004B0C0000}"/>
    <cellStyle name="Currency 5 2 4 6 3 2" xfId="14741" xr:uid="{39447087-167A-4C39-A887-6C3C3B1A6C39}"/>
    <cellStyle name="Currency 5 2 4 6 4" xfId="10523" xr:uid="{A8D7647C-8B93-4BB7-A808-612C5209391A}"/>
    <cellStyle name="Currency 5 2 4 7" xfId="2430" xr:uid="{00000000-0005-0000-0000-00004C0C0000}"/>
    <cellStyle name="Currency 5 2 4 7 2" xfId="6715" xr:uid="{00000000-0005-0000-0000-00004D0C0000}"/>
    <cellStyle name="Currency 5 2 4 7 2 2" xfId="15154" xr:uid="{6D3FCF1A-3251-41AD-9506-56A8DFBDC439}"/>
    <cellStyle name="Currency 5 2 4 7 3" xfId="10936" xr:uid="{CB7C4866-E72C-4B9A-B0DA-3A6786A7BB1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A7945039-BD77-4693-A7AD-7239AF550127}"/>
    <cellStyle name="Currency 5 2 4 9 3" xfId="11253" xr:uid="{C1B01E2D-CB92-4C82-A318-9D57CB4F201F}"/>
    <cellStyle name="Currency 5 2 5" xfId="207" xr:uid="{00000000-0005-0000-0000-0000510C0000}"/>
    <cellStyle name="Currency 5 2 5 10" xfId="8872" xr:uid="{12AAD258-7AD7-4240-98A9-E4D9DD98FE8A}"/>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7CDF9DB7-E783-4CEE-8EF4-A1170D883E80}"/>
    <cellStyle name="Currency 5 2 5 2 2 3" xfId="11431" xr:uid="{EB8BA7D4-93EB-4DE9-AD81-96401BF9EA6A}"/>
    <cellStyle name="Currency 5 2 5 2 3" xfId="5065" xr:uid="{00000000-0005-0000-0000-0000550C0000}"/>
    <cellStyle name="Currency 5 2 5 2 3 2" xfId="13504" xr:uid="{36DF842E-99EB-4277-851E-F30695717817}"/>
    <cellStyle name="Currency 5 2 5 2 4" xfId="9286" xr:uid="{FD5C5313-1CBC-4D92-A6AC-1A32CCC2E9AF}"/>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515A31CD-DAED-4812-B9AB-38D814CEF612}"/>
    <cellStyle name="Currency 5 2 5 3 2 3" xfId="11844" xr:uid="{E392C580-3E6E-4E12-8ED8-FF4FFC38AD99}"/>
    <cellStyle name="Currency 5 2 5 3 3" xfId="5478" xr:uid="{00000000-0005-0000-0000-0000590C0000}"/>
    <cellStyle name="Currency 5 2 5 3 3 2" xfId="13917" xr:uid="{5514F493-4594-4CA6-B913-F66705A43E8D}"/>
    <cellStyle name="Currency 5 2 5 3 4" xfId="9699" xr:uid="{195ADBDF-E7B8-4D77-A0F3-E931B8753F78}"/>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ADF80B7E-0978-4F8C-A879-BEE3EADDF56B}"/>
    <cellStyle name="Currency 5 2 5 4 2 3" xfId="12257" xr:uid="{B4FDF30E-5891-4041-81E7-27F8C201665D}"/>
    <cellStyle name="Currency 5 2 5 4 3" xfId="5891" xr:uid="{00000000-0005-0000-0000-00005D0C0000}"/>
    <cellStyle name="Currency 5 2 5 4 3 2" xfId="14330" xr:uid="{6566C07D-DB21-443F-A7C0-162A76713CF2}"/>
    <cellStyle name="Currency 5 2 5 4 4" xfId="10112" xr:uid="{A60B67C3-CA17-45EA-9A5C-FEE290604252}"/>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DA0983C6-6986-4AB3-9CE2-8002CB72ED8C}"/>
    <cellStyle name="Currency 5 2 5 5 2 3" xfId="12670" xr:uid="{59F2AFF9-F986-4BB3-8684-0B966D13C397}"/>
    <cellStyle name="Currency 5 2 5 5 3" xfId="6304" xr:uid="{00000000-0005-0000-0000-0000610C0000}"/>
    <cellStyle name="Currency 5 2 5 5 3 2" xfId="14743" xr:uid="{A975C74D-F16C-4DE2-97B7-031DB45B7021}"/>
    <cellStyle name="Currency 5 2 5 5 4" xfId="10525" xr:uid="{F61F3BC0-2DCE-4227-8578-A1AED93A8E3E}"/>
    <cellStyle name="Currency 5 2 5 6" xfId="2432" xr:uid="{00000000-0005-0000-0000-0000620C0000}"/>
    <cellStyle name="Currency 5 2 5 6 2" xfId="6717" xr:uid="{00000000-0005-0000-0000-0000630C0000}"/>
    <cellStyle name="Currency 5 2 5 6 2 2" xfId="15156" xr:uid="{FE2AFCE9-E78B-487E-9E98-5816BEB7E0C4}"/>
    <cellStyle name="Currency 5 2 5 6 3" xfId="10938" xr:uid="{6649507C-0B16-4C40-83B3-298A2E20DE4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60C6E8F8-1906-44D1-B830-42217D6E8F77}"/>
    <cellStyle name="Currency 5 2 5 8 3" xfId="11255" xr:uid="{D3A1D8AB-22EB-4AD9-9211-E9EA995B1FB9}"/>
    <cellStyle name="Currency 5 2 5 9" xfId="4651" xr:uid="{00000000-0005-0000-0000-0000670C0000}"/>
    <cellStyle name="Currency 5 2 5 9 2" xfId="13090" xr:uid="{B69B11C7-432A-4CC4-999C-89421A9AADC3}"/>
    <cellStyle name="Currency 5 2 6" xfId="208" xr:uid="{00000000-0005-0000-0000-0000680C0000}"/>
    <cellStyle name="Currency 5 2 6 10" xfId="8873" xr:uid="{1EBC35CC-18CA-463C-A752-464A2FD9C9E1}"/>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180A6C02-AA66-4917-8AF3-28217F4E79B4}"/>
    <cellStyle name="Currency 5 2 6 2 2 3" xfId="11432" xr:uid="{8328ED38-43D4-42D8-A17D-11474B7D5C5C}"/>
    <cellStyle name="Currency 5 2 6 2 3" xfId="5066" xr:uid="{00000000-0005-0000-0000-00006C0C0000}"/>
    <cellStyle name="Currency 5 2 6 2 3 2" xfId="13505" xr:uid="{A547263F-8CF1-4179-B3EF-3A1DFCC7A38E}"/>
    <cellStyle name="Currency 5 2 6 2 4" xfId="9287" xr:uid="{86F5FB37-989E-499B-B2E9-D2BBEDCE2C07}"/>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384E7DE3-BFF0-4E76-903B-9EC79973BFD3}"/>
    <cellStyle name="Currency 5 2 6 3 2 3" xfId="11845" xr:uid="{FC1059C5-0A10-45CC-A586-EF49794932C1}"/>
    <cellStyle name="Currency 5 2 6 3 3" xfId="5479" xr:uid="{00000000-0005-0000-0000-0000700C0000}"/>
    <cellStyle name="Currency 5 2 6 3 3 2" xfId="13918" xr:uid="{C75940B9-A91F-46C0-9653-4C2F090FB7A2}"/>
    <cellStyle name="Currency 5 2 6 3 4" xfId="9700" xr:uid="{2E4EE44C-7F85-48BF-A4DA-BDBBA80B7182}"/>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B1333CC5-FF5A-43D9-8A2B-790E34F2711D}"/>
    <cellStyle name="Currency 5 2 6 4 2 3" xfId="12258" xr:uid="{D141AAE6-EA8A-453F-B71C-3A1C82C3D083}"/>
    <cellStyle name="Currency 5 2 6 4 3" xfId="5892" xr:uid="{00000000-0005-0000-0000-0000740C0000}"/>
    <cellStyle name="Currency 5 2 6 4 3 2" xfId="14331" xr:uid="{BF878F57-BDA1-41D3-BBB8-CAD39567E548}"/>
    <cellStyle name="Currency 5 2 6 4 4" xfId="10113" xr:uid="{B75A569D-5810-4FB0-A19A-17C5A6458EA8}"/>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7812B5EC-A5C7-4679-9CB4-B00B9722196D}"/>
    <cellStyle name="Currency 5 2 6 5 2 3" xfId="12671" xr:uid="{B4BDCDE7-B0CD-4D66-B797-362C61649BFB}"/>
    <cellStyle name="Currency 5 2 6 5 3" xfId="6305" xr:uid="{00000000-0005-0000-0000-0000780C0000}"/>
    <cellStyle name="Currency 5 2 6 5 3 2" xfId="14744" xr:uid="{19796EDA-93D9-4A46-98F2-8B3C7C8D366C}"/>
    <cellStyle name="Currency 5 2 6 5 4" xfId="10526" xr:uid="{55C5BE9D-E7A1-4D2F-AD9F-9AA2F32B4BA5}"/>
    <cellStyle name="Currency 5 2 6 6" xfId="2433" xr:uid="{00000000-0005-0000-0000-0000790C0000}"/>
    <cellStyle name="Currency 5 2 6 6 2" xfId="6718" xr:uid="{00000000-0005-0000-0000-00007A0C0000}"/>
    <cellStyle name="Currency 5 2 6 6 2 2" xfId="15157" xr:uid="{00B82E0E-B1E8-46F0-8033-795169837ED1}"/>
    <cellStyle name="Currency 5 2 6 6 3" xfId="10939" xr:uid="{01713C27-25B1-4D88-8316-D0028154DB2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11337811-E53E-46F4-BB9E-78969135233B}"/>
    <cellStyle name="Currency 5 2 6 8 3" xfId="11256" xr:uid="{D42359BE-13D7-4E56-B0CA-BF4407E759A9}"/>
    <cellStyle name="Currency 5 2 6 9" xfId="4652" xr:uid="{00000000-0005-0000-0000-00007E0C0000}"/>
    <cellStyle name="Currency 5 2 6 9 2" xfId="13091" xr:uid="{FFA810F5-BE9A-43DF-8617-FB2334835BEC}"/>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9C23C9C1-5B80-48BE-8A34-044B8F738357}"/>
    <cellStyle name="Currency 5 3 2 10 3" xfId="11257" xr:uid="{62AD3A31-469F-4065-B335-5D852739D20E}"/>
    <cellStyle name="Currency 5 3 2 11" xfId="4653" xr:uid="{00000000-0005-0000-0000-0000840C0000}"/>
    <cellStyle name="Currency 5 3 2 11 2" xfId="13092" xr:uid="{B4E10912-1AA5-40F2-A000-4CE244E14144}"/>
    <cellStyle name="Currency 5 3 2 12" xfId="8874" xr:uid="{B64CCEB0-9E25-4C1D-AB3E-FFBDC4A4E9BF}"/>
    <cellStyle name="Currency 5 3 2 2" xfId="211" xr:uid="{00000000-0005-0000-0000-0000850C0000}"/>
    <cellStyle name="Currency 5 3 2 2 10" xfId="4654" xr:uid="{00000000-0005-0000-0000-0000860C0000}"/>
    <cellStyle name="Currency 5 3 2 2 10 2" xfId="13093" xr:uid="{E957A0AA-A6BC-498B-B5B2-C78CBB0C7C26}"/>
    <cellStyle name="Currency 5 3 2 2 11" xfId="8875" xr:uid="{D26DDC9B-60D1-4C9C-82D5-352514CEB645}"/>
    <cellStyle name="Currency 5 3 2 2 2" xfId="212" xr:uid="{00000000-0005-0000-0000-0000870C0000}"/>
    <cellStyle name="Currency 5 3 2 2 2 10" xfId="8876" xr:uid="{87993E13-0DCD-44A1-97EF-79CF303C2FE2}"/>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76D3CB8B-423B-4CFA-8524-0C94A3DC3F20}"/>
    <cellStyle name="Currency 5 3 2 2 2 2 2 3" xfId="11435" xr:uid="{256DBEBB-1268-4D22-AC6D-0C78387903A3}"/>
    <cellStyle name="Currency 5 3 2 2 2 2 3" xfId="5069" xr:uid="{00000000-0005-0000-0000-00008B0C0000}"/>
    <cellStyle name="Currency 5 3 2 2 2 2 3 2" xfId="13508" xr:uid="{B3259A2F-9E2A-40A4-A5C2-3C0517B7FF73}"/>
    <cellStyle name="Currency 5 3 2 2 2 2 4" xfId="9290" xr:uid="{9CC23F6A-9C48-4CE0-99D5-7F4082460A95}"/>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4A7FC9B5-6179-454C-A2CC-A2A7D70DAFCD}"/>
    <cellStyle name="Currency 5 3 2 2 2 3 2 3" xfId="11848" xr:uid="{CE628B63-BF4D-4FE8-BB2E-880E02BDF78A}"/>
    <cellStyle name="Currency 5 3 2 2 2 3 3" xfId="5482" xr:uid="{00000000-0005-0000-0000-00008F0C0000}"/>
    <cellStyle name="Currency 5 3 2 2 2 3 3 2" xfId="13921" xr:uid="{7FA3E625-F780-4DDF-A36E-77EFD7419504}"/>
    <cellStyle name="Currency 5 3 2 2 2 3 4" xfId="9703" xr:uid="{729978AF-A9BE-4799-BA10-4EED5C93DFD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80D39321-68D1-4588-91AA-3A18352BB65F}"/>
    <cellStyle name="Currency 5 3 2 2 2 4 2 3" xfId="12261" xr:uid="{1B3E52F3-0C93-453A-988A-1B88601E0B11}"/>
    <cellStyle name="Currency 5 3 2 2 2 4 3" xfId="5895" xr:uid="{00000000-0005-0000-0000-0000930C0000}"/>
    <cellStyle name="Currency 5 3 2 2 2 4 3 2" xfId="14334" xr:uid="{133E8DE4-D769-4172-9A8F-7E31D2D12D2C}"/>
    <cellStyle name="Currency 5 3 2 2 2 4 4" xfId="10116" xr:uid="{3148048D-E9AD-4ABB-A391-6C300B3E8B0D}"/>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089847C5-D1B0-4879-ADA5-2D4A51F2F502}"/>
    <cellStyle name="Currency 5 3 2 2 2 5 2 3" xfId="12674" xr:uid="{7167C38B-2DC9-4AA6-8B85-B5B70CBA0B36}"/>
    <cellStyle name="Currency 5 3 2 2 2 5 3" xfId="6308" xr:uid="{00000000-0005-0000-0000-0000970C0000}"/>
    <cellStyle name="Currency 5 3 2 2 2 5 3 2" xfId="14747" xr:uid="{607E90C0-A674-4D07-8FCA-7D13DAE4FD99}"/>
    <cellStyle name="Currency 5 3 2 2 2 5 4" xfId="10529" xr:uid="{C42B52F2-C4B9-405C-A322-C43A90DF2A0D}"/>
    <cellStyle name="Currency 5 3 2 2 2 6" xfId="2436" xr:uid="{00000000-0005-0000-0000-0000980C0000}"/>
    <cellStyle name="Currency 5 3 2 2 2 6 2" xfId="6721" xr:uid="{00000000-0005-0000-0000-0000990C0000}"/>
    <cellStyle name="Currency 5 3 2 2 2 6 2 2" xfId="15160" xr:uid="{3F1A9B9E-B6D2-45F6-9957-2A20C717CA2E}"/>
    <cellStyle name="Currency 5 3 2 2 2 6 3" xfId="10942" xr:uid="{87C47DB0-80E9-4250-AA1C-F053335B5F3C}"/>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CC89DFBE-E336-462F-BE32-7678C0ED4CFF}"/>
    <cellStyle name="Currency 5 3 2 2 2 8 3" xfId="11259" xr:uid="{FE9B0ACC-B553-4F33-ACBE-DB65CAA70E71}"/>
    <cellStyle name="Currency 5 3 2 2 2 9" xfId="4655" xr:uid="{00000000-0005-0000-0000-00009D0C0000}"/>
    <cellStyle name="Currency 5 3 2 2 2 9 2" xfId="13094" xr:uid="{BCA4E9CC-BB6A-4A96-91DC-3BE292534BEF}"/>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7F92E07D-5F00-4D2F-94F1-0209677C3F42}"/>
    <cellStyle name="Currency 5 3 2 2 3 2 3" xfId="11434" xr:uid="{02469A5A-C7A3-4751-8979-77020E5A2496}"/>
    <cellStyle name="Currency 5 3 2 2 3 3" xfId="5068" xr:uid="{00000000-0005-0000-0000-0000A10C0000}"/>
    <cellStyle name="Currency 5 3 2 2 3 3 2" xfId="13507" xr:uid="{98C2BD91-4CA2-46F7-B72F-4A7BA11416E3}"/>
    <cellStyle name="Currency 5 3 2 2 3 4" xfId="9289" xr:uid="{5A77684B-B23A-4093-A8EC-37D429677631}"/>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C1660FBE-4F5A-426B-9DEE-09E346942823}"/>
    <cellStyle name="Currency 5 3 2 2 4 2 3" xfId="11847" xr:uid="{B2F841BE-F447-4FFD-8BB8-28F88F591940}"/>
    <cellStyle name="Currency 5 3 2 2 4 3" xfId="5481" xr:uid="{00000000-0005-0000-0000-0000A50C0000}"/>
    <cellStyle name="Currency 5 3 2 2 4 3 2" xfId="13920" xr:uid="{641C9844-C4B1-4417-B823-7EF8614E2990}"/>
    <cellStyle name="Currency 5 3 2 2 4 4" xfId="9702" xr:uid="{97D2B356-C999-4B79-BFAD-45CB201B09F4}"/>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046CB48B-E438-4B09-8FDB-AB42E5A0193F}"/>
    <cellStyle name="Currency 5 3 2 2 5 2 3" xfId="12260" xr:uid="{5B9B3FC9-8E19-4166-941C-B06E2877A3A7}"/>
    <cellStyle name="Currency 5 3 2 2 5 3" xfId="5894" xr:uid="{00000000-0005-0000-0000-0000A90C0000}"/>
    <cellStyle name="Currency 5 3 2 2 5 3 2" xfId="14333" xr:uid="{3ADAF145-B3EB-4317-943F-F7EE1124FE4E}"/>
    <cellStyle name="Currency 5 3 2 2 5 4" xfId="10115" xr:uid="{2283E814-DBB5-4B73-8A76-6E254EE5F726}"/>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912F9119-8140-4C5A-AA5A-98D1BCD5FEBE}"/>
    <cellStyle name="Currency 5 3 2 2 6 2 3" xfId="12673" xr:uid="{44864E80-250D-43EA-B3DC-DDCE76D9A02D}"/>
    <cellStyle name="Currency 5 3 2 2 6 3" xfId="6307" xr:uid="{00000000-0005-0000-0000-0000AD0C0000}"/>
    <cellStyle name="Currency 5 3 2 2 6 3 2" xfId="14746" xr:uid="{6A5CB995-C286-41CB-B4C9-42BCA3C04C7B}"/>
    <cellStyle name="Currency 5 3 2 2 6 4" xfId="10528" xr:uid="{E6EF7F25-9035-48BB-A1BB-EAE60B52F84C}"/>
    <cellStyle name="Currency 5 3 2 2 7" xfId="2435" xr:uid="{00000000-0005-0000-0000-0000AE0C0000}"/>
    <cellStyle name="Currency 5 3 2 2 7 2" xfId="6720" xr:uid="{00000000-0005-0000-0000-0000AF0C0000}"/>
    <cellStyle name="Currency 5 3 2 2 7 2 2" xfId="15159" xr:uid="{A7EF858E-39D6-4048-B3DE-77181646F682}"/>
    <cellStyle name="Currency 5 3 2 2 7 3" xfId="10941" xr:uid="{1841A41A-876E-4DE1-9A85-4979C49F9DBC}"/>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A44EFF31-BAC1-41F7-AF77-E917CB525CC2}"/>
    <cellStyle name="Currency 5 3 2 2 9 3" xfId="11258" xr:uid="{BD73F60D-37B7-4A15-8F12-5073182A6DCD}"/>
    <cellStyle name="Currency 5 3 2 3" xfId="213" xr:uid="{00000000-0005-0000-0000-0000B30C0000}"/>
    <cellStyle name="Currency 5 3 2 3 10" xfId="8877" xr:uid="{B7B760A5-2401-499A-981A-893FA0F070B3}"/>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CCEB9BD5-2396-4C80-BF35-298D43E06EE9}"/>
    <cellStyle name="Currency 5 3 2 3 2 2 3" xfId="11436" xr:uid="{6AE5A9F7-3AAB-41E1-A687-6485D31205C0}"/>
    <cellStyle name="Currency 5 3 2 3 2 3" xfId="5070" xr:uid="{00000000-0005-0000-0000-0000B70C0000}"/>
    <cellStyle name="Currency 5 3 2 3 2 3 2" xfId="13509" xr:uid="{DB8491E6-FEC8-4BF0-A92B-8CFAA91D53E3}"/>
    <cellStyle name="Currency 5 3 2 3 2 4" xfId="9291" xr:uid="{F4C2F24D-926C-47A2-B44D-673BB3E53B1A}"/>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CCD9A49A-FAF3-4249-B63D-C2ED9DF15ABD}"/>
    <cellStyle name="Currency 5 3 2 3 3 2 3" xfId="11849" xr:uid="{523B9C53-E6E9-423C-A8C2-917576931160}"/>
    <cellStyle name="Currency 5 3 2 3 3 3" xfId="5483" xr:uid="{00000000-0005-0000-0000-0000BB0C0000}"/>
    <cellStyle name="Currency 5 3 2 3 3 3 2" xfId="13922" xr:uid="{67408029-1712-4F63-8531-36A5878B6604}"/>
    <cellStyle name="Currency 5 3 2 3 3 4" xfId="9704" xr:uid="{CE515EC5-9658-4D08-91C9-0348982C0B7B}"/>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72C0FCDE-EA1D-4B0D-98BB-2353374451C2}"/>
    <cellStyle name="Currency 5 3 2 3 4 2 3" xfId="12262" xr:uid="{661DE944-A502-426B-8F59-BA7942218FEB}"/>
    <cellStyle name="Currency 5 3 2 3 4 3" xfId="5896" xr:uid="{00000000-0005-0000-0000-0000BF0C0000}"/>
    <cellStyle name="Currency 5 3 2 3 4 3 2" xfId="14335" xr:uid="{D5AE3025-50A1-4264-A670-3277CB1E4D0B}"/>
    <cellStyle name="Currency 5 3 2 3 4 4" xfId="10117" xr:uid="{7FF9330C-0142-4DDD-AE79-48CB49985DFB}"/>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C34C6C44-4FCB-42C0-8B81-9441FDB77F04}"/>
    <cellStyle name="Currency 5 3 2 3 5 2 3" xfId="12675" xr:uid="{441A1F9F-3712-40A1-9EA2-89ABA7F2B0C6}"/>
    <cellStyle name="Currency 5 3 2 3 5 3" xfId="6309" xr:uid="{00000000-0005-0000-0000-0000C30C0000}"/>
    <cellStyle name="Currency 5 3 2 3 5 3 2" xfId="14748" xr:uid="{4239482C-F461-47CB-8B20-6F1EA1D81410}"/>
    <cellStyle name="Currency 5 3 2 3 5 4" xfId="10530" xr:uid="{D44B68E4-4A7D-4D41-8405-A35645CD6DB6}"/>
    <cellStyle name="Currency 5 3 2 3 6" xfId="2437" xr:uid="{00000000-0005-0000-0000-0000C40C0000}"/>
    <cellStyle name="Currency 5 3 2 3 6 2" xfId="6722" xr:uid="{00000000-0005-0000-0000-0000C50C0000}"/>
    <cellStyle name="Currency 5 3 2 3 6 2 2" xfId="15161" xr:uid="{89DE40B1-588E-4E1B-AB8A-AA99CA0ED0C3}"/>
    <cellStyle name="Currency 5 3 2 3 6 3" xfId="10943" xr:uid="{ED599374-139B-4ADC-B5B5-D7FB0B1B7366}"/>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DD6B1E42-83D8-4ACC-B5AF-3ADEA986E520}"/>
    <cellStyle name="Currency 5 3 2 3 8 3" xfId="11260" xr:uid="{37E9D517-FE16-46B6-BACD-3728214E65C3}"/>
    <cellStyle name="Currency 5 3 2 3 9" xfId="4656" xr:uid="{00000000-0005-0000-0000-0000C90C0000}"/>
    <cellStyle name="Currency 5 3 2 3 9 2" xfId="13095" xr:uid="{9423E2CB-B730-4BB7-AE3E-89C2D4639978}"/>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EA4829DF-1898-4E8A-816D-2715C83B6052}"/>
    <cellStyle name="Currency 5 3 2 4 2 3" xfId="11433" xr:uid="{3BC1D359-B211-41EB-9636-C51C1694A4D4}"/>
    <cellStyle name="Currency 5 3 2 4 3" xfId="5067" xr:uid="{00000000-0005-0000-0000-0000CD0C0000}"/>
    <cellStyle name="Currency 5 3 2 4 3 2" xfId="13506" xr:uid="{603632B4-2505-49F0-A11F-2AB4ECD4737A}"/>
    <cellStyle name="Currency 5 3 2 4 4" xfId="9288" xr:uid="{1FE7151B-6F82-4434-8DFC-62B0868C652A}"/>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5354F3F2-28A2-41C0-B6BC-FBEF196127E3}"/>
    <cellStyle name="Currency 5 3 2 5 2 3" xfId="11846" xr:uid="{DC1BD9CE-D72F-460E-9348-F5D343E4B2D0}"/>
    <cellStyle name="Currency 5 3 2 5 3" xfId="5480" xr:uid="{00000000-0005-0000-0000-0000D10C0000}"/>
    <cellStyle name="Currency 5 3 2 5 3 2" xfId="13919" xr:uid="{5360C625-F017-447C-913E-DBDD8AEF02DB}"/>
    <cellStyle name="Currency 5 3 2 5 4" xfId="9701" xr:uid="{FE68E6D5-EA23-450A-BF93-1521FCCA5491}"/>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8E4BE6F1-5D29-4949-8855-A012ACB8B476}"/>
    <cellStyle name="Currency 5 3 2 6 2 3" xfId="12259" xr:uid="{877F8555-51D3-4A05-BCC8-F0B384A13A8C}"/>
    <cellStyle name="Currency 5 3 2 6 3" xfId="5893" xr:uid="{00000000-0005-0000-0000-0000D50C0000}"/>
    <cellStyle name="Currency 5 3 2 6 3 2" xfId="14332" xr:uid="{4B88382C-E70C-481F-9E00-D0AF2FDB2BD5}"/>
    <cellStyle name="Currency 5 3 2 6 4" xfId="10114" xr:uid="{A26E15CA-C216-43AC-AFD4-BA5796C29B76}"/>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BA159808-5C8C-400F-9797-2E0729D761A8}"/>
    <cellStyle name="Currency 5 3 2 7 2 3" xfId="12672" xr:uid="{BF1A7A59-8059-45B7-BA59-0A880303A85A}"/>
    <cellStyle name="Currency 5 3 2 7 3" xfId="6306" xr:uid="{00000000-0005-0000-0000-0000D90C0000}"/>
    <cellStyle name="Currency 5 3 2 7 3 2" xfId="14745" xr:uid="{E534E1EE-E0C0-407B-8FC7-CC608939D618}"/>
    <cellStyle name="Currency 5 3 2 7 4" xfId="10527" xr:uid="{1371ADF5-7743-4CE3-88D1-6684A38111FC}"/>
    <cellStyle name="Currency 5 3 2 8" xfId="2434" xr:uid="{00000000-0005-0000-0000-0000DA0C0000}"/>
    <cellStyle name="Currency 5 3 2 8 2" xfId="6719" xr:uid="{00000000-0005-0000-0000-0000DB0C0000}"/>
    <cellStyle name="Currency 5 3 2 8 2 2" xfId="15158" xr:uid="{F55F5B8A-0DD4-462C-92C1-9A335A502B57}"/>
    <cellStyle name="Currency 5 3 2 8 3" xfId="10940" xr:uid="{1B27766C-8DB1-4A38-AA9D-A00555B12E95}"/>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FAB7A536-15CF-4A44-81D9-4E7D9342CB50}"/>
    <cellStyle name="Currency 5 3 3 11" xfId="8878" xr:uid="{D63D23D5-8EC1-48AC-AE59-A30B3F37A2E8}"/>
    <cellStyle name="Currency 5 3 3 2" xfId="215" xr:uid="{00000000-0005-0000-0000-0000DF0C0000}"/>
    <cellStyle name="Currency 5 3 3 2 10" xfId="8879" xr:uid="{D7A70638-C421-4100-8881-58A26A0F73C9}"/>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2DEA5EFF-28A6-4F24-BD77-35B444FC9A7F}"/>
    <cellStyle name="Currency 5 3 3 2 2 2 3" xfId="11438" xr:uid="{E13665F5-C2D5-4295-91D8-A8E0D27C27CB}"/>
    <cellStyle name="Currency 5 3 3 2 2 3" xfId="5072" xr:uid="{00000000-0005-0000-0000-0000E30C0000}"/>
    <cellStyle name="Currency 5 3 3 2 2 3 2" xfId="13511" xr:uid="{E437B73E-BD36-4059-A4C4-810532430D13}"/>
    <cellStyle name="Currency 5 3 3 2 2 4" xfId="9293" xr:uid="{7DF1A3F9-5B01-4D86-A5C3-208B4EF569E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635E66F5-C221-4FF5-9252-612C8310E601}"/>
    <cellStyle name="Currency 5 3 3 2 3 2 3" xfId="11851" xr:uid="{136074A1-590E-491D-813E-802A93850960}"/>
    <cellStyle name="Currency 5 3 3 2 3 3" xfId="5485" xr:uid="{00000000-0005-0000-0000-0000E70C0000}"/>
    <cellStyle name="Currency 5 3 3 2 3 3 2" xfId="13924" xr:uid="{4AD40D02-37DB-4A8D-BD9C-77889A1948F7}"/>
    <cellStyle name="Currency 5 3 3 2 3 4" xfId="9706" xr:uid="{38A38132-DC19-49C4-8513-BA63612C5621}"/>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E856DC00-D9CF-4A00-937D-2440D7435F90}"/>
    <cellStyle name="Currency 5 3 3 2 4 2 3" xfId="12264" xr:uid="{28E107CE-CF88-4352-BD54-7B554F3445DB}"/>
    <cellStyle name="Currency 5 3 3 2 4 3" xfId="5898" xr:uid="{00000000-0005-0000-0000-0000EB0C0000}"/>
    <cellStyle name="Currency 5 3 3 2 4 3 2" xfId="14337" xr:uid="{4FADBC63-838F-4151-B648-74B8D765CFD9}"/>
    <cellStyle name="Currency 5 3 3 2 4 4" xfId="10119" xr:uid="{53CBDCC7-0444-4244-8826-4251DE03B538}"/>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5CFC9A27-FADC-4CE2-9D07-34D27DB4BC5B}"/>
    <cellStyle name="Currency 5 3 3 2 5 2 3" xfId="12677" xr:uid="{1E4F23CD-E197-40E6-9F3A-3207F0A35A32}"/>
    <cellStyle name="Currency 5 3 3 2 5 3" xfId="6311" xr:uid="{00000000-0005-0000-0000-0000EF0C0000}"/>
    <cellStyle name="Currency 5 3 3 2 5 3 2" xfId="14750" xr:uid="{05B050F7-7464-42C4-85D7-7CDDC5CB4B20}"/>
    <cellStyle name="Currency 5 3 3 2 5 4" xfId="10532" xr:uid="{92E95DE3-5850-4EBE-9835-4991C826CDC7}"/>
    <cellStyle name="Currency 5 3 3 2 6" xfId="2439" xr:uid="{00000000-0005-0000-0000-0000F00C0000}"/>
    <cellStyle name="Currency 5 3 3 2 6 2" xfId="6724" xr:uid="{00000000-0005-0000-0000-0000F10C0000}"/>
    <cellStyle name="Currency 5 3 3 2 6 2 2" xfId="15163" xr:uid="{41D0B571-F9B6-4BDF-9107-FAA13ACA0EA0}"/>
    <cellStyle name="Currency 5 3 3 2 6 3" xfId="10945" xr:uid="{F329DAFF-DD3D-47D7-865B-4BB4CE552707}"/>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5A6EC983-E928-4D99-847C-FA5F42760409}"/>
    <cellStyle name="Currency 5 3 3 2 8 3" xfId="11262" xr:uid="{71913C8D-D821-4BBD-8118-D60D0FEC00B7}"/>
    <cellStyle name="Currency 5 3 3 2 9" xfId="4658" xr:uid="{00000000-0005-0000-0000-0000F50C0000}"/>
    <cellStyle name="Currency 5 3 3 2 9 2" xfId="13097" xr:uid="{B796F94F-C735-4D85-BAA7-546BD28E1DB1}"/>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4A68A3FB-007B-4753-9CC6-8FE4122C7066}"/>
    <cellStyle name="Currency 5 3 3 3 2 3" xfId="11437" xr:uid="{B20BFC01-5961-4877-9683-A5BF3DB1C010}"/>
    <cellStyle name="Currency 5 3 3 3 3" xfId="5071" xr:uid="{00000000-0005-0000-0000-0000F90C0000}"/>
    <cellStyle name="Currency 5 3 3 3 3 2" xfId="13510" xr:uid="{31368FC8-E192-490F-A29E-20273AE674C9}"/>
    <cellStyle name="Currency 5 3 3 3 4" xfId="9292" xr:uid="{D4834115-75BA-4C7C-A20D-9595AACA5AE7}"/>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3EE56769-FBFD-45AF-B0FF-ADF60CA92F29}"/>
    <cellStyle name="Currency 5 3 3 4 2 3" xfId="11850" xr:uid="{43D6D35A-C411-4CFB-BDC8-36F814836212}"/>
    <cellStyle name="Currency 5 3 3 4 3" xfId="5484" xr:uid="{00000000-0005-0000-0000-0000FD0C0000}"/>
    <cellStyle name="Currency 5 3 3 4 3 2" xfId="13923" xr:uid="{ED7867B4-0A64-40BA-AEAF-53DEFA45C46E}"/>
    <cellStyle name="Currency 5 3 3 4 4" xfId="9705" xr:uid="{64C769D9-A43A-42C5-986A-A0BEA7971292}"/>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A6146078-5D2A-4797-9A6C-2526DD27E734}"/>
    <cellStyle name="Currency 5 3 3 5 2 3" xfId="12263" xr:uid="{523DFFD8-1CA1-4F31-AE2F-4ACB8F8A2484}"/>
    <cellStyle name="Currency 5 3 3 5 3" xfId="5897" xr:uid="{00000000-0005-0000-0000-0000010D0000}"/>
    <cellStyle name="Currency 5 3 3 5 3 2" xfId="14336" xr:uid="{CF2F81F3-6D4C-4324-B85A-1A9335175718}"/>
    <cellStyle name="Currency 5 3 3 5 4" xfId="10118" xr:uid="{6E8863AE-7A76-4848-A4F6-A9E02F5BD3D9}"/>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23A67BD9-D946-4DC5-9358-74BC613D8E78}"/>
    <cellStyle name="Currency 5 3 3 6 2 3" xfId="12676" xr:uid="{7EEF7121-D567-4589-ADF7-E9422549A6A7}"/>
    <cellStyle name="Currency 5 3 3 6 3" xfId="6310" xr:uid="{00000000-0005-0000-0000-0000050D0000}"/>
    <cellStyle name="Currency 5 3 3 6 3 2" xfId="14749" xr:uid="{019D969D-C06D-42AB-9423-A4A13AE9684E}"/>
    <cellStyle name="Currency 5 3 3 6 4" xfId="10531" xr:uid="{5A16E708-2D10-47D1-87F2-06394E2DD3B0}"/>
    <cellStyle name="Currency 5 3 3 7" xfId="2438" xr:uid="{00000000-0005-0000-0000-0000060D0000}"/>
    <cellStyle name="Currency 5 3 3 7 2" xfId="6723" xr:uid="{00000000-0005-0000-0000-0000070D0000}"/>
    <cellStyle name="Currency 5 3 3 7 2 2" xfId="15162" xr:uid="{4A50F7F1-B241-4A8A-BA5F-9DF8C6FA3E3B}"/>
    <cellStyle name="Currency 5 3 3 7 3" xfId="10944" xr:uid="{3ABFEB11-D797-4D8C-A019-01838BCA27D9}"/>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3D9ABD5B-4ED0-473D-B791-24D0A60D6EBE}"/>
    <cellStyle name="Currency 5 3 3 9 3" xfId="11261" xr:uid="{1F9F8207-08EE-41DA-A41C-6997E2A7B7F5}"/>
    <cellStyle name="Currency 5 3 4" xfId="216" xr:uid="{00000000-0005-0000-0000-00000B0D0000}"/>
    <cellStyle name="Currency 5 3 4 10" xfId="8880" xr:uid="{93D9E74D-9C82-4416-B008-5AD019C85C3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51D44FA6-8EA9-4215-8F03-E2F264A7D0BC}"/>
    <cellStyle name="Currency 5 3 4 2 2 3" xfId="11439" xr:uid="{6CCD5322-6F19-4F2E-BEA9-652E43501FD8}"/>
    <cellStyle name="Currency 5 3 4 2 3" xfId="5073" xr:uid="{00000000-0005-0000-0000-00000F0D0000}"/>
    <cellStyle name="Currency 5 3 4 2 3 2" xfId="13512" xr:uid="{2187007C-8BA2-42E5-AC44-E7607051F1CB}"/>
    <cellStyle name="Currency 5 3 4 2 4" xfId="9294" xr:uid="{633365A6-B201-4DEF-9510-E77589EF8CDD}"/>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0852162F-F0D3-48BE-AC9B-E5DD5F4B8A3C}"/>
    <cellStyle name="Currency 5 3 4 3 2 3" xfId="11852" xr:uid="{40A46421-FF84-436C-9EAE-9DD864D4A294}"/>
    <cellStyle name="Currency 5 3 4 3 3" xfId="5486" xr:uid="{00000000-0005-0000-0000-0000130D0000}"/>
    <cellStyle name="Currency 5 3 4 3 3 2" xfId="13925" xr:uid="{F76339CB-2753-4375-ABAE-5BB813B77136}"/>
    <cellStyle name="Currency 5 3 4 3 4" xfId="9707" xr:uid="{747FA80E-2E41-4A75-BAC5-35C1601A7F3C}"/>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2B91199E-D0AC-4964-BFDC-38A2D1409111}"/>
    <cellStyle name="Currency 5 3 4 4 2 3" xfId="12265" xr:uid="{20129561-8C02-4E05-AA5F-FFC9C4E5C171}"/>
    <cellStyle name="Currency 5 3 4 4 3" xfId="5899" xr:uid="{00000000-0005-0000-0000-0000170D0000}"/>
    <cellStyle name="Currency 5 3 4 4 3 2" xfId="14338" xr:uid="{FB488668-4FCF-4134-B4B9-882A50399689}"/>
    <cellStyle name="Currency 5 3 4 4 4" xfId="10120" xr:uid="{0FDCFB16-ACAA-4419-9FD6-0054596BB6A5}"/>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551C375D-1837-4A43-AF85-0847D0CCABD3}"/>
    <cellStyle name="Currency 5 3 4 5 2 3" xfId="12678" xr:uid="{210731C0-DA5C-4025-9440-A454F46790ED}"/>
    <cellStyle name="Currency 5 3 4 5 3" xfId="6312" xr:uid="{00000000-0005-0000-0000-00001B0D0000}"/>
    <cellStyle name="Currency 5 3 4 5 3 2" xfId="14751" xr:uid="{27B8D1F6-83DD-45D7-860E-184B6A3B985F}"/>
    <cellStyle name="Currency 5 3 4 5 4" xfId="10533" xr:uid="{57F604F9-15E0-40D9-9072-7EB5A2BB22C4}"/>
    <cellStyle name="Currency 5 3 4 6" xfId="2440" xr:uid="{00000000-0005-0000-0000-00001C0D0000}"/>
    <cellStyle name="Currency 5 3 4 6 2" xfId="6725" xr:uid="{00000000-0005-0000-0000-00001D0D0000}"/>
    <cellStyle name="Currency 5 3 4 6 2 2" xfId="15164" xr:uid="{F638417C-F108-4DD3-B8C7-C343CDA0A69A}"/>
    <cellStyle name="Currency 5 3 4 6 3" xfId="10946" xr:uid="{9D41469C-C3A6-4715-901B-52623E2F7FAA}"/>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FCD48E67-1141-4CD2-A5D0-A20FD4E7E950}"/>
    <cellStyle name="Currency 5 3 4 8 3" xfId="11263" xr:uid="{9C608459-3608-4764-886E-1F595553DA3B}"/>
    <cellStyle name="Currency 5 3 4 9" xfId="4659" xr:uid="{00000000-0005-0000-0000-0000210D0000}"/>
    <cellStyle name="Currency 5 3 4 9 2" xfId="13098" xr:uid="{AE3528D8-ECC3-4825-BD99-721C88ADB965}"/>
    <cellStyle name="Currency 5 3 5" xfId="217" xr:uid="{00000000-0005-0000-0000-0000220D0000}"/>
    <cellStyle name="Currency 5 3 5 10" xfId="8881" xr:uid="{21AC9A39-1551-4251-A218-BC97EB8E540F}"/>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E9EAE50D-EE20-45E9-8E69-75AE465EC696}"/>
    <cellStyle name="Currency 5 3 5 2 2 3" xfId="11440" xr:uid="{20276265-76CF-40E8-897B-B912D58EDA72}"/>
    <cellStyle name="Currency 5 3 5 2 3" xfId="5074" xr:uid="{00000000-0005-0000-0000-0000260D0000}"/>
    <cellStyle name="Currency 5 3 5 2 3 2" xfId="13513" xr:uid="{B47FDADF-5A92-4C2A-925B-13B082E6C011}"/>
    <cellStyle name="Currency 5 3 5 2 4" xfId="9295" xr:uid="{208E419A-6465-4C94-9341-F94EF471B778}"/>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DE6129CD-B81E-4435-B83B-7C339FA3EBCB}"/>
    <cellStyle name="Currency 5 3 5 3 2 3" xfId="11853" xr:uid="{A5E0CA8B-B383-4BF4-AE8E-DDEFF916D9EB}"/>
    <cellStyle name="Currency 5 3 5 3 3" xfId="5487" xr:uid="{00000000-0005-0000-0000-00002A0D0000}"/>
    <cellStyle name="Currency 5 3 5 3 3 2" xfId="13926" xr:uid="{FA042FCF-D072-42B6-AFC4-345C2782C528}"/>
    <cellStyle name="Currency 5 3 5 3 4" xfId="9708" xr:uid="{AFC2B1BE-D589-4B7B-8BF2-C4C150E0CA36}"/>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E15A98F4-E8ED-450F-84EA-763E99B63215}"/>
    <cellStyle name="Currency 5 3 5 4 2 3" xfId="12266" xr:uid="{80B4E50E-52FE-47FD-B4C4-6DFF125DD2AF}"/>
    <cellStyle name="Currency 5 3 5 4 3" xfId="5900" xr:uid="{00000000-0005-0000-0000-00002E0D0000}"/>
    <cellStyle name="Currency 5 3 5 4 3 2" xfId="14339" xr:uid="{BD923E20-9751-4936-A7E5-2129A8758370}"/>
    <cellStyle name="Currency 5 3 5 4 4" xfId="10121" xr:uid="{27E36EAE-E430-493B-B04F-99B49C198038}"/>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8A4C4835-D0E8-463C-AC31-10D2F875539E}"/>
    <cellStyle name="Currency 5 3 5 5 2 3" xfId="12679" xr:uid="{7639167C-DD13-4ABC-BD43-6F631D862A0D}"/>
    <cellStyle name="Currency 5 3 5 5 3" xfId="6313" xr:uid="{00000000-0005-0000-0000-0000320D0000}"/>
    <cellStyle name="Currency 5 3 5 5 3 2" xfId="14752" xr:uid="{56D750FC-1F62-4EB6-9382-AD84E5620B0E}"/>
    <cellStyle name="Currency 5 3 5 5 4" xfId="10534" xr:uid="{0B27E602-5ED5-4F8A-8C5E-5FF4DAB77E23}"/>
    <cellStyle name="Currency 5 3 5 6" xfId="2441" xr:uid="{00000000-0005-0000-0000-0000330D0000}"/>
    <cellStyle name="Currency 5 3 5 6 2" xfId="6726" xr:uid="{00000000-0005-0000-0000-0000340D0000}"/>
    <cellStyle name="Currency 5 3 5 6 2 2" xfId="15165" xr:uid="{C5C190DD-1F7F-4F53-B0AF-8427C844FECE}"/>
    <cellStyle name="Currency 5 3 5 6 3" xfId="10947" xr:uid="{B0134FB2-C112-468E-B944-F9111B0B6F10}"/>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CEA84873-A547-4723-BF69-3A1B76E501DB}"/>
    <cellStyle name="Currency 5 3 5 8 3" xfId="11264" xr:uid="{79D82986-75EF-40A2-B874-A5DBC8CE2F0A}"/>
    <cellStyle name="Currency 5 3 5 9" xfId="4660" xr:uid="{00000000-0005-0000-0000-0000380D0000}"/>
    <cellStyle name="Currency 5 3 5 9 2" xfId="13099" xr:uid="{2404831B-8645-41B2-BD28-898BEDF96B6C}"/>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5650F3C0-88A7-4006-9CD6-2F442072D131}"/>
    <cellStyle name="Currency 5 5 11" xfId="8882" xr:uid="{2581BCB2-D233-4C54-AFF7-DD8813734651}"/>
    <cellStyle name="Currency 5 5 2" xfId="220" xr:uid="{00000000-0005-0000-0000-00003D0D0000}"/>
    <cellStyle name="Currency 5 5 2 10" xfId="8883" xr:uid="{FACE59A5-B032-417B-8F6D-587DA5AFF39F}"/>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A9A19A19-765B-446E-95C0-3856644D8DCC}"/>
    <cellStyle name="Currency 5 5 2 2 2 3" xfId="11442" xr:uid="{01E1C8FE-F9FB-4DCE-9980-2301DDB91499}"/>
    <cellStyle name="Currency 5 5 2 2 3" xfId="5076" xr:uid="{00000000-0005-0000-0000-0000410D0000}"/>
    <cellStyle name="Currency 5 5 2 2 3 2" xfId="13515" xr:uid="{C406A964-F9F5-4235-8EA1-AF5448AF358A}"/>
    <cellStyle name="Currency 5 5 2 2 4" xfId="9297" xr:uid="{F382441E-301F-494E-9A0B-D59FB5AE050A}"/>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C75C31B7-53CE-4C64-BAC4-FAB0E4CBF512}"/>
    <cellStyle name="Currency 5 5 2 3 2 3" xfId="11855" xr:uid="{08D1FB92-EB68-40CF-BF15-08BDEDE459B8}"/>
    <cellStyle name="Currency 5 5 2 3 3" xfId="5489" xr:uid="{00000000-0005-0000-0000-0000450D0000}"/>
    <cellStyle name="Currency 5 5 2 3 3 2" xfId="13928" xr:uid="{3B4A087B-6C1C-4257-B40F-C69734D83213}"/>
    <cellStyle name="Currency 5 5 2 3 4" xfId="9710" xr:uid="{C39273D8-6F7E-474C-AB4B-8FE03F233762}"/>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067D2E5D-F00E-496C-9462-BC7DCA9CBBDF}"/>
    <cellStyle name="Currency 5 5 2 4 2 3" xfId="12268" xr:uid="{4108BB3F-2D2C-4048-96DA-BC4B947D8317}"/>
    <cellStyle name="Currency 5 5 2 4 3" xfId="5902" xr:uid="{00000000-0005-0000-0000-0000490D0000}"/>
    <cellStyle name="Currency 5 5 2 4 3 2" xfId="14341" xr:uid="{CDB7BEC0-F768-4C18-83EF-E9A7F360E93C}"/>
    <cellStyle name="Currency 5 5 2 4 4" xfId="10123" xr:uid="{14420A51-8AE2-466F-BCD8-AF414F531A48}"/>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395590FE-DF83-4EB3-8FA1-D2AEAA006F1A}"/>
    <cellStyle name="Currency 5 5 2 5 2 3" xfId="12681" xr:uid="{EA211729-1C77-4907-B74D-AB85C5DCB18D}"/>
    <cellStyle name="Currency 5 5 2 5 3" xfId="6315" xr:uid="{00000000-0005-0000-0000-00004D0D0000}"/>
    <cellStyle name="Currency 5 5 2 5 3 2" xfId="14754" xr:uid="{91D12797-D951-4B73-BA0D-6EC261E8E673}"/>
    <cellStyle name="Currency 5 5 2 5 4" xfId="10536" xr:uid="{4351A24B-B2B9-4BF6-A662-42961AB5F1FE}"/>
    <cellStyle name="Currency 5 5 2 6" xfId="2443" xr:uid="{00000000-0005-0000-0000-00004E0D0000}"/>
    <cellStyle name="Currency 5 5 2 6 2" xfId="6728" xr:uid="{00000000-0005-0000-0000-00004F0D0000}"/>
    <cellStyle name="Currency 5 5 2 6 2 2" xfId="15167" xr:uid="{334EDDC2-9061-4C82-8818-29B31CA1833C}"/>
    <cellStyle name="Currency 5 5 2 6 3" xfId="10949" xr:uid="{C6CF3CF2-61F8-419F-9249-23029CC947BC}"/>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5AAE4808-4B7E-44DD-A33C-D93A9AFD5C5E}"/>
    <cellStyle name="Currency 5 5 2 8 3" xfId="11266" xr:uid="{822F99B3-D9FC-45A7-9B89-CED8A23932E7}"/>
    <cellStyle name="Currency 5 5 2 9" xfId="4662" xr:uid="{00000000-0005-0000-0000-0000530D0000}"/>
    <cellStyle name="Currency 5 5 2 9 2" xfId="13101" xr:uid="{640AEAAD-948F-48F1-A455-DBFA2797857D}"/>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3CD39459-4568-4C28-ABBC-DBBA3A0A8B7B}"/>
    <cellStyle name="Currency 5 5 3 2 3" xfId="11441" xr:uid="{37D59261-5117-4333-AFBC-E55730DE7B08}"/>
    <cellStyle name="Currency 5 5 3 3" xfId="5075" xr:uid="{00000000-0005-0000-0000-0000570D0000}"/>
    <cellStyle name="Currency 5 5 3 3 2" xfId="13514" xr:uid="{C623E21F-942A-4D71-99AE-5EE68CA86547}"/>
    <cellStyle name="Currency 5 5 3 4" xfId="9296" xr:uid="{CE58BE51-F55D-4C9E-A1CE-0E419C9C177D}"/>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E7926D4F-E624-4D70-98FC-91D4ECBC507F}"/>
    <cellStyle name="Currency 5 5 4 2 3" xfId="11854" xr:uid="{D3150D95-1AE8-41B3-9920-6531D9DA6D00}"/>
    <cellStyle name="Currency 5 5 4 3" xfId="5488" xr:uid="{00000000-0005-0000-0000-00005B0D0000}"/>
    <cellStyle name="Currency 5 5 4 3 2" xfId="13927" xr:uid="{A8346954-BC72-42E0-AB47-14A96B793FDD}"/>
    <cellStyle name="Currency 5 5 4 4" xfId="9709" xr:uid="{8FC53515-4349-48A9-8978-FD0186110599}"/>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268E1A1F-2B04-4E5F-BA37-F6DEA21CD34D}"/>
    <cellStyle name="Currency 5 5 5 2 3" xfId="12267" xr:uid="{16B63459-9164-49D5-B404-4DCD3AEDBD3C}"/>
    <cellStyle name="Currency 5 5 5 3" xfId="5901" xr:uid="{00000000-0005-0000-0000-00005F0D0000}"/>
    <cellStyle name="Currency 5 5 5 3 2" xfId="14340" xr:uid="{5BD01591-EE20-47D9-B2FE-2C2BB9FE356E}"/>
    <cellStyle name="Currency 5 5 5 4" xfId="10122" xr:uid="{91D081A0-CBAD-4D6A-AD57-0D4986FE6724}"/>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7D9D2FBE-9B22-4FD8-BD10-3014D782A147}"/>
    <cellStyle name="Currency 5 5 6 2 3" xfId="12680" xr:uid="{80C765DA-9E2A-449F-BBC4-CFD0C2673848}"/>
    <cellStyle name="Currency 5 5 6 3" xfId="6314" xr:uid="{00000000-0005-0000-0000-0000630D0000}"/>
    <cellStyle name="Currency 5 5 6 3 2" xfId="14753" xr:uid="{65B2C1EF-EAE2-44A8-A378-46EF5FA0490C}"/>
    <cellStyle name="Currency 5 5 6 4" xfId="10535" xr:uid="{8671AA6C-5851-47C9-8F82-301E0C42225F}"/>
    <cellStyle name="Currency 5 5 7" xfId="2442" xr:uid="{00000000-0005-0000-0000-0000640D0000}"/>
    <cellStyle name="Currency 5 5 7 2" xfId="6727" xr:uid="{00000000-0005-0000-0000-0000650D0000}"/>
    <cellStyle name="Currency 5 5 7 2 2" xfId="15166" xr:uid="{B5E9D80E-44A5-4C8E-B6D0-376D148C3318}"/>
    <cellStyle name="Currency 5 5 7 3" xfId="10948" xr:uid="{8269B802-59C8-42C6-BB0B-44319418170C}"/>
    <cellStyle name="Currency 5 5 8" xfId="2739" xr:uid="{00000000-0005-0000-0000-0000660D0000}"/>
    <cellStyle name="Currency 5 5 9" xfId="2820" xr:uid="{00000000-0005-0000-0000-0000670D0000}"/>
    <cellStyle name="Currency 5 5 9 2" xfId="7044" xr:uid="{00000000-0005-0000-0000-0000680D0000}"/>
    <cellStyle name="Currency 5 5 9 2 2" xfId="15483" xr:uid="{479F0016-DE91-4941-897E-6C8E7F4DB2A4}"/>
    <cellStyle name="Currency 5 5 9 3" xfId="11265" xr:uid="{010DD4E8-8592-4587-835F-2983BBAE8067}"/>
    <cellStyle name="Currency 5 6" xfId="221" xr:uid="{00000000-0005-0000-0000-0000690D0000}"/>
    <cellStyle name="Currency 5 6 10" xfId="8884" xr:uid="{859DAA03-7AD3-4C2E-9B65-62ACE18042A7}"/>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188045DE-9C2C-40FC-AAC4-12DBCD5EB45C}"/>
    <cellStyle name="Currency 5 6 2 2 3" xfId="11443" xr:uid="{29080EF1-DBF9-48F8-A41F-D52CB70441AF}"/>
    <cellStyle name="Currency 5 6 2 3" xfId="5077" xr:uid="{00000000-0005-0000-0000-00006D0D0000}"/>
    <cellStyle name="Currency 5 6 2 3 2" xfId="13516" xr:uid="{3363158B-F046-4ED1-B000-3EC1DA729093}"/>
    <cellStyle name="Currency 5 6 2 4" xfId="9298" xr:uid="{CE3DC754-3970-40AF-B914-7589D10D8FA0}"/>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54765782-9E95-428A-890A-C2AFE206355C}"/>
    <cellStyle name="Currency 5 6 3 2 3" xfId="11856" xr:uid="{C7EE9699-C49F-438E-9756-EB30C9C2804E}"/>
    <cellStyle name="Currency 5 6 3 3" xfId="5490" xr:uid="{00000000-0005-0000-0000-0000710D0000}"/>
    <cellStyle name="Currency 5 6 3 3 2" xfId="13929" xr:uid="{C9853BC4-95FE-4606-87A0-373ADD4BFA4D}"/>
    <cellStyle name="Currency 5 6 3 4" xfId="9711" xr:uid="{9C1E1E33-5893-4560-95B6-B93B66041C73}"/>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4403F55A-EF94-4FB1-9948-9329BAFD87B2}"/>
    <cellStyle name="Currency 5 6 4 2 3" xfId="12269" xr:uid="{9237D090-4BD1-4B3B-8CFE-F9A25F2BB453}"/>
    <cellStyle name="Currency 5 6 4 3" xfId="5903" xr:uid="{00000000-0005-0000-0000-0000750D0000}"/>
    <cellStyle name="Currency 5 6 4 3 2" xfId="14342" xr:uid="{E53BFC44-4392-4020-805C-42A928333CBA}"/>
    <cellStyle name="Currency 5 6 4 4" xfId="10124" xr:uid="{B6679429-1B6C-4139-BD25-CB60F8651A9C}"/>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721ACE72-13FD-4DAE-A757-DF02FC462C91}"/>
    <cellStyle name="Currency 5 6 5 2 3" xfId="12682" xr:uid="{B2617691-315E-4A1A-A383-CC28E22FE89B}"/>
    <cellStyle name="Currency 5 6 5 3" xfId="6316" xr:uid="{00000000-0005-0000-0000-0000790D0000}"/>
    <cellStyle name="Currency 5 6 5 3 2" xfId="14755" xr:uid="{89672E24-9B11-4344-AFD8-09BF50E7F78F}"/>
    <cellStyle name="Currency 5 6 5 4" xfId="10537" xr:uid="{4A04D9E3-5C64-4603-98A1-E9036BB98FEB}"/>
    <cellStyle name="Currency 5 6 6" xfId="2444" xr:uid="{00000000-0005-0000-0000-00007A0D0000}"/>
    <cellStyle name="Currency 5 6 6 2" xfId="6729" xr:uid="{00000000-0005-0000-0000-00007B0D0000}"/>
    <cellStyle name="Currency 5 6 6 2 2" xfId="15168" xr:uid="{F8F9A187-9E9D-4454-A3CC-B7542139A071}"/>
    <cellStyle name="Currency 5 6 6 3" xfId="10950" xr:uid="{C682D0E5-B207-493E-8470-4E67585575DF}"/>
    <cellStyle name="Currency 5 6 7" xfId="2741" xr:uid="{00000000-0005-0000-0000-00007C0D0000}"/>
    <cellStyle name="Currency 5 6 8" xfId="2822" xr:uid="{00000000-0005-0000-0000-00007D0D0000}"/>
    <cellStyle name="Currency 5 6 8 2" xfId="7046" xr:uid="{00000000-0005-0000-0000-00007E0D0000}"/>
    <cellStyle name="Currency 5 6 8 2 2" xfId="15485" xr:uid="{77DA4B58-4822-47E2-9736-3B6F21C14A1C}"/>
    <cellStyle name="Currency 5 6 8 3" xfId="11267" xr:uid="{8EBBA858-F395-418D-A1F0-6A17077949B9}"/>
    <cellStyle name="Currency 5 6 9" xfId="4663" xr:uid="{00000000-0005-0000-0000-00007F0D0000}"/>
    <cellStyle name="Currency 5 6 9 2" xfId="13102" xr:uid="{F07785AA-67EB-4706-98F3-5677C2314456}"/>
    <cellStyle name="Currency 5 7" xfId="222" xr:uid="{00000000-0005-0000-0000-0000800D0000}"/>
    <cellStyle name="Currency 5 7 10" xfId="8885" xr:uid="{DA888432-9150-48CD-9719-82DE3E5073A8}"/>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417BEE44-4B54-48D0-AF48-712E48611189}"/>
    <cellStyle name="Currency 5 7 2 2 3" xfId="11444" xr:uid="{35840755-2B65-425D-9314-70FBABD79591}"/>
    <cellStyle name="Currency 5 7 2 3" xfId="5078" xr:uid="{00000000-0005-0000-0000-0000840D0000}"/>
    <cellStyle name="Currency 5 7 2 3 2" xfId="13517" xr:uid="{489817E7-542A-4C2F-852D-173E7C0DA761}"/>
    <cellStyle name="Currency 5 7 2 4" xfId="9299" xr:uid="{40EBA32B-0688-4C79-9425-989877478C04}"/>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A8C6C183-7389-4116-879E-9FCBC56B0D1B}"/>
    <cellStyle name="Currency 5 7 3 2 3" xfId="11857" xr:uid="{A72278CB-61EF-457E-ACBC-C6C9F3DB4965}"/>
    <cellStyle name="Currency 5 7 3 3" xfId="5491" xr:uid="{00000000-0005-0000-0000-0000880D0000}"/>
    <cellStyle name="Currency 5 7 3 3 2" xfId="13930" xr:uid="{3FDB1923-4CF6-4F7C-8C07-CCF5F7E45085}"/>
    <cellStyle name="Currency 5 7 3 4" xfId="9712" xr:uid="{51805804-4245-4596-85F4-2C286B3A717F}"/>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998D1263-7994-4E34-A825-92B420270E58}"/>
    <cellStyle name="Currency 5 7 4 2 3" xfId="12270" xr:uid="{ED8E838E-4B48-4E44-98DB-73C04D332CE9}"/>
    <cellStyle name="Currency 5 7 4 3" xfId="5904" xr:uid="{00000000-0005-0000-0000-00008C0D0000}"/>
    <cellStyle name="Currency 5 7 4 3 2" xfId="14343" xr:uid="{BA138302-601D-4B82-A794-21329B340643}"/>
    <cellStyle name="Currency 5 7 4 4" xfId="10125" xr:uid="{09086DFB-C816-4E7F-908E-D59CFA942AB5}"/>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EEB8863A-9F5A-40F4-9870-A4540B706555}"/>
    <cellStyle name="Currency 5 7 5 2 3" xfId="12683" xr:uid="{1417AFCE-5C32-4B3E-BB41-CEECF59ED565}"/>
    <cellStyle name="Currency 5 7 5 3" xfId="6317" xr:uid="{00000000-0005-0000-0000-0000900D0000}"/>
    <cellStyle name="Currency 5 7 5 3 2" xfId="14756" xr:uid="{275BA66A-DE25-4B7D-A36B-2B3C9176576D}"/>
    <cellStyle name="Currency 5 7 5 4" xfId="10538" xr:uid="{43F9789A-1601-412C-8486-9D190086A467}"/>
    <cellStyle name="Currency 5 7 6" xfId="2445" xr:uid="{00000000-0005-0000-0000-0000910D0000}"/>
    <cellStyle name="Currency 5 7 6 2" xfId="6730" xr:uid="{00000000-0005-0000-0000-0000920D0000}"/>
    <cellStyle name="Currency 5 7 6 2 2" xfId="15169" xr:uid="{F14B9607-B8BD-4833-A871-1217CB0C2D53}"/>
    <cellStyle name="Currency 5 7 6 3" xfId="10951" xr:uid="{DC91E1C1-C779-4F26-8804-E29A79C45B6F}"/>
    <cellStyle name="Currency 5 7 7" xfId="2742" xr:uid="{00000000-0005-0000-0000-0000930D0000}"/>
    <cellStyle name="Currency 5 7 8" xfId="2823" xr:uid="{00000000-0005-0000-0000-0000940D0000}"/>
    <cellStyle name="Currency 5 7 8 2" xfId="7047" xr:uid="{00000000-0005-0000-0000-0000950D0000}"/>
    <cellStyle name="Currency 5 7 8 2 2" xfId="15486" xr:uid="{B3B4E952-5662-4875-A7B4-BC8D4801C990}"/>
    <cellStyle name="Currency 5 7 8 3" xfId="11268" xr:uid="{9E5BC2F8-6634-4018-8B44-6F39AB0E4935}"/>
    <cellStyle name="Currency 5 7 9" xfId="4664" xr:uid="{00000000-0005-0000-0000-0000960D0000}"/>
    <cellStyle name="Currency 5 7 9 2" xfId="13103" xr:uid="{B645EABE-FDE0-4397-A192-5F8C95C0062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C4773350-78FC-4144-8120-0A24D7B2538C}"/>
    <cellStyle name="Normal 12 10 3" xfId="10952" xr:uid="{F924DB6E-CF47-425C-923F-22310F58FE5C}"/>
    <cellStyle name="Normal 12 11" xfId="4665" xr:uid="{00000000-0005-0000-0000-0000CC0D0000}"/>
    <cellStyle name="Normal 12 11 2" xfId="13104" xr:uid="{9924F0CD-132B-4B97-B83C-A34EA19F3FA0}"/>
    <cellStyle name="Normal 12 12" xfId="8886" xr:uid="{72D0F2D8-0353-45FB-B6A0-76C36DAF321F}"/>
    <cellStyle name="Normal 12 2" xfId="260" xr:uid="{00000000-0005-0000-0000-0000CD0D0000}"/>
    <cellStyle name="Normal 12 2 10" xfId="8887" xr:uid="{3908C4A8-CF41-405A-9CDE-6E4B3E936DD2}"/>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BC0891DD-5A13-4D53-940A-2808E2AB7BC4}"/>
    <cellStyle name="Normal 12 2 2 2 2 2 3" xfId="11448" xr:uid="{DC011411-8E34-4A87-9941-C5E221CB78CB}"/>
    <cellStyle name="Normal 12 2 2 2 2 3" xfId="5082" xr:uid="{00000000-0005-0000-0000-0000D30D0000}"/>
    <cellStyle name="Normal 12 2 2 2 2 3 2" xfId="13521" xr:uid="{0D44B5F8-2E91-4A09-A161-60C2416A2E50}"/>
    <cellStyle name="Normal 12 2 2 2 2 4" xfId="9303" xr:uid="{FF96CC7C-962C-4B50-9200-5F5E753B458D}"/>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F38224E6-5D8B-47F0-BC51-C8A2CC15EF4C}"/>
    <cellStyle name="Normal 12 2 2 2 3 2 3" xfId="11861" xr:uid="{15432619-177A-40F5-B6E1-32FE3AAB57BD}"/>
    <cellStyle name="Normal 12 2 2 2 3 3" xfId="5495" xr:uid="{00000000-0005-0000-0000-0000D70D0000}"/>
    <cellStyle name="Normal 12 2 2 2 3 3 2" xfId="13934" xr:uid="{2F30619A-19C8-4CE1-9D9C-E390F4377048}"/>
    <cellStyle name="Normal 12 2 2 2 3 4" xfId="9716" xr:uid="{328DE8BC-23C1-485E-BB64-FC5303EE5659}"/>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82B57018-4398-401E-A470-97D87F917B6D}"/>
    <cellStyle name="Normal 12 2 2 2 4 2 3" xfId="12274" xr:uid="{E2193EE8-876E-45A7-8382-624C2239126D}"/>
    <cellStyle name="Normal 12 2 2 2 4 3" xfId="5908" xr:uid="{00000000-0005-0000-0000-0000DB0D0000}"/>
    <cellStyle name="Normal 12 2 2 2 4 3 2" xfId="14347" xr:uid="{6BF54B8D-1D4F-4CB6-B341-C9288046614E}"/>
    <cellStyle name="Normal 12 2 2 2 4 4" xfId="10129" xr:uid="{2F580AA7-2066-4495-89BD-4472CF74C98C}"/>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87C52EA0-A361-4EA4-A3B3-280D434124E8}"/>
    <cellStyle name="Normal 12 2 2 2 5 2 3" xfId="12687" xr:uid="{737149F6-FFA8-4FAA-A231-31BD39DAEC84}"/>
    <cellStyle name="Normal 12 2 2 2 5 3" xfId="6321" xr:uid="{00000000-0005-0000-0000-0000DF0D0000}"/>
    <cellStyle name="Normal 12 2 2 2 5 3 2" xfId="14760" xr:uid="{C0361ED2-1D3E-4654-9665-797D5D5ED727}"/>
    <cellStyle name="Normal 12 2 2 2 5 4" xfId="10542" xr:uid="{BFB98FD6-E722-4892-B83F-29D0AD22EA60}"/>
    <cellStyle name="Normal 12 2 2 2 6" xfId="2450" xr:uid="{00000000-0005-0000-0000-0000E00D0000}"/>
    <cellStyle name="Normal 12 2 2 2 6 2" xfId="6734" xr:uid="{00000000-0005-0000-0000-0000E10D0000}"/>
    <cellStyle name="Normal 12 2 2 2 6 2 2" xfId="15173" xr:uid="{8AB7D20F-6008-428F-A6DB-9A85EFB4CAAE}"/>
    <cellStyle name="Normal 12 2 2 2 6 3" xfId="10955" xr:uid="{D636B617-A971-4E67-809E-00BA83F4427C}"/>
    <cellStyle name="Normal 12 2 2 2 7" xfId="4668" xr:uid="{00000000-0005-0000-0000-0000E20D0000}"/>
    <cellStyle name="Normal 12 2 2 2 7 2" xfId="13107" xr:uid="{29AAD762-8CB3-43D7-B46A-2621DC8D19CB}"/>
    <cellStyle name="Normal 12 2 2 2 8" xfId="8889" xr:uid="{0B47DDED-D5FD-4D9F-90FB-DDDE08B534CD}"/>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2612E236-5898-483D-9B32-2A182EDB9928}"/>
    <cellStyle name="Normal 12 2 2 3 2 3" xfId="11447" xr:uid="{6B065A95-2B8A-4028-8D23-AD3AC85644C3}"/>
    <cellStyle name="Normal 12 2 2 3 3" xfId="5081" xr:uid="{00000000-0005-0000-0000-0000E60D0000}"/>
    <cellStyle name="Normal 12 2 2 3 3 2" xfId="13520" xr:uid="{7F8DC8D4-D2BC-4106-9B35-6EA70D7E5741}"/>
    <cellStyle name="Normal 12 2 2 3 4" xfId="9302" xr:uid="{21B43F70-50B6-4194-8072-94328E823D95}"/>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5B2BB0B2-2B19-4E38-8E6B-3A64E342D0CE}"/>
    <cellStyle name="Normal 12 2 2 4 2 3" xfId="11860" xr:uid="{E228DC6C-E651-4450-A1AE-415A7008947F}"/>
    <cellStyle name="Normal 12 2 2 4 3" xfId="5494" xr:uid="{00000000-0005-0000-0000-0000EA0D0000}"/>
    <cellStyle name="Normal 12 2 2 4 3 2" xfId="13933" xr:uid="{9FDFB546-9458-4B3F-B3D7-D31EB9DD8DED}"/>
    <cellStyle name="Normal 12 2 2 4 4" xfId="9715" xr:uid="{EC9CB464-81B5-4653-9512-130C1EE7C63B}"/>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410A00F0-DA67-46E0-9AA8-66456CECCB0C}"/>
    <cellStyle name="Normal 12 2 2 5 2 3" xfId="12273" xr:uid="{15DA6B1A-9A27-4B12-9147-10799865C11C}"/>
    <cellStyle name="Normal 12 2 2 5 3" xfId="5907" xr:uid="{00000000-0005-0000-0000-0000EE0D0000}"/>
    <cellStyle name="Normal 12 2 2 5 3 2" xfId="14346" xr:uid="{66ABA466-BBC0-4A75-A0DC-3FAAE54A343E}"/>
    <cellStyle name="Normal 12 2 2 5 4" xfId="10128" xr:uid="{5EE62D9A-E9CA-49F5-8718-507550A9D0BF}"/>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0F66883D-2E3A-466D-BC69-965F5F9635C9}"/>
    <cellStyle name="Normal 12 2 2 6 2 3" xfId="12686" xr:uid="{083F8BFB-234B-45E1-AAAE-260C5D47A992}"/>
    <cellStyle name="Normal 12 2 2 6 3" xfId="6320" xr:uid="{00000000-0005-0000-0000-0000F20D0000}"/>
    <cellStyle name="Normal 12 2 2 6 3 2" xfId="14759" xr:uid="{93369661-ED2D-4587-8FB0-723D8FD093DD}"/>
    <cellStyle name="Normal 12 2 2 6 4" xfId="10541" xr:uid="{4CE98922-F985-475A-9960-0D1BE5FF6A61}"/>
    <cellStyle name="Normal 12 2 2 7" xfId="2449" xr:uid="{00000000-0005-0000-0000-0000F30D0000}"/>
    <cellStyle name="Normal 12 2 2 7 2" xfId="6733" xr:uid="{00000000-0005-0000-0000-0000F40D0000}"/>
    <cellStyle name="Normal 12 2 2 7 2 2" xfId="15172" xr:uid="{19A2B633-E6B5-4189-A15F-E2C6163EA3E9}"/>
    <cellStyle name="Normal 12 2 2 7 3" xfId="10954" xr:uid="{764AB397-CF81-4C98-BE2B-268EE5CF1D13}"/>
    <cellStyle name="Normal 12 2 2 8" xfId="4667" xr:uid="{00000000-0005-0000-0000-0000F50D0000}"/>
    <cellStyle name="Normal 12 2 2 8 2" xfId="13106" xr:uid="{DC5B9A6D-D6FF-4C07-940D-EE8F9F4E777D}"/>
    <cellStyle name="Normal 12 2 2 9" xfId="8888" xr:uid="{FA5065DA-0AA3-4FA6-B9E9-72066859F743}"/>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A6BEF47A-16DF-4B4B-AA05-11A7FCAB6D44}"/>
    <cellStyle name="Normal 12 2 3 2 2 3" xfId="11449" xr:uid="{CF09501F-7812-42CE-B3EC-18C956CD4534}"/>
    <cellStyle name="Normal 12 2 3 2 3" xfId="5083" xr:uid="{00000000-0005-0000-0000-0000FA0D0000}"/>
    <cellStyle name="Normal 12 2 3 2 3 2" xfId="13522" xr:uid="{FDDD3D20-26FA-441F-A0C5-6BD96B1BB0BF}"/>
    <cellStyle name="Normal 12 2 3 2 4" xfId="9304" xr:uid="{EF0D35D5-C7B9-4681-9BA7-79DCDD057DF1}"/>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5E56995D-AB1F-43DB-A4C5-BFB18B5A2C4F}"/>
    <cellStyle name="Normal 12 2 3 3 2 3" xfId="11862" xr:uid="{B824D8BF-25AB-46EA-99E4-C67BD6FB4D2E}"/>
    <cellStyle name="Normal 12 2 3 3 3" xfId="5496" xr:uid="{00000000-0005-0000-0000-0000FE0D0000}"/>
    <cellStyle name="Normal 12 2 3 3 3 2" xfId="13935" xr:uid="{77BB5993-91CB-483E-863A-ECCF6C31684B}"/>
    <cellStyle name="Normal 12 2 3 3 4" xfId="9717" xr:uid="{30F77762-4949-4C67-91CB-05A384CF4421}"/>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603350CC-6B35-4C02-83BA-5B11C6A2B68A}"/>
    <cellStyle name="Normal 12 2 3 4 2 3" xfId="12275" xr:uid="{C04397D3-43F5-4B76-8A7B-8290136B08AE}"/>
    <cellStyle name="Normal 12 2 3 4 3" xfId="5909" xr:uid="{00000000-0005-0000-0000-0000020E0000}"/>
    <cellStyle name="Normal 12 2 3 4 3 2" xfId="14348" xr:uid="{F1E9FE75-C313-47C0-8F05-2DF6605D96E5}"/>
    <cellStyle name="Normal 12 2 3 4 4" xfId="10130" xr:uid="{6038BF6A-7DA7-4334-BAC9-505E6A71E423}"/>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1B1AB98C-2FD4-451A-81D9-A3E8CF5FA3E4}"/>
    <cellStyle name="Normal 12 2 3 5 2 3" xfId="12688" xr:uid="{BBFD9E8D-6310-44EA-A527-4564E78BB6DA}"/>
    <cellStyle name="Normal 12 2 3 5 3" xfId="6322" xr:uid="{00000000-0005-0000-0000-0000060E0000}"/>
    <cellStyle name="Normal 12 2 3 5 3 2" xfId="14761" xr:uid="{FE9DDAA6-2C89-4083-935E-C227E9F66038}"/>
    <cellStyle name="Normal 12 2 3 5 4" xfId="10543" xr:uid="{FE567C5E-984E-4AAD-8B7A-7A7456C74EC7}"/>
    <cellStyle name="Normal 12 2 3 6" xfId="2451" xr:uid="{00000000-0005-0000-0000-0000070E0000}"/>
    <cellStyle name="Normal 12 2 3 6 2" xfId="6735" xr:uid="{00000000-0005-0000-0000-0000080E0000}"/>
    <cellStyle name="Normal 12 2 3 6 2 2" xfId="15174" xr:uid="{2752CD72-F9BF-4195-8319-BA97DC69095D}"/>
    <cellStyle name="Normal 12 2 3 6 3" xfId="10956" xr:uid="{13547485-FEB8-45C9-94ED-0F8B315931CE}"/>
    <cellStyle name="Normal 12 2 3 7" xfId="4669" xr:uid="{00000000-0005-0000-0000-0000090E0000}"/>
    <cellStyle name="Normal 12 2 3 7 2" xfId="13108" xr:uid="{490EEF65-4136-4617-90B2-8F109FD4C96C}"/>
    <cellStyle name="Normal 12 2 3 8" xfId="8890" xr:uid="{AB024306-6341-4CE2-88AD-1462ACA4DC96}"/>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09EF7D78-0A25-4CA8-99BD-996C49798F9E}"/>
    <cellStyle name="Normal 12 2 4 2 3" xfId="11446" xr:uid="{B95B26B6-6B64-4551-9D20-4CD85FED8EAE}"/>
    <cellStyle name="Normal 12 2 4 3" xfId="5080" xr:uid="{00000000-0005-0000-0000-00000D0E0000}"/>
    <cellStyle name="Normal 12 2 4 3 2" xfId="13519" xr:uid="{DEA1E8A4-1477-4B32-8A0F-8A82BA46571F}"/>
    <cellStyle name="Normal 12 2 4 4" xfId="9301" xr:uid="{C90140C4-1F0C-4B01-B3DD-831EB98DFC94}"/>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1BCF98DB-D2A6-4A88-ACFF-55FC55654EAC}"/>
    <cellStyle name="Normal 12 2 5 2 3" xfId="11859" xr:uid="{C12CB2F9-8DD9-4173-8337-D15B21919D77}"/>
    <cellStyle name="Normal 12 2 5 3" xfId="5493" xr:uid="{00000000-0005-0000-0000-0000110E0000}"/>
    <cellStyle name="Normal 12 2 5 3 2" xfId="13932" xr:uid="{0D5BDAE2-96E7-4627-A805-C53BEF9AC2B7}"/>
    <cellStyle name="Normal 12 2 5 4" xfId="9714" xr:uid="{CCA31104-1DEB-46DC-8024-5CEBC0BEF1E4}"/>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BDC8ED0A-3C20-4082-B74A-915255FEC64B}"/>
    <cellStyle name="Normal 12 2 6 2 3" xfId="12272" xr:uid="{A89909E8-CA60-4578-9EA1-B029DAA24489}"/>
    <cellStyle name="Normal 12 2 6 3" xfId="5906" xr:uid="{00000000-0005-0000-0000-0000150E0000}"/>
    <cellStyle name="Normal 12 2 6 3 2" xfId="14345" xr:uid="{58E3A86C-9C47-47B3-B831-53C62C08D631}"/>
    <cellStyle name="Normal 12 2 6 4" xfId="10127" xr:uid="{679EFADE-AB85-4C08-AF03-63440B8443FD}"/>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88F31790-74FE-4FB4-B48F-E04A31A3656E}"/>
    <cellStyle name="Normal 12 2 7 2 3" xfId="12685" xr:uid="{B5343EA2-9431-4BAA-83A4-E664D75D0392}"/>
    <cellStyle name="Normal 12 2 7 3" xfId="6319" xr:uid="{00000000-0005-0000-0000-0000190E0000}"/>
    <cellStyle name="Normal 12 2 7 3 2" xfId="14758" xr:uid="{9A5F23B5-0765-4269-9E52-2C9FE17BF694}"/>
    <cellStyle name="Normal 12 2 7 4" xfId="10540" xr:uid="{62E32F62-9920-44A6-9521-BCD1237EF84E}"/>
    <cellStyle name="Normal 12 2 8" xfId="2448" xr:uid="{00000000-0005-0000-0000-00001A0E0000}"/>
    <cellStyle name="Normal 12 2 8 2" xfId="6732" xr:uid="{00000000-0005-0000-0000-00001B0E0000}"/>
    <cellStyle name="Normal 12 2 8 2 2" xfId="15171" xr:uid="{A3259E41-FC6B-4A76-9F8A-6ED52D4CD186}"/>
    <cellStyle name="Normal 12 2 8 3" xfId="10953" xr:uid="{34737021-3909-4528-B9C2-22D533D63592}"/>
    <cellStyle name="Normal 12 2 9" xfId="4666" xr:uid="{00000000-0005-0000-0000-00001C0E0000}"/>
    <cellStyle name="Normal 12 2 9 2" xfId="13105" xr:uid="{C2E5E639-0D5A-45EC-94F8-42B2CD521816}"/>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92CF1F5F-51A2-4624-9794-0952D4B60825}"/>
    <cellStyle name="Normal 12 3 2 2 2 3" xfId="11451" xr:uid="{D659C7D0-35CE-40E0-9BF0-1368F22095CC}"/>
    <cellStyle name="Normal 12 3 2 2 3" xfId="5085" xr:uid="{00000000-0005-0000-0000-0000220E0000}"/>
    <cellStyle name="Normal 12 3 2 2 3 2" xfId="13524" xr:uid="{0F775F8B-D402-45EF-9D53-1A673C4D0BFF}"/>
    <cellStyle name="Normal 12 3 2 2 4" xfId="9306" xr:uid="{96B90554-D6A4-4718-8CA4-7BABAD18B624}"/>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E8AEB327-2BE2-4800-9C0A-615BFC8883F5}"/>
    <cellStyle name="Normal 12 3 2 3 2 3" xfId="11864" xr:uid="{1D9B005D-B30C-46DB-9F39-CBE2E5A5CF46}"/>
    <cellStyle name="Normal 12 3 2 3 3" xfId="5498" xr:uid="{00000000-0005-0000-0000-0000260E0000}"/>
    <cellStyle name="Normal 12 3 2 3 3 2" xfId="13937" xr:uid="{066F7FC4-01C4-4D07-82FC-0AB8A2D92058}"/>
    <cellStyle name="Normal 12 3 2 3 4" xfId="9719" xr:uid="{C826C6F5-BEAB-4ABE-BA97-7981734F67EC}"/>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5DCA1376-39D2-4B61-BB71-2BF34561CA93}"/>
    <cellStyle name="Normal 12 3 2 4 2 3" xfId="12277" xr:uid="{3910501F-78DE-4753-A632-0B254B4C127E}"/>
    <cellStyle name="Normal 12 3 2 4 3" xfId="5911" xr:uid="{00000000-0005-0000-0000-00002A0E0000}"/>
    <cellStyle name="Normal 12 3 2 4 3 2" xfId="14350" xr:uid="{FF5C4FCE-BD4B-4446-A502-947E03FBD400}"/>
    <cellStyle name="Normal 12 3 2 4 4" xfId="10132" xr:uid="{77E58910-EAA0-4FDD-AE5D-D7CC7E953CFA}"/>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7BC6330C-CB0B-4926-83F3-8CD40333FFA9}"/>
    <cellStyle name="Normal 12 3 2 5 2 3" xfId="12690" xr:uid="{B3773317-27B1-41A2-9598-6CDB30A84A4F}"/>
    <cellStyle name="Normal 12 3 2 5 3" xfId="6324" xr:uid="{00000000-0005-0000-0000-00002E0E0000}"/>
    <cellStyle name="Normal 12 3 2 5 3 2" xfId="14763" xr:uid="{391034B8-40FE-460A-98C8-76F4C48A116E}"/>
    <cellStyle name="Normal 12 3 2 5 4" xfId="10545" xr:uid="{5517D022-E48C-4066-B5EA-182FD63A512D}"/>
    <cellStyle name="Normal 12 3 2 6" xfId="2453" xr:uid="{00000000-0005-0000-0000-00002F0E0000}"/>
    <cellStyle name="Normal 12 3 2 6 2" xfId="6737" xr:uid="{00000000-0005-0000-0000-0000300E0000}"/>
    <cellStyle name="Normal 12 3 2 6 2 2" xfId="15176" xr:uid="{9F6E4A58-6305-41A7-A6A7-30E8816A3FB1}"/>
    <cellStyle name="Normal 12 3 2 6 3" xfId="10958" xr:uid="{41E544C1-FC91-444C-97DD-5AB8E13A4E06}"/>
    <cellStyle name="Normal 12 3 2 7" xfId="4671" xr:uid="{00000000-0005-0000-0000-0000310E0000}"/>
    <cellStyle name="Normal 12 3 2 7 2" xfId="13110" xr:uid="{EF58A994-23BE-418E-8C48-9FE63F340CD3}"/>
    <cellStyle name="Normal 12 3 2 8" xfId="8892" xr:uid="{EA1E4081-5958-418F-A295-A87EF5CCD693}"/>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6932E0C5-4011-4F24-87ED-8F0787A0DE4E}"/>
    <cellStyle name="Normal 12 3 3 2 3" xfId="11450" xr:uid="{BB4274CB-03D6-40ED-A13A-706D664EF7D8}"/>
    <cellStyle name="Normal 12 3 3 3" xfId="5084" xr:uid="{00000000-0005-0000-0000-0000350E0000}"/>
    <cellStyle name="Normal 12 3 3 3 2" xfId="13523" xr:uid="{6DAEE34E-D02D-4F9A-9376-E60F389FA449}"/>
    <cellStyle name="Normal 12 3 3 4" xfId="9305" xr:uid="{C8D15FCE-2407-47CF-9956-5B7F2E8AA3A3}"/>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A4F882FA-656F-498A-9B16-458B001141D3}"/>
    <cellStyle name="Normal 12 3 4 2 3" xfId="11863" xr:uid="{CEB6EC23-BC7A-45DE-BEBC-906002416FCA}"/>
    <cellStyle name="Normal 12 3 4 3" xfId="5497" xr:uid="{00000000-0005-0000-0000-0000390E0000}"/>
    <cellStyle name="Normal 12 3 4 3 2" xfId="13936" xr:uid="{E1D55810-B956-4D58-A9A7-8B7021EF4D67}"/>
    <cellStyle name="Normal 12 3 4 4" xfId="9718" xr:uid="{6ADD2275-3FB7-4565-92B7-90992C8D9229}"/>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249F5D17-D3DF-4172-ACBC-D1D9E1924E75}"/>
    <cellStyle name="Normal 12 3 5 2 3" xfId="12276" xr:uid="{9065E3E5-9FB9-4C90-90B5-B24FDD548F8F}"/>
    <cellStyle name="Normal 12 3 5 3" xfId="5910" xr:uid="{00000000-0005-0000-0000-00003D0E0000}"/>
    <cellStyle name="Normal 12 3 5 3 2" xfId="14349" xr:uid="{5C94481D-669C-4626-9054-74FB5E482AF6}"/>
    <cellStyle name="Normal 12 3 5 4" xfId="10131" xr:uid="{943F2EDE-1953-481A-A15F-E3D9BB0447DD}"/>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3E45B99F-318F-48FC-B06A-7E85C039650A}"/>
    <cellStyle name="Normal 12 3 6 2 3" xfId="12689" xr:uid="{0BCCFB9B-BA7D-44DD-BCB1-AC9E2DF56808}"/>
    <cellStyle name="Normal 12 3 6 3" xfId="6323" xr:uid="{00000000-0005-0000-0000-0000410E0000}"/>
    <cellStyle name="Normal 12 3 6 3 2" xfId="14762" xr:uid="{E7733269-9885-4EE5-92AA-0350BD34DB22}"/>
    <cellStyle name="Normal 12 3 6 4" xfId="10544" xr:uid="{95B1510E-8174-4E36-BEDE-28A1911715CD}"/>
    <cellStyle name="Normal 12 3 7" xfId="2452" xr:uid="{00000000-0005-0000-0000-0000420E0000}"/>
    <cellStyle name="Normal 12 3 7 2" xfId="6736" xr:uid="{00000000-0005-0000-0000-0000430E0000}"/>
    <cellStyle name="Normal 12 3 7 2 2" xfId="15175" xr:uid="{3543F215-2476-479A-AB5A-839330E24655}"/>
    <cellStyle name="Normal 12 3 7 3" xfId="10957" xr:uid="{C92AEB6E-BD5E-47AF-97BD-F79E1DC7F8A6}"/>
    <cellStyle name="Normal 12 3 8" xfId="4670" xr:uid="{00000000-0005-0000-0000-0000440E0000}"/>
    <cellStyle name="Normal 12 3 8 2" xfId="13109" xr:uid="{A18D6372-9F0E-426B-97F1-11C81966340B}"/>
    <cellStyle name="Normal 12 3 9" xfId="8891" xr:uid="{3E3BD898-B43F-48A8-8B87-99AC5012969A}"/>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16A1D635-E152-4561-97E1-A9ABDFB01C3C}"/>
    <cellStyle name="Normal 12 4 2 2 3" xfId="11452" xr:uid="{E3CA7B5A-5CBB-4EF1-B222-5A70AE37AF14}"/>
    <cellStyle name="Normal 12 4 2 3" xfId="5086" xr:uid="{00000000-0005-0000-0000-0000490E0000}"/>
    <cellStyle name="Normal 12 4 2 3 2" xfId="13525" xr:uid="{FF0595F0-233D-4253-9730-3417A725DF0F}"/>
    <cellStyle name="Normal 12 4 2 4" xfId="9307" xr:uid="{007C2FC5-9B20-45FF-BD04-076A9EB891EB}"/>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31268429-7F42-4671-B8CE-DA4CB0746B8F}"/>
    <cellStyle name="Normal 12 4 3 2 3" xfId="11865" xr:uid="{7C9BC3C2-AE84-4520-AE2C-8809A1C1CBDE}"/>
    <cellStyle name="Normal 12 4 3 3" xfId="5499" xr:uid="{00000000-0005-0000-0000-00004D0E0000}"/>
    <cellStyle name="Normal 12 4 3 3 2" xfId="13938" xr:uid="{D021306C-59F4-4748-A5B3-3CCBFF00EDE3}"/>
    <cellStyle name="Normal 12 4 3 4" xfId="9720" xr:uid="{FBAAD45F-4641-4F69-965F-144C8977ACD9}"/>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943250BF-2CA0-40B9-9DB3-3D8325C98FD1}"/>
    <cellStyle name="Normal 12 4 4 2 3" xfId="12278" xr:uid="{7CA73CEC-D56F-4890-A749-CB1D010F0A59}"/>
    <cellStyle name="Normal 12 4 4 3" xfId="5912" xr:uid="{00000000-0005-0000-0000-0000510E0000}"/>
    <cellStyle name="Normal 12 4 4 3 2" xfId="14351" xr:uid="{6490D23E-EFA6-4E75-8214-0FD6F1B02775}"/>
    <cellStyle name="Normal 12 4 4 4" xfId="10133" xr:uid="{8A01060E-0FD2-4116-8C97-B7011DF90995}"/>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FD4A17FD-499A-402A-9EE6-4D64ACDA6C60}"/>
    <cellStyle name="Normal 12 4 5 2 3" xfId="12691" xr:uid="{167E4132-BDB4-4A93-8A61-F3D259129FBC}"/>
    <cellStyle name="Normal 12 4 5 3" xfId="6325" xr:uid="{00000000-0005-0000-0000-0000550E0000}"/>
    <cellStyle name="Normal 12 4 5 3 2" xfId="14764" xr:uid="{15F14940-EFC9-43C7-BED5-DC6CD8F494D6}"/>
    <cellStyle name="Normal 12 4 5 4" xfId="10546" xr:uid="{C9B33CFE-D8B7-4063-9D08-5A3B39697E9E}"/>
    <cellStyle name="Normal 12 4 6" xfId="2454" xr:uid="{00000000-0005-0000-0000-0000560E0000}"/>
    <cellStyle name="Normal 12 4 6 2" xfId="6738" xr:uid="{00000000-0005-0000-0000-0000570E0000}"/>
    <cellStyle name="Normal 12 4 6 2 2" xfId="15177" xr:uid="{4E9675C3-B9A0-490C-A7FD-18076BFA392B}"/>
    <cellStyle name="Normal 12 4 6 3" xfId="10959" xr:uid="{FA74C456-4193-4FF7-8706-1931164C5A14}"/>
    <cellStyle name="Normal 12 4 7" xfId="4672" xr:uid="{00000000-0005-0000-0000-0000580E0000}"/>
    <cellStyle name="Normal 12 4 7 2" xfId="13111" xr:uid="{0CFB4BA6-3FBF-4086-B096-4D3383CB1775}"/>
    <cellStyle name="Normal 12 4 8" xfId="8893" xr:uid="{EA8C9C09-8ADE-44A9-9058-9C7612EF9CD9}"/>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6DD07736-6667-4DD8-9EDE-0674436722D0}"/>
    <cellStyle name="Normal 12 6 2 3" xfId="11445" xr:uid="{48B8C010-275A-4FA5-BEB3-F829A6B194F2}"/>
    <cellStyle name="Normal 12 6 3" xfId="5079" xr:uid="{00000000-0005-0000-0000-00005D0E0000}"/>
    <cellStyle name="Normal 12 6 3 2" xfId="13518" xr:uid="{86EB60E2-966C-4D88-BF7C-9B8A6FD40A64}"/>
    <cellStyle name="Normal 12 6 4" xfId="9300" xr:uid="{AC829721-A018-4B13-95F9-69C2C2489764}"/>
    <cellStyle name="Normal 12 7" xfId="1183" xr:uid="{00000000-0005-0000-0000-00005E0E0000}"/>
    <cellStyle name="Normal 12 7 2" xfId="3414" xr:uid="{00000000-0005-0000-0000-00005F0E0000}"/>
    <cellStyle name="Normal 12 7 2 2" xfId="7637" xr:uid="{00000000-0005-0000-0000-0000600E0000}"/>
    <cellStyle name="Normal 12 7 2 2 2" xfId="16076" xr:uid="{C612F4EE-611A-4F1D-9DB4-5EA9623DB66F}"/>
    <cellStyle name="Normal 12 7 2 3" xfId="11858" xr:uid="{C65AE00E-7541-431B-8E2D-6D2621607D7A}"/>
    <cellStyle name="Normal 12 7 3" xfId="5492" xr:uid="{00000000-0005-0000-0000-0000610E0000}"/>
    <cellStyle name="Normal 12 7 3 2" xfId="13931" xr:uid="{C48146F5-2AA0-4B04-9F48-254C0B7C502C}"/>
    <cellStyle name="Normal 12 7 4" xfId="9713" xr:uid="{B8EF39D7-8CA7-42C9-A14D-14F4A7E2BF96}"/>
    <cellStyle name="Normal 12 8" xfId="1597" xr:uid="{00000000-0005-0000-0000-0000620E0000}"/>
    <cellStyle name="Normal 12 8 2" xfId="3827" xr:uid="{00000000-0005-0000-0000-0000630E0000}"/>
    <cellStyle name="Normal 12 8 2 2" xfId="8050" xr:uid="{00000000-0005-0000-0000-0000640E0000}"/>
    <cellStyle name="Normal 12 8 2 2 2" xfId="16489" xr:uid="{9BE9B9D5-C270-4AC5-A419-AB89BC8EF751}"/>
    <cellStyle name="Normal 12 8 2 3" xfId="12271" xr:uid="{6236D4B6-498A-4A12-A45C-D714C48C476C}"/>
    <cellStyle name="Normal 12 8 3" xfId="5905" xr:uid="{00000000-0005-0000-0000-0000650E0000}"/>
    <cellStyle name="Normal 12 8 3 2" xfId="14344" xr:uid="{5B9997E1-5A00-4708-988B-28792ACBEFAA}"/>
    <cellStyle name="Normal 12 8 4" xfId="10126" xr:uid="{9F7FD3C4-7E6C-4FD5-AEDD-4B4F7D4B6D45}"/>
    <cellStyle name="Normal 12 9" xfId="2011" xr:uid="{00000000-0005-0000-0000-0000660E0000}"/>
    <cellStyle name="Normal 12 9 2" xfId="4240" xr:uid="{00000000-0005-0000-0000-0000670E0000}"/>
    <cellStyle name="Normal 12 9 2 2" xfId="8463" xr:uid="{00000000-0005-0000-0000-0000680E0000}"/>
    <cellStyle name="Normal 12 9 2 2 2" xfId="16902" xr:uid="{F379A6CC-05F4-40AE-8405-6FA9A74E584E}"/>
    <cellStyle name="Normal 12 9 2 3" xfId="12684" xr:uid="{64520C36-002C-478F-8257-05C173148A7C}"/>
    <cellStyle name="Normal 12 9 3" xfId="6318" xr:uid="{00000000-0005-0000-0000-0000690E0000}"/>
    <cellStyle name="Normal 12 9 3 2" xfId="14757" xr:uid="{762979A5-6EDE-4820-8A61-8A3693D15C7E}"/>
    <cellStyle name="Normal 12 9 4" xfId="10539" xr:uid="{FED6D36D-3BD0-49DC-9454-806EFE5CD9E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4ACCD752-CFB2-4503-8202-20DB6206C83E}"/>
    <cellStyle name="Normal 14 2 2 3" xfId="11453" xr:uid="{37F0A2C7-BD50-4FE1-9304-B63586C10439}"/>
    <cellStyle name="Normal 14 2 3" xfId="5087" xr:uid="{00000000-0005-0000-0000-0000700E0000}"/>
    <cellStyle name="Normal 14 2 3 2" xfId="13526" xr:uid="{2D9566DD-536F-4E9B-81D4-10E4E6BA0691}"/>
    <cellStyle name="Normal 14 2 4" xfId="9308" xr:uid="{D7AEC65D-FFBC-49F6-8FA3-FECA9E59511E}"/>
    <cellStyle name="Normal 14 3" xfId="1191" xr:uid="{00000000-0005-0000-0000-0000710E0000}"/>
    <cellStyle name="Normal 14 3 2" xfId="3422" xr:uid="{00000000-0005-0000-0000-0000720E0000}"/>
    <cellStyle name="Normal 14 3 2 2" xfId="7645" xr:uid="{00000000-0005-0000-0000-0000730E0000}"/>
    <cellStyle name="Normal 14 3 2 2 2" xfId="16084" xr:uid="{50295E78-4ED1-4914-B9B3-9E9A5D8F4282}"/>
    <cellStyle name="Normal 14 3 2 3" xfId="11866" xr:uid="{9B27C6E8-C6CE-4944-8ACC-261FF9D7381F}"/>
    <cellStyle name="Normal 14 3 3" xfId="5500" xr:uid="{00000000-0005-0000-0000-0000740E0000}"/>
    <cellStyle name="Normal 14 3 3 2" xfId="13939" xr:uid="{1058DCFA-395A-4190-A18D-008D7D0D2F99}"/>
    <cellStyle name="Normal 14 3 4" xfId="9721" xr:uid="{C9CF8298-CA91-4C93-8383-52103A4A87E6}"/>
    <cellStyle name="Normal 14 4" xfId="1605" xr:uid="{00000000-0005-0000-0000-0000750E0000}"/>
    <cellStyle name="Normal 14 4 2" xfId="3835" xr:uid="{00000000-0005-0000-0000-0000760E0000}"/>
    <cellStyle name="Normal 14 4 2 2" xfId="8058" xr:uid="{00000000-0005-0000-0000-0000770E0000}"/>
    <cellStyle name="Normal 14 4 2 2 2" xfId="16497" xr:uid="{0BDCEA31-0D28-45E1-87D1-F0EACEC54771}"/>
    <cellStyle name="Normal 14 4 2 3" xfId="12279" xr:uid="{37E9E5B6-1563-40CE-952C-03B79FACB2C4}"/>
    <cellStyle name="Normal 14 4 3" xfId="5913" xr:uid="{00000000-0005-0000-0000-0000780E0000}"/>
    <cellStyle name="Normal 14 4 3 2" xfId="14352" xr:uid="{CE8C3305-52FB-4B9E-B9E9-686E80DD8C51}"/>
    <cellStyle name="Normal 14 4 4" xfId="10134" xr:uid="{0E86423B-953E-458B-8A18-96CB43592FD8}"/>
    <cellStyle name="Normal 14 5" xfId="2019" xr:uid="{00000000-0005-0000-0000-0000790E0000}"/>
    <cellStyle name="Normal 14 5 2" xfId="4248" xr:uid="{00000000-0005-0000-0000-00007A0E0000}"/>
    <cellStyle name="Normal 14 5 2 2" xfId="8471" xr:uid="{00000000-0005-0000-0000-00007B0E0000}"/>
    <cellStyle name="Normal 14 5 2 2 2" xfId="16910" xr:uid="{D71B57DE-EB95-462E-8CD9-7D58C5772677}"/>
    <cellStyle name="Normal 14 5 2 3" xfId="12692" xr:uid="{25D45AB3-E6C3-44BC-93A0-8003D907F735}"/>
    <cellStyle name="Normal 14 5 3" xfId="6326" xr:uid="{00000000-0005-0000-0000-00007C0E0000}"/>
    <cellStyle name="Normal 14 5 3 2" xfId="14765" xr:uid="{F666FBAE-8594-446F-BB4B-4ABC63BC7A23}"/>
    <cellStyle name="Normal 14 5 4" xfId="10547" xr:uid="{35125512-D4A3-4570-A6E4-94696D1264EB}"/>
    <cellStyle name="Normal 14 6" xfId="2455" xr:uid="{00000000-0005-0000-0000-00007D0E0000}"/>
    <cellStyle name="Normal 14 6 2" xfId="6739" xr:uid="{00000000-0005-0000-0000-00007E0E0000}"/>
    <cellStyle name="Normal 14 6 2 2" xfId="15178" xr:uid="{F04AE370-B9F9-45A9-9492-EA30178BC683}"/>
    <cellStyle name="Normal 14 6 3" xfId="10960" xr:uid="{DDB011C4-7A1F-451E-98D4-4A05EF0EF072}"/>
    <cellStyle name="Normal 14 7" xfId="4673" xr:uid="{00000000-0005-0000-0000-00007F0E0000}"/>
    <cellStyle name="Normal 14 7 2" xfId="13112" xr:uid="{558BB324-DCC8-4B90-AFD6-B66F921BCEE6}"/>
    <cellStyle name="Normal 14 8" xfId="8894" xr:uid="{012D6DA8-4C33-4AAE-BEBE-FB2C99207C5A}"/>
    <cellStyle name="Normal 15" xfId="4496" xr:uid="{00000000-0005-0000-0000-0000800E0000}"/>
    <cellStyle name="Normal 15 2" xfId="12938" xr:uid="{2B820B88-D36E-4CCD-A654-45107BCF9B22}"/>
    <cellStyle name="Normal 16" xfId="4500" xr:uid="{00000000-0005-0000-0000-0000810E0000}"/>
    <cellStyle name="Normal 16 2" xfId="8716" xr:uid="{00000000-0005-0000-0000-0000820E0000}"/>
    <cellStyle name="Normal 16 2 2" xfId="17155" xr:uid="{AA26704F-52E2-4971-BCCE-29767E9F5AB3}"/>
    <cellStyle name="Normal 16 3" xfId="8719" xr:uid="{3DE1BEEB-61FA-4094-B10F-9E0444F68763}"/>
    <cellStyle name="Normal 16 3 2" xfId="8723" xr:uid="{FE0BC069-4698-40B2-814D-8E09719245E9}"/>
    <cellStyle name="Normal 16 3 2 2" xfId="17161" xr:uid="{C48911A5-3602-498F-9D17-207B1B430931}"/>
    <cellStyle name="Normal 16 3 3" xfId="17158" xr:uid="{102E44ED-26B2-41C9-818F-7473EE2E6BA5}"/>
    <cellStyle name="Normal 16 4" xfId="12941" xr:uid="{E039DC05-A7E3-41A5-9837-19C870C4CA4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27069E30-F7F5-4062-A0D5-8F13E7A87583}"/>
    <cellStyle name="Normal 2 4 2 10 2 3" xfId="12693" xr:uid="{CA0F2900-B4E4-4214-AA7A-C51BCCED4F7C}"/>
    <cellStyle name="Normal 2 4 2 10 3" xfId="6327" xr:uid="{00000000-0005-0000-0000-0000910E0000}"/>
    <cellStyle name="Normal 2 4 2 10 3 2" xfId="14766" xr:uid="{47C94949-FEF2-491E-89B0-0838C7757CB7}"/>
    <cellStyle name="Normal 2 4 2 10 4" xfId="10548" xr:uid="{9196739C-F764-4E5C-915C-B31028ECBD37}"/>
    <cellStyle name="Normal 2 4 2 11" xfId="2456" xr:uid="{00000000-0005-0000-0000-0000920E0000}"/>
    <cellStyle name="Normal 2 4 2 11 2" xfId="6740" xr:uid="{00000000-0005-0000-0000-0000930E0000}"/>
    <cellStyle name="Normal 2 4 2 11 2 2" xfId="15179" xr:uid="{E10D7C6E-BD12-42C5-BE0D-56DBE60956B7}"/>
    <cellStyle name="Normal 2 4 2 11 3" xfId="10961" xr:uid="{9C0D8E0F-12E1-4CDC-843D-5CCBEA1EEC1E}"/>
    <cellStyle name="Normal 2 4 2 12" xfId="4674" xr:uid="{00000000-0005-0000-0000-0000940E0000}"/>
    <cellStyle name="Normal 2 4 2 12 2" xfId="13113" xr:uid="{319F7648-E0A4-45FE-B154-C68760A772DF}"/>
    <cellStyle name="Normal 2 4 2 13" xfId="8895" xr:uid="{B61DF7BD-57BD-4B2C-918F-B10AF1FF38FE}"/>
    <cellStyle name="Normal 2 4 2 2" xfId="280" xr:uid="{00000000-0005-0000-0000-0000950E0000}"/>
    <cellStyle name="Normal 2 4 2 3" xfId="281" xr:uid="{00000000-0005-0000-0000-0000960E0000}"/>
    <cellStyle name="Normal 2 4 2 3 10" xfId="4675" xr:uid="{00000000-0005-0000-0000-0000970E0000}"/>
    <cellStyle name="Normal 2 4 2 3 10 2" xfId="13114" xr:uid="{A4454AF6-7739-44D3-9EFC-117F9E5D2241}"/>
    <cellStyle name="Normal 2 4 2 3 11" xfId="8896" xr:uid="{36F6F68C-6D83-4DB4-879E-E44C125DAB6E}"/>
    <cellStyle name="Normal 2 4 2 3 2" xfId="282" xr:uid="{00000000-0005-0000-0000-0000980E0000}"/>
    <cellStyle name="Normal 2 4 2 3 2 10" xfId="8897" xr:uid="{E7BB422F-ACE6-4912-89F8-C256251ABC79}"/>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E72DA13C-E60E-4BEB-96B5-1AF3B42509C9}"/>
    <cellStyle name="Normal 2 4 2 3 2 2 2 2 2 3" xfId="11458" xr:uid="{6761E96C-FBC5-4CB2-BD2C-BFE3A7E3CB6C}"/>
    <cellStyle name="Normal 2 4 2 3 2 2 2 2 3" xfId="5092" xr:uid="{00000000-0005-0000-0000-00009E0E0000}"/>
    <cellStyle name="Normal 2 4 2 3 2 2 2 2 3 2" xfId="13531" xr:uid="{F552A498-8181-44B7-845C-B42292C42374}"/>
    <cellStyle name="Normal 2 4 2 3 2 2 2 2 4" xfId="9313" xr:uid="{2F1FC3E9-F8A9-49CB-B502-E0A8FA5362E1}"/>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5DDEBD71-A777-4490-98E6-0C1FBE5E7471}"/>
    <cellStyle name="Normal 2 4 2 3 2 2 2 3 2 3" xfId="11871" xr:uid="{D313488E-334D-4BD4-855C-4EF27D6DC214}"/>
    <cellStyle name="Normal 2 4 2 3 2 2 2 3 3" xfId="5505" xr:uid="{00000000-0005-0000-0000-0000A20E0000}"/>
    <cellStyle name="Normal 2 4 2 3 2 2 2 3 3 2" xfId="13944" xr:uid="{F58EC099-7D81-439D-9CE3-3301FB3CD121}"/>
    <cellStyle name="Normal 2 4 2 3 2 2 2 3 4" xfId="9726" xr:uid="{D4BE61DD-B1D5-4515-B029-A168732D5022}"/>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6A8AA6F2-29B9-43A7-9BA5-ED86F91822BE}"/>
    <cellStyle name="Normal 2 4 2 3 2 2 2 4 2 3" xfId="12284" xr:uid="{3402D276-BE8E-4700-A6BF-7B5D7DA6D4DD}"/>
    <cellStyle name="Normal 2 4 2 3 2 2 2 4 3" xfId="5918" xr:uid="{00000000-0005-0000-0000-0000A60E0000}"/>
    <cellStyle name="Normal 2 4 2 3 2 2 2 4 3 2" xfId="14357" xr:uid="{EDAB0B5C-2F82-4D2A-BBE2-F5E5669CAE55}"/>
    <cellStyle name="Normal 2 4 2 3 2 2 2 4 4" xfId="10139" xr:uid="{71CEA382-F5DF-4969-ADFB-3406C820BB22}"/>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45263B2F-EA3E-49C7-A5A9-0BA172BF68EA}"/>
    <cellStyle name="Normal 2 4 2 3 2 2 2 5 2 3" xfId="12697" xr:uid="{7EA1CC93-4792-40EC-8BC4-85101B73146F}"/>
    <cellStyle name="Normal 2 4 2 3 2 2 2 5 3" xfId="6331" xr:uid="{00000000-0005-0000-0000-0000AA0E0000}"/>
    <cellStyle name="Normal 2 4 2 3 2 2 2 5 3 2" xfId="14770" xr:uid="{0640656C-314B-448F-8A9B-E8E1E1FF1F9A}"/>
    <cellStyle name="Normal 2 4 2 3 2 2 2 5 4" xfId="10552" xr:uid="{835ECCF0-909D-43FA-9D54-FB3A42DEEA85}"/>
    <cellStyle name="Normal 2 4 2 3 2 2 2 6" xfId="2460" xr:uid="{00000000-0005-0000-0000-0000AB0E0000}"/>
    <cellStyle name="Normal 2 4 2 3 2 2 2 6 2" xfId="6744" xr:uid="{00000000-0005-0000-0000-0000AC0E0000}"/>
    <cellStyle name="Normal 2 4 2 3 2 2 2 6 2 2" xfId="15183" xr:uid="{DB528D2C-10F0-486E-940B-17FCB85EC964}"/>
    <cellStyle name="Normal 2 4 2 3 2 2 2 6 3" xfId="10965" xr:uid="{F92E58C5-9C81-4734-8B63-6A03E90DC022}"/>
    <cellStyle name="Normal 2 4 2 3 2 2 2 7" xfId="4678" xr:uid="{00000000-0005-0000-0000-0000AD0E0000}"/>
    <cellStyle name="Normal 2 4 2 3 2 2 2 7 2" xfId="13117" xr:uid="{E78D8125-6EDF-4E44-8254-8E548E6C66BA}"/>
    <cellStyle name="Normal 2 4 2 3 2 2 2 8" xfId="8899" xr:uid="{2A097CEC-8E97-4533-AFFD-925B2F91192C}"/>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F85D6B86-45A4-41DE-BD49-ECE0BE202EF8}"/>
    <cellStyle name="Normal 2 4 2 3 2 2 3 2 3" xfId="11457" xr:uid="{49BD8136-0840-49C2-8858-809E61636C1B}"/>
    <cellStyle name="Normal 2 4 2 3 2 2 3 3" xfId="5091" xr:uid="{00000000-0005-0000-0000-0000B10E0000}"/>
    <cellStyle name="Normal 2 4 2 3 2 2 3 3 2" xfId="13530" xr:uid="{88388972-DF79-4C98-B942-52AD8D36EBB1}"/>
    <cellStyle name="Normal 2 4 2 3 2 2 3 4" xfId="9312" xr:uid="{57A260F2-838F-447D-8B0A-00A356B11606}"/>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EA312589-9AA9-4A27-808D-0F931EDA3A1B}"/>
    <cellStyle name="Normal 2 4 2 3 2 2 4 2 3" xfId="11870" xr:uid="{4E0B9EDC-FA47-4D5A-9B5B-56FEC850B5F5}"/>
    <cellStyle name="Normal 2 4 2 3 2 2 4 3" xfId="5504" xr:uid="{00000000-0005-0000-0000-0000B50E0000}"/>
    <cellStyle name="Normal 2 4 2 3 2 2 4 3 2" xfId="13943" xr:uid="{F38474A0-9897-4FEF-8D09-47BC040E1167}"/>
    <cellStyle name="Normal 2 4 2 3 2 2 4 4" xfId="9725" xr:uid="{CF6B9F06-86AC-4F7A-AE27-9DC38AB72351}"/>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1BC1ECD0-9FAA-46A6-82A1-BCE5C95DE413}"/>
    <cellStyle name="Normal 2 4 2 3 2 2 5 2 3" xfId="12283" xr:uid="{587F03A3-5D03-4604-BCD7-2AE1AAC8E812}"/>
    <cellStyle name="Normal 2 4 2 3 2 2 5 3" xfId="5917" xr:uid="{00000000-0005-0000-0000-0000B90E0000}"/>
    <cellStyle name="Normal 2 4 2 3 2 2 5 3 2" xfId="14356" xr:uid="{AC923AD8-3A64-44F4-9C73-B8B18DA102F3}"/>
    <cellStyle name="Normal 2 4 2 3 2 2 5 4" xfId="10138" xr:uid="{8AC6AE83-0DF8-4AD7-BC9D-B357AD25278F}"/>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3D80259B-2D5F-422A-B308-FC3B9FE18CDA}"/>
    <cellStyle name="Normal 2 4 2 3 2 2 6 2 3" xfId="12696" xr:uid="{BBC19EB0-FC12-4BA7-BC54-83105A141477}"/>
    <cellStyle name="Normal 2 4 2 3 2 2 6 3" xfId="6330" xr:uid="{00000000-0005-0000-0000-0000BD0E0000}"/>
    <cellStyle name="Normal 2 4 2 3 2 2 6 3 2" xfId="14769" xr:uid="{FC8F8685-6EB7-419C-8736-E5DB3A2993CE}"/>
    <cellStyle name="Normal 2 4 2 3 2 2 6 4" xfId="10551" xr:uid="{8715E5B4-6515-436D-BE68-5B47F88A5F9C}"/>
    <cellStyle name="Normal 2 4 2 3 2 2 7" xfId="2459" xr:uid="{00000000-0005-0000-0000-0000BE0E0000}"/>
    <cellStyle name="Normal 2 4 2 3 2 2 7 2" xfId="6743" xr:uid="{00000000-0005-0000-0000-0000BF0E0000}"/>
    <cellStyle name="Normal 2 4 2 3 2 2 7 2 2" xfId="15182" xr:uid="{2A75D8E3-889F-4526-9C15-72198C7815AE}"/>
    <cellStyle name="Normal 2 4 2 3 2 2 7 3" xfId="10964" xr:uid="{8F4CE872-F0C7-4DF5-A517-9ADB74522C86}"/>
    <cellStyle name="Normal 2 4 2 3 2 2 8" xfId="4677" xr:uid="{00000000-0005-0000-0000-0000C00E0000}"/>
    <cellStyle name="Normal 2 4 2 3 2 2 8 2" xfId="13116" xr:uid="{A856D5C6-ECB9-4785-9CEB-B01596357626}"/>
    <cellStyle name="Normal 2 4 2 3 2 2 9" xfId="8898" xr:uid="{45CC1AF8-C057-49B1-8B81-55E329D193E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D9AA00CB-F6A7-4908-B5F5-FB5F2AFB8D1B}"/>
    <cellStyle name="Normal 2 4 2 3 2 3 2 2 3" xfId="11459" xr:uid="{9DC7D1F1-B6B7-4AC6-88B9-ECD84823178D}"/>
    <cellStyle name="Normal 2 4 2 3 2 3 2 3" xfId="5093" xr:uid="{00000000-0005-0000-0000-0000C50E0000}"/>
    <cellStyle name="Normal 2 4 2 3 2 3 2 3 2" xfId="13532" xr:uid="{ACBAB62C-3A73-49D2-80BB-525296423647}"/>
    <cellStyle name="Normal 2 4 2 3 2 3 2 4" xfId="9314" xr:uid="{09A8514C-D685-431A-9EA0-7868574C9E98}"/>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C1FCAE88-F752-4A80-B6C9-BF2B0C9F6482}"/>
    <cellStyle name="Normal 2 4 2 3 2 3 3 2 3" xfId="11872" xr:uid="{8FED2606-3FC8-462A-AC25-1E7E2D8874B0}"/>
    <cellStyle name="Normal 2 4 2 3 2 3 3 3" xfId="5506" xr:uid="{00000000-0005-0000-0000-0000C90E0000}"/>
    <cellStyle name="Normal 2 4 2 3 2 3 3 3 2" xfId="13945" xr:uid="{DF95033B-0038-4A9E-96A5-E860CBDF2740}"/>
    <cellStyle name="Normal 2 4 2 3 2 3 3 4" xfId="9727" xr:uid="{F56C98F0-61BF-4C22-9E54-A2868B25CBD5}"/>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2D92BAC4-2CC0-435F-B09F-9D2927109E04}"/>
    <cellStyle name="Normal 2 4 2 3 2 3 4 2 3" xfId="12285" xr:uid="{30351AA4-353E-4798-B0AE-EEEA07DA2A17}"/>
    <cellStyle name="Normal 2 4 2 3 2 3 4 3" xfId="5919" xr:uid="{00000000-0005-0000-0000-0000CD0E0000}"/>
    <cellStyle name="Normal 2 4 2 3 2 3 4 3 2" xfId="14358" xr:uid="{A7515858-203F-42E2-AAD8-51C3101E69E4}"/>
    <cellStyle name="Normal 2 4 2 3 2 3 4 4" xfId="10140" xr:uid="{757B8D75-D750-484D-AD7A-8D46E6781C64}"/>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868A6B62-5B18-41E5-AB0E-50DAD6A57691}"/>
    <cellStyle name="Normal 2 4 2 3 2 3 5 2 3" xfId="12698" xr:uid="{E071C7CE-0F8D-4843-9F07-D12FB89F17EA}"/>
    <cellStyle name="Normal 2 4 2 3 2 3 5 3" xfId="6332" xr:uid="{00000000-0005-0000-0000-0000D10E0000}"/>
    <cellStyle name="Normal 2 4 2 3 2 3 5 3 2" xfId="14771" xr:uid="{FAFCD339-F34C-41DD-BC68-297BF998BD02}"/>
    <cellStyle name="Normal 2 4 2 3 2 3 5 4" xfId="10553" xr:uid="{F29F35D4-CA58-4A9E-B033-1C5573BEC913}"/>
    <cellStyle name="Normal 2 4 2 3 2 3 6" xfId="2461" xr:uid="{00000000-0005-0000-0000-0000D20E0000}"/>
    <cellStyle name="Normal 2 4 2 3 2 3 6 2" xfId="6745" xr:uid="{00000000-0005-0000-0000-0000D30E0000}"/>
    <cellStyle name="Normal 2 4 2 3 2 3 6 2 2" xfId="15184" xr:uid="{8A6264FB-9C47-4299-B17D-B1382E03E78E}"/>
    <cellStyle name="Normal 2 4 2 3 2 3 6 3" xfId="10966" xr:uid="{0DF92A42-6397-4379-BB99-5D8C0C99823D}"/>
    <cellStyle name="Normal 2 4 2 3 2 3 7" xfId="4679" xr:uid="{00000000-0005-0000-0000-0000D40E0000}"/>
    <cellStyle name="Normal 2 4 2 3 2 3 7 2" xfId="13118" xr:uid="{7E2B10F7-9A7D-413C-B65D-E8212031ACD8}"/>
    <cellStyle name="Normal 2 4 2 3 2 3 8" xfId="8900" xr:uid="{692FC987-2188-4237-8B80-218C30622DA1}"/>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1398E809-B912-4337-AEB1-E0B6CDEE55B4}"/>
    <cellStyle name="Normal 2 4 2 3 2 4 2 3" xfId="11456" xr:uid="{E20F14A5-62B8-4734-9B04-171CDF29DDA8}"/>
    <cellStyle name="Normal 2 4 2 3 2 4 3" xfId="5090" xr:uid="{00000000-0005-0000-0000-0000D80E0000}"/>
    <cellStyle name="Normal 2 4 2 3 2 4 3 2" xfId="13529" xr:uid="{48E8ACA3-249E-431B-BDFF-210240145EDD}"/>
    <cellStyle name="Normal 2 4 2 3 2 4 4" xfId="9311" xr:uid="{043CA882-AEC1-4CE4-8C20-350E0E6D8BDE}"/>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7EE04B89-7674-4965-A290-5D1C3B0E198C}"/>
    <cellStyle name="Normal 2 4 2 3 2 5 2 3" xfId="11869" xr:uid="{02BCA6A4-AE10-45FD-85BA-9B458675BE37}"/>
    <cellStyle name="Normal 2 4 2 3 2 5 3" xfId="5503" xr:uid="{00000000-0005-0000-0000-0000DC0E0000}"/>
    <cellStyle name="Normal 2 4 2 3 2 5 3 2" xfId="13942" xr:uid="{50C193BA-E6B8-4B61-9EF9-8E55DD2C6ECE}"/>
    <cellStyle name="Normal 2 4 2 3 2 5 4" xfId="9724" xr:uid="{9E944CC1-9486-41B8-BBF8-BDB702775C75}"/>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C33D9B8E-603D-4BAA-8E05-74F053DFD8FE}"/>
    <cellStyle name="Normal 2 4 2 3 2 6 2 3" xfId="12282" xr:uid="{A73D82A2-E3FB-440C-8958-BA9FE1DF7C2F}"/>
    <cellStyle name="Normal 2 4 2 3 2 6 3" xfId="5916" xr:uid="{00000000-0005-0000-0000-0000E00E0000}"/>
    <cellStyle name="Normal 2 4 2 3 2 6 3 2" xfId="14355" xr:uid="{D03AB634-E447-4095-9B65-5693650B1C34}"/>
    <cellStyle name="Normal 2 4 2 3 2 6 4" xfId="10137" xr:uid="{DC964592-8D72-4328-9A22-062091B28975}"/>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480DA7C0-1DE3-4A3F-8B10-2BE3654E1602}"/>
    <cellStyle name="Normal 2 4 2 3 2 7 2 3" xfId="12695" xr:uid="{9CC66171-7E74-4843-95B8-15D2E47F4DCB}"/>
    <cellStyle name="Normal 2 4 2 3 2 7 3" xfId="6329" xr:uid="{00000000-0005-0000-0000-0000E40E0000}"/>
    <cellStyle name="Normal 2 4 2 3 2 7 3 2" xfId="14768" xr:uid="{48AF45D1-E464-4025-A14A-71785EEE9F7E}"/>
    <cellStyle name="Normal 2 4 2 3 2 7 4" xfId="10550" xr:uid="{62F064BC-18BE-4251-B920-EA0380F7EA8C}"/>
    <cellStyle name="Normal 2 4 2 3 2 8" xfId="2458" xr:uid="{00000000-0005-0000-0000-0000E50E0000}"/>
    <cellStyle name="Normal 2 4 2 3 2 8 2" xfId="6742" xr:uid="{00000000-0005-0000-0000-0000E60E0000}"/>
    <cellStyle name="Normal 2 4 2 3 2 8 2 2" xfId="15181" xr:uid="{456224A6-C465-4C99-BB52-5934810DA33D}"/>
    <cellStyle name="Normal 2 4 2 3 2 8 3" xfId="10963" xr:uid="{3C27AF50-ED24-4743-AFE9-054A24B0B506}"/>
    <cellStyle name="Normal 2 4 2 3 2 9" xfId="4676" xr:uid="{00000000-0005-0000-0000-0000E70E0000}"/>
    <cellStyle name="Normal 2 4 2 3 2 9 2" xfId="13115" xr:uid="{A9E2D9F5-8689-4967-929A-31C266C4A28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51D427BE-3AEE-4AD0-9B19-30F2645ACB40}"/>
    <cellStyle name="Normal 2 4 2 3 3 2 2 2 3" xfId="11461" xr:uid="{5E986534-00EC-4EB7-A7DC-8D4338BEF66D}"/>
    <cellStyle name="Normal 2 4 2 3 3 2 2 3" xfId="5095" xr:uid="{00000000-0005-0000-0000-0000ED0E0000}"/>
    <cellStyle name="Normal 2 4 2 3 3 2 2 3 2" xfId="13534" xr:uid="{1D5C8733-86C1-4841-9256-16C0B869BE03}"/>
    <cellStyle name="Normal 2 4 2 3 3 2 2 4" xfId="9316" xr:uid="{F861C631-513B-4516-81F5-154CD5B3D8A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2DA12029-18A8-4FCE-BCB5-6F6D9536E0C7}"/>
    <cellStyle name="Normal 2 4 2 3 3 2 3 2 3" xfId="11874" xr:uid="{F8B2F8C3-03E0-4037-8B2C-6323534C3BAC}"/>
    <cellStyle name="Normal 2 4 2 3 3 2 3 3" xfId="5508" xr:uid="{00000000-0005-0000-0000-0000F10E0000}"/>
    <cellStyle name="Normal 2 4 2 3 3 2 3 3 2" xfId="13947" xr:uid="{1F44E0EE-0906-4976-8512-F708953EE0EB}"/>
    <cellStyle name="Normal 2 4 2 3 3 2 3 4" xfId="9729" xr:uid="{29E32D4F-AE67-4546-BC4C-0DA86430805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BC3A5780-2038-4431-A720-7111C3389949}"/>
    <cellStyle name="Normal 2 4 2 3 3 2 4 2 3" xfId="12287" xr:uid="{30B70312-FEED-4F7C-8D16-03E0B010BFB9}"/>
    <cellStyle name="Normal 2 4 2 3 3 2 4 3" xfId="5921" xr:uid="{00000000-0005-0000-0000-0000F50E0000}"/>
    <cellStyle name="Normal 2 4 2 3 3 2 4 3 2" xfId="14360" xr:uid="{CBA8502B-745A-4464-BFE1-59BA1A71F4D8}"/>
    <cellStyle name="Normal 2 4 2 3 3 2 4 4" xfId="10142" xr:uid="{B28F404A-C59E-47B6-8F48-74310E33013A}"/>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71E4D6B3-06B7-49D4-B189-DCBA2199BBB8}"/>
    <cellStyle name="Normal 2 4 2 3 3 2 5 2 3" xfId="12700" xr:uid="{820B2F00-48E0-4928-9BB8-9B940A10F3EF}"/>
    <cellStyle name="Normal 2 4 2 3 3 2 5 3" xfId="6334" xr:uid="{00000000-0005-0000-0000-0000F90E0000}"/>
    <cellStyle name="Normal 2 4 2 3 3 2 5 3 2" xfId="14773" xr:uid="{CE226263-15FE-40B3-9856-6CD6B3A5D85D}"/>
    <cellStyle name="Normal 2 4 2 3 3 2 5 4" xfId="10555" xr:uid="{B528B3B0-4E1E-411B-A2F0-1B56AEC3DA3F}"/>
    <cellStyle name="Normal 2 4 2 3 3 2 6" xfId="2463" xr:uid="{00000000-0005-0000-0000-0000FA0E0000}"/>
    <cellStyle name="Normal 2 4 2 3 3 2 6 2" xfId="6747" xr:uid="{00000000-0005-0000-0000-0000FB0E0000}"/>
    <cellStyle name="Normal 2 4 2 3 3 2 6 2 2" xfId="15186" xr:uid="{615CA391-05E3-4FDE-A454-051234F6AADC}"/>
    <cellStyle name="Normal 2 4 2 3 3 2 6 3" xfId="10968" xr:uid="{4AF9034B-7858-4CD0-A6B1-9B749D77C866}"/>
    <cellStyle name="Normal 2 4 2 3 3 2 7" xfId="4681" xr:uid="{00000000-0005-0000-0000-0000FC0E0000}"/>
    <cellStyle name="Normal 2 4 2 3 3 2 7 2" xfId="13120" xr:uid="{8ADE6F65-DBFA-4A25-A4DC-6E5D798E24DE}"/>
    <cellStyle name="Normal 2 4 2 3 3 2 8" xfId="8902" xr:uid="{D16620A5-E81F-4F80-8AB5-F9DC1FD1914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FA419D76-A4FD-478F-94B5-DECF6F827305}"/>
    <cellStyle name="Normal 2 4 2 3 3 3 2 3" xfId="11460" xr:uid="{AF6C6207-A952-4222-B5E4-F1660D4A4B1D}"/>
    <cellStyle name="Normal 2 4 2 3 3 3 3" xfId="5094" xr:uid="{00000000-0005-0000-0000-0000000F0000}"/>
    <cellStyle name="Normal 2 4 2 3 3 3 3 2" xfId="13533" xr:uid="{A720E417-EE50-4BF5-9091-20D60044C3FB}"/>
    <cellStyle name="Normal 2 4 2 3 3 3 4" xfId="9315" xr:uid="{074A9A2F-B43C-4A46-963C-BC5B67D5C9D6}"/>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D6B56FEC-81EC-4AE0-83F3-1935EF9EEC54}"/>
    <cellStyle name="Normal 2 4 2 3 3 4 2 3" xfId="11873" xr:uid="{06F0E5A0-3EFC-4FB2-891B-FF9C31BF9D9A}"/>
    <cellStyle name="Normal 2 4 2 3 3 4 3" xfId="5507" xr:uid="{00000000-0005-0000-0000-0000040F0000}"/>
    <cellStyle name="Normal 2 4 2 3 3 4 3 2" xfId="13946" xr:uid="{F94EFA88-12FA-4CD7-BAEC-F6B5E00B239B}"/>
    <cellStyle name="Normal 2 4 2 3 3 4 4" xfId="9728" xr:uid="{C20327A7-4C75-426D-9471-95CBA412053C}"/>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2A245F1E-436C-4456-836D-ABBD2985A944}"/>
    <cellStyle name="Normal 2 4 2 3 3 5 2 3" xfId="12286" xr:uid="{79E5B517-BD93-4257-94D0-581DB799552B}"/>
    <cellStyle name="Normal 2 4 2 3 3 5 3" xfId="5920" xr:uid="{00000000-0005-0000-0000-0000080F0000}"/>
    <cellStyle name="Normal 2 4 2 3 3 5 3 2" xfId="14359" xr:uid="{445DFC79-8EA4-4ACC-87F8-8788E92E967F}"/>
    <cellStyle name="Normal 2 4 2 3 3 5 4" xfId="10141" xr:uid="{923C469F-8B61-4531-B47E-6B45B4F90BA1}"/>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15AD1862-8D4B-40AD-80B0-4ECD70D419D6}"/>
    <cellStyle name="Normal 2 4 2 3 3 6 2 3" xfId="12699" xr:uid="{90FB38ED-4828-4B35-BF35-E729735C52DE}"/>
    <cellStyle name="Normal 2 4 2 3 3 6 3" xfId="6333" xr:uid="{00000000-0005-0000-0000-00000C0F0000}"/>
    <cellStyle name="Normal 2 4 2 3 3 6 3 2" xfId="14772" xr:uid="{A7969FAB-3DAE-4C78-8423-8FE7FC6C8C80}"/>
    <cellStyle name="Normal 2 4 2 3 3 6 4" xfId="10554" xr:uid="{F1910F31-5236-4F55-A822-DC7DAA48FAD3}"/>
    <cellStyle name="Normal 2 4 2 3 3 7" xfId="2462" xr:uid="{00000000-0005-0000-0000-00000D0F0000}"/>
    <cellStyle name="Normal 2 4 2 3 3 7 2" xfId="6746" xr:uid="{00000000-0005-0000-0000-00000E0F0000}"/>
    <cellStyle name="Normal 2 4 2 3 3 7 2 2" xfId="15185" xr:uid="{BA1FF247-187F-4067-94B2-48050E3A1B79}"/>
    <cellStyle name="Normal 2 4 2 3 3 7 3" xfId="10967" xr:uid="{ACC5C67A-83B7-499B-8EDA-3FE8B40187CB}"/>
    <cellStyle name="Normal 2 4 2 3 3 8" xfId="4680" xr:uid="{00000000-0005-0000-0000-00000F0F0000}"/>
    <cellStyle name="Normal 2 4 2 3 3 8 2" xfId="13119" xr:uid="{F0207601-C11A-4F57-9200-8E9EE975A785}"/>
    <cellStyle name="Normal 2 4 2 3 3 9" xfId="8901" xr:uid="{247043F5-9CA9-4FBA-B5C3-DB6F6A24572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0E096797-9561-4D1B-86F6-335919C560A3}"/>
    <cellStyle name="Normal 2 4 2 3 4 2 2 3" xfId="11462" xr:uid="{458AC63B-9593-4300-A0D7-511B38AFB865}"/>
    <cellStyle name="Normal 2 4 2 3 4 2 3" xfId="5096" xr:uid="{00000000-0005-0000-0000-0000140F0000}"/>
    <cellStyle name="Normal 2 4 2 3 4 2 3 2" xfId="13535" xr:uid="{E9717FD7-B947-451A-A8AC-A420493C6A90}"/>
    <cellStyle name="Normal 2 4 2 3 4 2 4" xfId="9317" xr:uid="{A22400E0-7A63-4933-BD84-0BE5030392A6}"/>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24AB6AE5-072B-429F-BD72-EC272541DFCA}"/>
    <cellStyle name="Normal 2 4 2 3 4 3 2 3" xfId="11875" xr:uid="{489394CF-068A-481B-92F7-1D59F4407197}"/>
    <cellStyle name="Normal 2 4 2 3 4 3 3" xfId="5509" xr:uid="{00000000-0005-0000-0000-0000180F0000}"/>
    <cellStyle name="Normal 2 4 2 3 4 3 3 2" xfId="13948" xr:uid="{DD963289-37AE-4DC8-BFBD-46764CE2C660}"/>
    <cellStyle name="Normal 2 4 2 3 4 3 4" xfId="9730" xr:uid="{8E762326-129B-4598-BB40-3D9BE40FD45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2555CEC5-B7A4-4F12-BE85-082465821FFA}"/>
    <cellStyle name="Normal 2 4 2 3 4 4 2 3" xfId="12288" xr:uid="{A0BABCF5-439F-41F9-ACF3-FC6DECAD18BD}"/>
    <cellStyle name="Normal 2 4 2 3 4 4 3" xfId="5922" xr:uid="{00000000-0005-0000-0000-00001C0F0000}"/>
    <cellStyle name="Normal 2 4 2 3 4 4 3 2" xfId="14361" xr:uid="{E539DCBE-AB6B-4CA6-964D-49F26CE54230}"/>
    <cellStyle name="Normal 2 4 2 3 4 4 4" xfId="10143" xr:uid="{06F44A84-B691-4CB3-AE46-81EEF884867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7A553540-0C7E-43B0-B04E-57402B5CFD83}"/>
    <cellStyle name="Normal 2 4 2 3 4 5 2 3" xfId="12701" xr:uid="{BDCE888F-C511-4C7F-A3BC-0102C5F88B95}"/>
    <cellStyle name="Normal 2 4 2 3 4 5 3" xfId="6335" xr:uid="{00000000-0005-0000-0000-0000200F0000}"/>
    <cellStyle name="Normal 2 4 2 3 4 5 3 2" xfId="14774" xr:uid="{8583C0AA-007D-4576-BD7E-38F39EE9D4CB}"/>
    <cellStyle name="Normal 2 4 2 3 4 5 4" xfId="10556" xr:uid="{7BF03C80-3F07-4800-8599-3BC7E3A75E27}"/>
    <cellStyle name="Normal 2 4 2 3 4 6" xfId="2464" xr:uid="{00000000-0005-0000-0000-0000210F0000}"/>
    <cellStyle name="Normal 2 4 2 3 4 6 2" xfId="6748" xr:uid="{00000000-0005-0000-0000-0000220F0000}"/>
    <cellStyle name="Normal 2 4 2 3 4 6 2 2" xfId="15187" xr:uid="{D31F321A-EFDE-41E6-B68F-D9DE0815E029}"/>
    <cellStyle name="Normal 2 4 2 3 4 6 3" xfId="10969" xr:uid="{26DCF57E-28D6-4DFC-8559-E2DA4301ECB1}"/>
    <cellStyle name="Normal 2 4 2 3 4 7" xfId="4682" xr:uid="{00000000-0005-0000-0000-0000230F0000}"/>
    <cellStyle name="Normal 2 4 2 3 4 7 2" xfId="13121" xr:uid="{9EFD9B94-DC1E-4054-9AD5-72F068325396}"/>
    <cellStyle name="Normal 2 4 2 3 4 8" xfId="8903" xr:uid="{C50E28B4-95CB-4577-900F-858D2E33FAF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427BEE9F-B7B5-4343-A1EE-BF8AA4DCB9DA}"/>
    <cellStyle name="Normal 2 4 2 3 5 2 3" xfId="11455" xr:uid="{C43A939B-35F6-4D8F-9A2C-22C8B88097DB}"/>
    <cellStyle name="Normal 2 4 2 3 5 3" xfId="5089" xr:uid="{00000000-0005-0000-0000-0000270F0000}"/>
    <cellStyle name="Normal 2 4 2 3 5 3 2" xfId="13528" xr:uid="{D70A96E5-0002-4F7D-B3A2-3F0BE1F67031}"/>
    <cellStyle name="Normal 2 4 2 3 5 4" xfId="9310" xr:uid="{542E2CFA-7876-4F9D-AF05-47470D35BB25}"/>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4966D956-1CD8-4EC9-B9B0-BFA85C2BBB97}"/>
    <cellStyle name="Normal 2 4 2 3 6 2 3" xfId="11868" xr:uid="{6379ADC2-3B69-4472-90CE-E8A9382F349B}"/>
    <cellStyle name="Normal 2 4 2 3 6 3" xfId="5502" xr:uid="{00000000-0005-0000-0000-00002B0F0000}"/>
    <cellStyle name="Normal 2 4 2 3 6 3 2" xfId="13941" xr:uid="{EE51697A-F53F-4D35-9851-70EC3D5D26CA}"/>
    <cellStyle name="Normal 2 4 2 3 6 4" xfId="9723" xr:uid="{E5227390-F40E-45B3-A72E-D778B794C7C6}"/>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C985B3DD-80C3-4408-9061-6717FDF92551}"/>
    <cellStyle name="Normal 2 4 2 3 7 2 3" xfId="12281" xr:uid="{2C556088-156F-4A6D-BAD9-B9D51D0A01CF}"/>
    <cellStyle name="Normal 2 4 2 3 7 3" xfId="5915" xr:uid="{00000000-0005-0000-0000-00002F0F0000}"/>
    <cellStyle name="Normal 2 4 2 3 7 3 2" xfId="14354" xr:uid="{2DA68E2D-620D-40FD-89A9-FA4D85968686}"/>
    <cellStyle name="Normal 2 4 2 3 7 4" xfId="10136" xr:uid="{E53B98FB-229E-4C7D-84CF-65BC70573D38}"/>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170D4D46-F5BD-4F3A-9354-F67C49B44099}"/>
    <cellStyle name="Normal 2 4 2 3 8 2 3" xfId="12694" xr:uid="{DF7F36E6-8E37-4BEC-9792-42586E628199}"/>
    <cellStyle name="Normal 2 4 2 3 8 3" xfId="6328" xr:uid="{00000000-0005-0000-0000-0000330F0000}"/>
    <cellStyle name="Normal 2 4 2 3 8 3 2" xfId="14767" xr:uid="{BDCF6EEA-CC27-4D0A-8BD8-3E7F51A3D8B6}"/>
    <cellStyle name="Normal 2 4 2 3 8 4" xfId="10549" xr:uid="{B0603B00-D6AA-4499-9194-9D56546EE243}"/>
    <cellStyle name="Normal 2 4 2 3 9" xfId="2457" xr:uid="{00000000-0005-0000-0000-0000340F0000}"/>
    <cellStyle name="Normal 2 4 2 3 9 2" xfId="6741" xr:uid="{00000000-0005-0000-0000-0000350F0000}"/>
    <cellStyle name="Normal 2 4 2 3 9 2 2" xfId="15180" xr:uid="{40CCFB07-3CFA-43FB-99B3-792F6A550FC9}"/>
    <cellStyle name="Normal 2 4 2 3 9 3" xfId="10962" xr:uid="{A4FFE38F-4564-406B-AEAD-9D1727AFCC9D}"/>
    <cellStyle name="Normal 2 4 2 4" xfId="289" xr:uid="{00000000-0005-0000-0000-0000360F0000}"/>
    <cellStyle name="Normal 2 4 2 4 10" xfId="8904" xr:uid="{F78C957D-4225-468B-9FC5-237AE1FC0D4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2A3E3AB6-1207-4DF1-B1FA-8032C42984BE}"/>
    <cellStyle name="Normal 2 4 2 4 2 2 2 2 3" xfId="11465" xr:uid="{D3BDAF7C-635D-43B3-9443-633DEC58CAF5}"/>
    <cellStyle name="Normal 2 4 2 4 2 2 2 3" xfId="5099" xr:uid="{00000000-0005-0000-0000-00003C0F0000}"/>
    <cellStyle name="Normal 2 4 2 4 2 2 2 3 2" xfId="13538" xr:uid="{C70D2FD8-352E-46B7-A211-06CE82F86E1D}"/>
    <cellStyle name="Normal 2 4 2 4 2 2 2 4" xfId="9320" xr:uid="{3EB067BF-743D-4C7A-B6EF-10939E2114B1}"/>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405D004E-ECEA-4E31-86E7-165CE57EE63A}"/>
    <cellStyle name="Normal 2 4 2 4 2 2 3 2 3" xfId="11878" xr:uid="{5DEDFA9B-0417-482B-9E6A-15A18F73E04B}"/>
    <cellStyle name="Normal 2 4 2 4 2 2 3 3" xfId="5512" xr:uid="{00000000-0005-0000-0000-0000400F0000}"/>
    <cellStyle name="Normal 2 4 2 4 2 2 3 3 2" xfId="13951" xr:uid="{50186657-0AD4-4C12-B191-B8AE041243E9}"/>
    <cellStyle name="Normal 2 4 2 4 2 2 3 4" xfId="9733" xr:uid="{0DFADA78-376C-4C43-B249-4DE225B3582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55D8A11F-C4E0-4215-A28C-D5F99D0E8A69}"/>
    <cellStyle name="Normal 2 4 2 4 2 2 4 2 3" xfId="12291" xr:uid="{8695723E-D605-4BC5-8F26-90F86E8582B7}"/>
    <cellStyle name="Normal 2 4 2 4 2 2 4 3" xfId="5925" xr:uid="{00000000-0005-0000-0000-0000440F0000}"/>
    <cellStyle name="Normal 2 4 2 4 2 2 4 3 2" xfId="14364" xr:uid="{6A318C03-7E2F-46CA-9D8C-8A31410FDF55}"/>
    <cellStyle name="Normal 2 4 2 4 2 2 4 4" xfId="10146" xr:uid="{DCA78D85-D72E-48C4-9C19-5CE022ABFA86}"/>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5EA04F5E-816B-42C4-A854-F91E86BCE07E}"/>
    <cellStyle name="Normal 2 4 2 4 2 2 5 2 3" xfId="12704" xr:uid="{80529F85-BA1D-4402-9092-4CAB82852975}"/>
    <cellStyle name="Normal 2 4 2 4 2 2 5 3" xfId="6338" xr:uid="{00000000-0005-0000-0000-0000480F0000}"/>
    <cellStyle name="Normal 2 4 2 4 2 2 5 3 2" xfId="14777" xr:uid="{5D79BCBB-F21D-4554-B096-219877093A45}"/>
    <cellStyle name="Normal 2 4 2 4 2 2 5 4" xfId="10559" xr:uid="{2C2AB219-194B-45BF-BD3F-104B7FA46768}"/>
    <cellStyle name="Normal 2 4 2 4 2 2 6" xfId="2467" xr:uid="{00000000-0005-0000-0000-0000490F0000}"/>
    <cellStyle name="Normal 2 4 2 4 2 2 6 2" xfId="6751" xr:uid="{00000000-0005-0000-0000-00004A0F0000}"/>
    <cellStyle name="Normal 2 4 2 4 2 2 6 2 2" xfId="15190" xr:uid="{DE3AC56F-C025-484E-BB6E-6AE7A2F1E768}"/>
    <cellStyle name="Normal 2 4 2 4 2 2 6 3" xfId="10972" xr:uid="{11E7C86A-259A-478F-9CAF-83E2D6D61A3C}"/>
    <cellStyle name="Normal 2 4 2 4 2 2 7" xfId="4685" xr:uid="{00000000-0005-0000-0000-00004B0F0000}"/>
    <cellStyle name="Normal 2 4 2 4 2 2 7 2" xfId="13124" xr:uid="{BAA92D28-00EB-4AED-8557-DC8D1809501B}"/>
    <cellStyle name="Normal 2 4 2 4 2 2 8" xfId="8906" xr:uid="{4800CB48-38D9-4586-A008-F48D1E915FF6}"/>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6E821253-064F-427F-832E-A1430F687445}"/>
    <cellStyle name="Normal 2 4 2 4 2 3 2 3" xfId="11464" xr:uid="{560CDF04-12E6-4EC6-884D-065826146F5B}"/>
    <cellStyle name="Normal 2 4 2 4 2 3 3" xfId="5098" xr:uid="{00000000-0005-0000-0000-00004F0F0000}"/>
    <cellStyle name="Normal 2 4 2 4 2 3 3 2" xfId="13537" xr:uid="{729E4EC7-B727-4D24-B9F3-72EB86CA3696}"/>
    <cellStyle name="Normal 2 4 2 4 2 3 4" xfId="9319" xr:uid="{4BD6256F-06AA-441D-9C61-666B50EADC6D}"/>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25B4B568-BAF5-4D76-869C-F4FDBD1F69D1}"/>
    <cellStyle name="Normal 2 4 2 4 2 4 2 3" xfId="11877" xr:uid="{AFE4905A-506E-4334-846E-BD24CB9AD965}"/>
    <cellStyle name="Normal 2 4 2 4 2 4 3" xfId="5511" xr:uid="{00000000-0005-0000-0000-0000530F0000}"/>
    <cellStyle name="Normal 2 4 2 4 2 4 3 2" xfId="13950" xr:uid="{C1721BEA-22A6-4B09-ADFE-E2CE945B29CB}"/>
    <cellStyle name="Normal 2 4 2 4 2 4 4" xfId="9732" xr:uid="{C2185C37-D306-46CD-B966-D2A883B80E7E}"/>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CA856804-9873-4E36-9939-0F7944A3750E}"/>
    <cellStyle name="Normal 2 4 2 4 2 5 2 3" xfId="12290" xr:uid="{D8C667ED-3398-4927-B4A0-AE90DB63716D}"/>
    <cellStyle name="Normal 2 4 2 4 2 5 3" xfId="5924" xr:uid="{00000000-0005-0000-0000-0000570F0000}"/>
    <cellStyle name="Normal 2 4 2 4 2 5 3 2" xfId="14363" xr:uid="{A53B1E1B-EC01-4099-9081-BFF020D7AA78}"/>
    <cellStyle name="Normal 2 4 2 4 2 5 4" xfId="10145" xr:uid="{414A1B7F-13C3-4406-ADE3-135ABACF93CE}"/>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39E18FB1-9418-4E93-A348-1F1F56EE176A}"/>
    <cellStyle name="Normal 2 4 2 4 2 6 2 3" xfId="12703" xr:uid="{192146B1-89BD-4FD1-8B59-AE0177E08B10}"/>
    <cellStyle name="Normal 2 4 2 4 2 6 3" xfId="6337" xr:uid="{00000000-0005-0000-0000-00005B0F0000}"/>
    <cellStyle name="Normal 2 4 2 4 2 6 3 2" xfId="14776" xr:uid="{47C80DFD-F86B-48B1-9E0B-26BF50A47A6A}"/>
    <cellStyle name="Normal 2 4 2 4 2 6 4" xfId="10558" xr:uid="{8AA952C0-3F07-4ED2-9441-C9D610980559}"/>
    <cellStyle name="Normal 2 4 2 4 2 7" xfId="2466" xr:uid="{00000000-0005-0000-0000-00005C0F0000}"/>
    <cellStyle name="Normal 2 4 2 4 2 7 2" xfId="6750" xr:uid="{00000000-0005-0000-0000-00005D0F0000}"/>
    <cellStyle name="Normal 2 4 2 4 2 7 2 2" xfId="15189" xr:uid="{FE442584-B376-4BCE-8B77-E97D2C84D636}"/>
    <cellStyle name="Normal 2 4 2 4 2 7 3" xfId="10971" xr:uid="{308138AE-47F0-4B14-9FAB-8C2E88BD85A5}"/>
    <cellStyle name="Normal 2 4 2 4 2 8" xfId="4684" xr:uid="{00000000-0005-0000-0000-00005E0F0000}"/>
    <cellStyle name="Normal 2 4 2 4 2 8 2" xfId="13123" xr:uid="{F57D9B6B-BCF3-48D1-BE49-03189C596019}"/>
    <cellStyle name="Normal 2 4 2 4 2 9" xfId="8905" xr:uid="{B72DF3BE-ED43-4136-B6BA-33E5B660A35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88BEA3A6-9413-4353-9BF2-9F6139613A30}"/>
    <cellStyle name="Normal 2 4 2 4 3 2 2 3" xfId="11466" xr:uid="{4050E6A8-9C53-41A6-986E-9CBE899E54BE}"/>
    <cellStyle name="Normal 2 4 2 4 3 2 3" xfId="5100" xr:uid="{00000000-0005-0000-0000-0000630F0000}"/>
    <cellStyle name="Normal 2 4 2 4 3 2 3 2" xfId="13539" xr:uid="{372B0F41-1589-44AB-88E2-8451EAE3D956}"/>
    <cellStyle name="Normal 2 4 2 4 3 2 4" xfId="9321" xr:uid="{19E1ED53-4AF7-4779-97A5-E2A6113A57C2}"/>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BFA57156-6175-4432-B80A-9EE128083306}"/>
    <cellStyle name="Normal 2 4 2 4 3 3 2 3" xfId="11879" xr:uid="{F3F3A266-5A6A-4CB5-9422-AA229E3E6483}"/>
    <cellStyle name="Normal 2 4 2 4 3 3 3" xfId="5513" xr:uid="{00000000-0005-0000-0000-0000670F0000}"/>
    <cellStyle name="Normal 2 4 2 4 3 3 3 2" xfId="13952" xr:uid="{FBE146DE-E0AC-4CDC-A909-2B2F28A64A8C}"/>
    <cellStyle name="Normal 2 4 2 4 3 3 4" xfId="9734" xr:uid="{6CAC20DF-58CE-4113-BA9D-83980A759396}"/>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C206F2FD-C83C-4258-B9B9-A06937C7C121}"/>
    <cellStyle name="Normal 2 4 2 4 3 4 2 3" xfId="12292" xr:uid="{B05715D2-AFD1-42D3-9D58-04C004887D78}"/>
    <cellStyle name="Normal 2 4 2 4 3 4 3" xfId="5926" xr:uid="{00000000-0005-0000-0000-00006B0F0000}"/>
    <cellStyle name="Normal 2 4 2 4 3 4 3 2" xfId="14365" xr:uid="{F8E1A64D-FB18-4D8E-9A43-9866FD654592}"/>
    <cellStyle name="Normal 2 4 2 4 3 4 4" xfId="10147" xr:uid="{FF37D0D8-C81D-498D-8D89-DC65293E49A4}"/>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BAA10485-7603-4F81-AFA9-0A20534CC876}"/>
    <cellStyle name="Normal 2 4 2 4 3 5 2 3" xfId="12705" xr:uid="{8E7DC7BA-243A-4CC6-8E7F-51AA64D07798}"/>
    <cellStyle name="Normal 2 4 2 4 3 5 3" xfId="6339" xr:uid="{00000000-0005-0000-0000-00006F0F0000}"/>
    <cellStyle name="Normal 2 4 2 4 3 5 3 2" xfId="14778" xr:uid="{45186049-F761-47E6-878C-B67A1746A9B3}"/>
    <cellStyle name="Normal 2 4 2 4 3 5 4" xfId="10560" xr:uid="{41187977-5D71-49EC-AB3B-BFA41C711627}"/>
    <cellStyle name="Normal 2 4 2 4 3 6" xfId="2468" xr:uid="{00000000-0005-0000-0000-0000700F0000}"/>
    <cellStyle name="Normal 2 4 2 4 3 6 2" xfId="6752" xr:uid="{00000000-0005-0000-0000-0000710F0000}"/>
    <cellStyle name="Normal 2 4 2 4 3 6 2 2" xfId="15191" xr:uid="{B08BABB1-0592-46E5-AA18-32DEC4588353}"/>
    <cellStyle name="Normal 2 4 2 4 3 6 3" xfId="10973" xr:uid="{1F402C22-60D9-49B0-83BC-76BBCB2BDCDE}"/>
    <cellStyle name="Normal 2 4 2 4 3 7" xfId="4686" xr:uid="{00000000-0005-0000-0000-0000720F0000}"/>
    <cellStyle name="Normal 2 4 2 4 3 7 2" xfId="13125" xr:uid="{656A0732-ADE3-4322-B2AA-25845A5F64A7}"/>
    <cellStyle name="Normal 2 4 2 4 3 8" xfId="8907" xr:uid="{76A575D8-ED78-4F6D-A511-0EC61469628F}"/>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EAD1E3B9-05AC-41F7-BE7F-CFC7325AC0E5}"/>
    <cellStyle name="Normal 2 4 2 4 4 2 3" xfId="11463" xr:uid="{43CB3FF3-CEB1-464A-8316-A39C152950C9}"/>
    <cellStyle name="Normal 2 4 2 4 4 3" xfId="5097" xr:uid="{00000000-0005-0000-0000-0000760F0000}"/>
    <cellStyle name="Normal 2 4 2 4 4 3 2" xfId="13536" xr:uid="{4D2AFF69-5F98-4186-A128-F0FF52D49865}"/>
    <cellStyle name="Normal 2 4 2 4 4 4" xfId="9318" xr:uid="{188D8B59-2FD8-4725-B992-AAA004341018}"/>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8F869B5D-412B-45AA-9636-0DC0A28DA796}"/>
    <cellStyle name="Normal 2 4 2 4 5 2 3" xfId="11876" xr:uid="{25B16798-496A-46E3-9A23-95FF8E0F6374}"/>
    <cellStyle name="Normal 2 4 2 4 5 3" xfId="5510" xr:uid="{00000000-0005-0000-0000-00007A0F0000}"/>
    <cellStyle name="Normal 2 4 2 4 5 3 2" xfId="13949" xr:uid="{7C33CDD6-211A-4F17-B8A9-B6FFA3E21E19}"/>
    <cellStyle name="Normal 2 4 2 4 5 4" xfId="9731" xr:uid="{291262C4-4F91-4C71-9913-EB7A6A34A986}"/>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1C226F40-1456-4018-A18F-92956450CFC0}"/>
    <cellStyle name="Normal 2 4 2 4 6 2 3" xfId="12289" xr:uid="{20A9EF81-5721-4EB2-85A0-E61D551F449B}"/>
    <cellStyle name="Normal 2 4 2 4 6 3" xfId="5923" xr:uid="{00000000-0005-0000-0000-00007E0F0000}"/>
    <cellStyle name="Normal 2 4 2 4 6 3 2" xfId="14362" xr:uid="{106A4F07-A4F2-4912-9808-B7449AEEB0BD}"/>
    <cellStyle name="Normal 2 4 2 4 6 4" xfId="10144" xr:uid="{56F31CE3-2907-49EA-A8EE-7844D0F1688B}"/>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A50A13C6-6854-4933-B5A6-83B358FF459D}"/>
    <cellStyle name="Normal 2 4 2 4 7 2 3" xfId="12702" xr:uid="{76C1E8A9-FE4F-440D-B8EF-1E7AAC0947EB}"/>
    <cellStyle name="Normal 2 4 2 4 7 3" xfId="6336" xr:uid="{00000000-0005-0000-0000-0000820F0000}"/>
    <cellStyle name="Normal 2 4 2 4 7 3 2" xfId="14775" xr:uid="{FB07D8F8-EDEC-4BF5-85FD-7DB6E41DE822}"/>
    <cellStyle name="Normal 2 4 2 4 7 4" xfId="10557" xr:uid="{C0925753-DF42-42A3-B41B-587EF63A5F06}"/>
    <cellStyle name="Normal 2 4 2 4 8" xfId="2465" xr:uid="{00000000-0005-0000-0000-0000830F0000}"/>
    <cellStyle name="Normal 2 4 2 4 8 2" xfId="6749" xr:uid="{00000000-0005-0000-0000-0000840F0000}"/>
    <cellStyle name="Normal 2 4 2 4 8 2 2" xfId="15188" xr:uid="{08A8732A-FBC9-4D39-9B21-BD4FAC98FA6A}"/>
    <cellStyle name="Normal 2 4 2 4 8 3" xfId="10970" xr:uid="{00D30CE7-2E5B-42E2-B15A-8822529F3EC6}"/>
    <cellStyle name="Normal 2 4 2 4 9" xfId="4683" xr:uid="{00000000-0005-0000-0000-0000850F0000}"/>
    <cellStyle name="Normal 2 4 2 4 9 2" xfId="13122" xr:uid="{EC2E59AF-A061-41D1-987A-A676078BF874}"/>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F4999795-BD59-4E3D-8174-575080CD9869}"/>
    <cellStyle name="Normal 2 4 2 5 2 2 2 3" xfId="11468" xr:uid="{C58D154E-9D2E-4078-AAD7-1B2667B9F1ED}"/>
    <cellStyle name="Normal 2 4 2 5 2 2 3" xfId="5102" xr:uid="{00000000-0005-0000-0000-00008B0F0000}"/>
    <cellStyle name="Normal 2 4 2 5 2 2 3 2" xfId="13541" xr:uid="{248CE0E6-F38F-4093-BDE8-B30BBDDEF8B1}"/>
    <cellStyle name="Normal 2 4 2 5 2 2 4" xfId="9323" xr:uid="{26669B3A-02BF-4EB2-9DB6-C42D40CFCA4F}"/>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EE15AED8-743B-47D6-B228-CA3F36234120}"/>
    <cellStyle name="Normal 2 4 2 5 2 3 2 3" xfId="11881" xr:uid="{2CA0D7E3-6381-4931-9BAA-55FED6087750}"/>
    <cellStyle name="Normal 2 4 2 5 2 3 3" xfId="5515" xr:uid="{00000000-0005-0000-0000-00008F0F0000}"/>
    <cellStyle name="Normal 2 4 2 5 2 3 3 2" xfId="13954" xr:uid="{A0968245-B17D-4DCB-963D-A3ED493C43E3}"/>
    <cellStyle name="Normal 2 4 2 5 2 3 4" xfId="9736" xr:uid="{F916CEBA-4B25-4C5D-BBBE-4D5BFF9CFF7B}"/>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DC305EDF-DB50-4E5C-A2A3-9B54D360C564}"/>
    <cellStyle name="Normal 2 4 2 5 2 4 2 3" xfId="12294" xr:uid="{E17E6236-C206-45A3-8ACC-622087B95D7F}"/>
    <cellStyle name="Normal 2 4 2 5 2 4 3" xfId="5928" xr:uid="{00000000-0005-0000-0000-0000930F0000}"/>
    <cellStyle name="Normal 2 4 2 5 2 4 3 2" xfId="14367" xr:uid="{8F6F91CB-82E0-4D24-A214-8DBA68BC0C1C}"/>
    <cellStyle name="Normal 2 4 2 5 2 4 4" xfId="10149" xr:uid="{60F26A16-2785-4F98-8363-C4D38C15FC67}"/>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E6987E87-A657-4BAD-B442-05DE7C5C4DB1}"/>
    <cellStyle name="Normal 2 4 2 5 2 5 2 3" xfId="12707" xr:uid="{2886A894-ED71-4B01-973B-605B32CFEE72}"/>
    <cellStyle name="Normal 2 4 2 5 2 5 3" xfId="6341" xr:uid="{00000000-0005-0000-0000-0000970F0000}"/>
    <cellStyle name="Normal 2 4 2 5 2 5 3 2" xfId="14780" xr:uid="{41BFE1DC-0B2A-4430-A32D-263A71B273B0}"/>
    <cellStyle name="Normal 2 4 2 5 2 5 4" xfId="10562" xr:uid="{0DC77B1A-42BC-4034-A7FE-81CB5E6AF5FB}"/>
    <cellStyle name="Normal 2 4 2 5 2 6" xfId="2470" xr:uid="{00000000-0005-0000-0000-0000980F0000}"/>
    <cellStyle name="Normal 2 4 2 5 2 6 2" xfId="6754" xr:uid="{00000000-0005-0000-0000-0000990F0000}"/>
    <cellStyle name="Normal 2 4 2 5 2 6 2 2" xfId="15193" xr:uid="{023C254A-6629-406B-8511-4DDE2AFD96F4}"/>
    <cellStyle name="Normal 2 4 2 5 2 6 3" xfId="10975" xr:uid="{C67DD3ED-7925-443C-B260-DA72CE75F36F}"/>
    <cellStyle name="Normal 2 4 2 5 2 7" xfId="4688" xr:uid="{00000000-0005-0000-0000-00009A0F0000}"/>
    <cellStyle name="Normal 2 4 2 5 2 7 2" xfId="13127" xr:uid="{731236F9-0E4D-4C0A-97F7-7218BE8BB28C}"/>
    <cellStyle name="Normal 2 4 2 5 2 8" xfId="8909" xr:uid="{33B04F65-BBF6-4C4C-A64B-91CAC6B0C0EE}"/>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AC83A044-F2F3-4E09-A92D-B6C6B1ADED02}"/>
    <cellStyle name="Normal 2 4 2 5 3 2 3" xfId="11467" xr:uid="{569CB441-CA72-4456-89AD-969D89C1EC07}"/>
    <cellStyle name="Normal 2 4 2 5 3 3" xfId="5101" xr:uid="{00000000-0005-0000-0000-00009E0F0000}"/>
    <cellStyle name="Normal 2 4 2 5 3 3 2" xfId="13540" xr:uid="{2652718C-B502-496A-9199-34419D0A62AD}"/>
    <cellStyle name="Normal 2 4 2 5 3 4" xfId="9322" xr:uid="{1056C8C1-126C-40AD-919F-597D392D461A}"/>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9D797007-CE33-47A3-B7CB-A152EC938B9F}"/>
    <cellStyle name="Normal 2 4 2 5 4 2 3" xfId="11880" xr:uid="{F9B914A3-910B-4190-8667-8E3F3D9A5FEB}"/>
    <cellStyle name="Normal 2 4 2 5 4 3" xfId="5514" xr:uid="{00000000-0005-0000-0000-0000A20F0000}"/>
    <cellStyle name="Normal 2 4 2 5 4 3 2" xfId="13953" xr:uid="{BBC2DE3C-6FFC-43EA-AB2A-68CF678F5AB7}"/>
    <cellStyle name="Normal 2 4 2 5 4 4" xfId="9735" xr:uid="{9A066751-4322-470A-8719-BB2E33502FE4}"/>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6D648D95-F71C-47C0-9C04-33B075A906F0}"/>
    <cellStyle name="Normal 2 4 2 5 5 2 3" xfId="12293" xr:uid="{B023A5AB-7618-4128-993C-6AB93E3061C6}"/>
    <cellStyle name="Normal 2 4 2 5 5 3" xfId="5927" xr:uid="{00000000-0005-0000-0000-0000A60F0000}"/>
    <cellStyle name="Normal 2 4 2 5 5 3 2" xfId="14366" xr:uid="{F0ED8734-04C8-4591-8EFA-A7B2C7FC017E}"/>
    <cellStyle name="Normal 2 4 2 5 5 4" xfId="10148" xr:uid="{B874A6D9-B896-4007-B20B-F493BB6B336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8E94E753-0EB3-47E4-A94A-DFF64F2C384B}"/>
    <cellStyle name="Normal 2 4 2 5 6 2 3" xfId="12706" xr:uid="{AAD389E9-65E3-4F57-B11A-5617BCF74E86}"/>
    <cellStyle name="Normal 2 4 2 5 6 3" xfId="6340" xr:uid="{00000000-0005-0000-0000-0000AA0F0000}"/>
    <cellStyle name="Normal 2 4 2 5 6 3 2" xfId="14779" xr:uid="{F842CE89-36F6-490F-A461-2D7883B6CFA7}"/>
    <cellStyle name="Normal 2 4 2 5 6 4" xfId="10561" xr:uid="{EA1807E7-FDE9-45CC-BA7B-66FB18E1883D}"/>
    <cellStyle name="Normal 2 4 2 5 7" xfId="2469" xr:uid="{00000000-0005-0000-0000-0000AB0F0000}"/>
    <cellStyle name="Normal 2 4 2 5 7 2" xfId="6753" xr:uid="{00000000-0005-0000-0000-0000AC0F0000}"/>
    <cellStyle name="Normal 2 4 2 5 7 2 2" xfId="15192" xr:uid="{08C79B36-1543-41A8-AFE3-C4776035E9FA}"/>
    <cellStyle name="Normal 2 4 2 5 7 3" xfId="10974" xr:uid="{973629BD-240C-4AED-BDF9-540BC7AA7C53}"/>
    <cellStyle name="Normal 2 4 2 5 8" xfId="4687" xr:uid="{00000000-0005-0000-0000-0000AD0F0000}"/>
    <cellStyle name="Normal 2 4 2 5 8 2" xfId="13126" xr:uid="{BCECF0E5-7957-41A5-8C19-B936281521D6}"/>
    <cellStyle name="Normal 2 4 2 5 9" xfId="8908" xr:uid="{48893007-09D0-48BB-B50F-C310FEDB901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241B7F35-43A7-4B13-9A37-3965C7F9C358}"/>
    <cellStyle name="Normal 2 4 2 6 2 2 3" xfId="11469" xr:uid="{F4469D26-7D8E-4833-92C8-383B7E4D2900}"/>
    <cellStyle name="Normal 2 4 2 6 2 3" xfId="5103" xr:uid="{00000000-0005-0000-0000-0000B20F0000}"/>
    <cellStyle name="Normal 2 4 2 6 2 3 2" xfId="13542" xr:uid="{D0BF53E8-C38A-410D-A499-C283E0FB0824}"/>
    <cellStyle name="Normal 2 4 2 6 2 4" xfId="9324" xr:uid="{B2A48568-B45A-43BC-B559-972097114D66}"/>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978F0AB0-A988-472D-A297-ACDCB3F70512}"/>
    <cellStyle name="Normal 2 4 2 6 3 2 3" xfId="11882" xr:uid="{3FD74608-3C49-4C5B-8B13-84E30EBB18FC}"/>
    <cellStyle name="Normal 2 4 2 6 3 3" xfId="5516" xr:uid="{00000000-0005-0000-0000-0000B60F0000}"/>
    <cellStyle name="Normal 2 4 2 6 3 3 2" xfId="13955" xr:uid="{8DE4B54A-CB0E-4DC3-94CA-4FF80C24433B}"/>
    <cellStyle name="Normal 2 4 2 6 3 4" xfId="9737" xr:uid="{A1AD1E25-1669-49C2-96E0-13BA46848F3E}"/>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04806C47-8C94-433A-A6FB-A8560C39E7C9}"/>
    <cellStyle name="Normal 2 4 2 6 4 2 3" xfId="12295" xr:uid="{6E4DB476-90B1-434C-8AB4-488FB2D7F799}"/>
    <cellStyle name="Normal 2 4 2 6 4 3" xfId="5929" xr:uid="{00000000-0005-0000-0000-0000BA0F0000}"/>
    <cellStyle name="Normal 2 4 2 6 4 3 2" xfId="14368" xr:uid="{33EF20AA-964B-431C-8FEE-B08B1E1EAFCA}"/>
    <cellStyle name="Normal 2 4 2 6 4 4" xfId="10150" xr:uid="{1F9BE899-311B-4672-9436-606867A4CDE3}"/>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702FA8C9-F178-4174-9FAF-4BF49D9806B0}"/>
    <cellStyle name="Normal 2 4 2 6 5 2 3" xfId="12708" xr:uid="{00275217-A68A-44DC-90CD-FE0445E44263}"/>
    <cellStyle name="Normal 2 4 2 6 5 3" xfId="6342" xr:uid="{00000000-0005-0000-0000-0000BE0F0000}"/>
    <cellStyle name="Normal 2 4 2 6 5 3 2" xfId="14781" xr:uid="{E368AB9A-D95D-4F35-8D33-A1625EEA1081}"/>
    <cellStyle name="Normal 2 4 2 6 5 4" xfId="10563" xr:uid="{042757DE-E753-44D9-A512-76082906A7C8}"/>
    <cellStyle name="Normal 2 4 2 6 6" xfId="2471" xr:uid="{00000000-0005-0000-0000-0000BF0F0000}"/>
    <cellStyle name="Normal 2 4 2 6 6 2" xfId="6755" xr:uid="{00000000-0005-0000-0000-0000C00F0000}"/>
    <cellStyle name="Normal 2 4 2 6 6 2 2" xfId="15194" xr:uid="{700B70E5-E6FF-4E8E-B61C-8848366DFCB3}"/>
    <cellStyle name="Normal 2 4 2 6 6 3" xfId="10976" xr:uid="{8FAD1929-C9AC-4B18-A1CF-9B96DD2E3B69}"/>
    <cellStyle name="Normal 2 4 2 6 7" xfId="4689" xr:uid="{00000000-0005-0000-0000-0000C10F0000}"/>
    <cellStyle name="Normal 2 4 2 6 7 2" xfId="13128" xr:uid="{D2278277-5B18-435A-A59F-CDE24AEF86EF}"/>
    <cellStyle name="Normal 2 4 2 6 8" xfId="8910" xr:uid="{1F9C3BB6-BE82-4FE8-9B98-92E677E23165}"/>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47FAFF6B-6865-437C-9B05-6BC2C012B343}"/>
    <cellStyle name="Normal 2 4 2 7 2 3" xfId="11454" xr:uid="{0C77EBCF-DC99-45DF-9717-2E6A62E84A63}"/>
    <cellStyle name="Normal 2 4 2 7 3" xfId="5088" xr:uid="{00000000-0005-0000-0000-0000C50F0000}"/>
    <cellStyle name="Normal 2 4 2 7 3 2" xfId="13527" xr:uid="{10804126-1784-44AA-887A-2F2B4AA97FE0}"/>
    <cellStyle name="Normal 2 4 2 7 4" xfId="9309" xr:uid="{8385AF3D-E420-4068-ADF5-1552379808EA}"/>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41D7AA8D-9749-491A-A16B-233880C4FB60}"/>
    <cellStyle name="Normal 2 4 2 8 2 3" xfId="11867" xr:uid="{E34B19DF-F72A-41CC-ABE2-0A93A87DADCD}"/>
    <cellStyle name="Normal 2 4 2 8 3" xfId="5501" xr:uid="{00000000-0005-0000-0000-0000C90F0000}"/>
    <cellStyle name="Normal 2 4 2 8 3 2" xfId="13940" xr:uid="{9B1BE225-9137-4A97-9236-25264DF52590}"/>
    <cellStyle name="Normal 2 4 2 8 4" xfId="9722" xr:uid="{6905A6B9-ECFB-49B6-AAC1-3E4777EB05C3}"/>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EC6F2085-6669-47EB-94E6-AAFE9CF16A05}"/>
    <cellStyle name="Normal 2 4 2 9 2 3" xfId="12280" xr:uid="{A8A94506-13F0-4289-9286-32CF1AA84249}"/>
    <cellStyle name="Normal 2 4 2 9 3" xfId="5914" xr:uid="{00000000-0005-0000-0000-0000CD0F0000}"/>
    <cellStyle name="Normal 2 4 2 9 3 2" xfId="14353" xr:uid="{1372CB25-1B2B-4C67-8AE9-9101A20BBB59}"/>
    <cellStyle name="Normal 2 4 2 9 4" xfId="10135" xr:uid="{6FB9E24E-3E13-4586-937D-D53C99C746BE}"/>
    <cellStyle name="Normal 2 4 3" xfId="296" xr:uid="{00000000-0005-0000-0000-0000CE0F0000}"/>
    <cellStyle name="Normal 2 4 3 10" xfId="8911" xr:uid="{15910A05-5CA9-4690-A3A0-545B78C72074}"/>
    <cellStyle name="Normal 2 4 3 2" xfId="297" xr:uid="{00000000-0005-0000-0000-0000CF0F0000}"/>
    <cellStyle name="Normal 2 4 3 3" xfId="298" xr:uid="{00000000-0005-0000-0000-0000D00F0000}"/>
    <cellStyle name="Normal 2 4 3 3 10" xfId="8912" xr:uid="{C36F2391-9302-4C17-AD01-CE27B82326A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37646414-4874-48C4-BC40-38B52EC5B313}"/>
    <cellStyle name="Normal 2 4 3 3 2 2 2 2 3" xfId="11473" xr:uid="{3209ED0B-214E-4C71-BCF1-F7AA28A23BAA}"/>
    <cellStyle name="Normal 2 4 3 3 2 2 2 3" xfId="5107" xr:uid="{00000000-0005-0000-0000-0000D60F0000}"/>
    <cellStyle name="Normal 2 4 3 3 2 2 2 3 2" xfId="13546" xr:uid="{BBC977F0-CBE0-4526-94D4-A054601AF382}"/>
    <cellStyle name="Normal 2 4 3 3 2 2 2 4" xfId="9328" xr:uid="{86ECDB50-693A-4584-A77C-9DB3DFA020F3}"/>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E970C413-3A89-444F-8747-878C74AFEC11}"/>
    <cellStyle name="Normal 2 4 3 3 2 2 3 2 3" xfId="11886" xr:uid="{E101F5BD-A1A4-4400-A9D7-1AD88102DF41}"/>
    <cellStyle name="Normal 2 4 3 3 2 2 3 3" xfId="5520" xr:uid="{00000000-0005-0000-0000-0000DA0F0000}"/>
    <cellStyle name="Normal 2 4 3 3 2 2 3 3 2" xfId="13959" xr:uid="{9BE614A7-DB11-4482-B812-2EDC266F3EF2}"/>
    <cellStyle name="Normal 2 4 3 3 2 2 3 4" xfId="9741" xr:uid="{B879DF47-4A83-49CA-B8F2-A0A43AE32E69}"/>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9C96DBC8-B3A9-44B3-93A9-71F43206741B}"/>
    <cellStyle name="Normal 2 4 3 3 2 2 4 2 3" xfId="12299" xr:uid="{9A53DE86-DD85-41EF-946B-8414F6EAB7C9}"/>
    <cellStyle name="Normal 2 4 3 3 2 2 4 3" xfId="5933" xr:uid="{00000000-0005-0000-0000-0000DE0F0000}"/>
    <cellStyle name="Normal 2 4 3 3 2 2 4 3 2" xfId="14372" xr:uid="{C0C4211B-CA4D-4EE1-B161-F87E95F42E70}"/>
    <cellStyle name="Normal 2 4 3 3 2 2 4 4" xfId="10154" xr:uid="{DDE4CAA6-8270-423B-86B4-93B79D63CFC6}"/>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623971F1-BBB2-4EA5-9C70-681C5E038C60}"/>
    <cellStyle name="Normal 2 4 3 3 2 2 5 2 3" xfId="12712" xr:uid="{4B7A0878-4EF7-4CED-A24C-BB47ACCA0F37}"/>
    <cellStyle name="Normal 2 4 3 3 2 2 5 3" xfId="6346" xr:uid="{00000000-0005-0000-0000-0000E20F0000}"/>
    <cellStyle name="Normal 2 4 3 3 2 2 5 3 2" xfId="14785" xr:uid="{2DC6D1E9-A64A-42DE-B187-E82BEA5F1F0E}"/>
    <cellStyle name="Normal 2 4 3 3 2 2 5 4" xfId="10567" xr:uid="{D1934A38-95CC-4AD9-BAF8-596CBA98FA38}"/>
    <cellStyle name="Normal 2 4 3 3 2 2 6" xfId="2475" xr:uid="{00000000-0005-0000-0000-0000E30F0000}"/>
    <cellStyle name="Normal 2 4 3 3 2 2 6 2" xfId="6759" xr:uid="{00000000-0005-0000-0000-0000E40F0000}"/>
    <cellStyle name="Normal 2 4 3 3 2 2 6 2 2" xfId="15198" xr:uid="{25D90FCF-7079-4EB7-AB0A-148652D4EA92}"/>
    <cellStyle name="Normal 2 4 3 3 2 2 6 3" xfId="10980" xr:uid="{F1CA2C20-3E1F-4D75-8DC1-11D9576C68DA}"/>
    <cellStyle name="Normal 2 4 3 3 2 2 7" xfId="4693" xr:uid="{00000000-0005-0000-0000-0000E50F0000}"/>
    <cellStyle name="Normal 2 4 3 3 2 2 7 2" xfId="13132" xr:uid="{A9BE5497-AB21-482E-87A6-63C2BDEC7128}"/>
    <cellStyle name="Normal 2 4 3 3 2 2 8" xfId="8914" xr:uid="{1DB2EF3C-6318-49E2-BEC4-0C78D0C55B87}"/>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18EF092A-ED28-4F72-962C-9BA57BBCB22C}"/>
    <cellStyle name="Normal 2 4 3 3 2 3 2 3" xfId="11472" xr:uid="{A94D3990-FD4A-47C6-9004-D75CBBF3F24C}"/>
    <cellStyle name="Normal 2 4 3 3 2 3 3" xfId="5106" xr:uid="{00000000-0005-0000-0000-0000E90F0000}"/>
    <cellStyle name="Normal 2 4 3 3 2 3 3 2" xfId="13545" xr:uid="{605BF7FA-E82D-4E26-94C3-CC61CDD08426}"/>
    <cellStyle name="Normal 2 4 3 3 2 3 4" xfId="9327" xr:uid="{CBC17D9C-F02C-4461-A79C-685A8A9BADB5}"/>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FD3A2AF3-A456-4C6C-A062-27CB812A28B8}"/>
    <cellStyle name="Normal 2 4 3 3 2 4 2 3" xfId="11885" xr:uid="{D86FE078-9395-4E3F-8516-FD040AE7653F}"/>
    <cellStyle name="Normal 2 4 3 3 2 4 3" xfId="5519" xr:uid="{00000000-0005-0000-0000-0000ED0F0000}"/>
    <cellStyle name="Normal 2 4 3 3 2 4 3 2" xfId="13958" xr:uid="{0BFFEB51-0F3E-46CC-8FA1-F33B8646BEBE}"/>
    <cellStyle name="Normal 2 4 3 3 2 4 4" xfId="9740" xr:uid="{C52A5956-01C0-4413-A0ED-2254A69FD39A}"/>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28E1522D-140C-45CE-AEA6-112F6E296D84}"/>
    <cellStyle name="Normal 2 4 3 3 2 5 2 3" xfId="12298" xr:uid="{6AE44B99-0909-49C2-A152-6E14E36E67D7}"/>
    <cellStyle name="Normal 2 4 3 3 2 5 3" xfId="5932" xr:uid="{00000000-0005-0000-0000-0000F10F0000}"/>
    <cellStyle name="Normal 2 4 3 3 2 5 3 2" xfId="14371" xr:uid="{2012F964-326B-42A1-BA8D-A6AC49D0DD88}"/>
    <cellStyle name="Normal 2 4 3 3 2 5 4" xfId="10153" xr:uid="{DAAF426E-2792-484F-83C4-5BAD7C3B82E5}"/>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5B34EDD2-0012-46B9-840D-FA1F58B7846A}"/>
    <cellStyle name="Normal 2 4 3 3 2 6 2 3" xfId="12711" xr:uid="{6A427604-474A-41A0-956C-4E2984D134A8}"/>
    <cellStyle name="Normal 2 4 3 3 2 6 3" xfId="6345" xr:uid="{00000000-0005-0000-0000-0000F50F0000}"/>
    <cellStyle name="Normal 2 4 3 3 2 6 3 2" xfId="14784" xr:uid="{75B23D07-03E7-492E-9AE7-80133504BE84}"/>
    <cellStyle name="Normal 2 4 3 3 2 6 4" xfId="10566" xr:uid="{3C8BCEFB-03AC-4B6E-AF04-E2E37A0099FB}"/>
    <cellStyle name="Normal 2 4 3 3 2 7" xfId="2474" xr:uid="{00000000-0005-0000-0000-0000F60F0000}"/>
    <cellStyle name="Normal 2 4 3 3 2 7 2" xfId="6758" xr:uid="{00000000-0005-0000-0000-0000F70F0000}"/>
    <cellStyle name="Normal 2 4 3 3 2 7 2 2" xfId="15197" xr:uid="{E32437AD-FA2C-4BE5-9565-BE52A424AF68}"/>
    <cellStyle name="Normal 2 4 3 3 2 7 3" xfId="10979" xr:uid="{D8D73D4C-BB6A-4438-87BE-B84E0969CE80}"/>
    <cellStyle name="Normal 2 4 3 3 2 8" xfId="4692" xr:uid="{00000000-0005-0000-0000-0000F80F0000}"/>
    <cellStyle name="Normal 2 4 3 3 2 8 2" xfId="13131" xr:uid="{53FEDE58-BAEA-4AE9-88FD-C577DB63F696}"/>
    <cellStyle name="Normal 2 4 3 3 2 9" xfId="8913" xr:uid="{EBD217A6-5F3C-42F8-A16B-7DD142FD54A7}"/>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B941CC0A-C785-41BC-9FFD-F734C6FAF301}"/>
    <cellStyle name="Normal 2 4 3 3 3 2 2 3" xfId="11474" xr:uid="{0A32E08F-DA17-437D-935C-8A7AE5C064DB}"/>
    <cellStyle name="Normal 2 4 3 3 3 2 3" xfId="5108" xr:uid="{00000000-0005-0000-0000-0000FD0F0000}"/>
    <cellStyle name="Normal 2 4 3 3 3 2 3 2" xfId="13547" xr:uid="{14751CD3-73A9-46FA-9D5C-7BB902C40738}"/>
    <cellStyle name="Normal 2 4 3 3 3 2 4" xfId="9329" xr:uid="{9E260047-3EEC-4C59-A375-D920DEC484B2}"/>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AF2D0D84-6938-49DD-B545-926BB89F568C}"/>
    <cellStyle name="Normal 2 4 3 3 3 3 2 3" xfId="11887" xr:uid="{A57A00E4-4CFC-47BE-9AB3-74F3A477C0F0}"/>
    <cellStyle name="Normal 2 4 3 3 3 3 3" xfId="5521" xr:uid="{00000000-0005-0000-0000-000001100000}"/>
    <cellStyle name="Normal 2 4 3 3 3 3 3 2" xfId="13960" xr:uid="{A430D6DD-AAED-4F97-AC7A-9560C76C7126}"/>
    <cellStyle name="Normal 2 4 3 3 3 3 4" xfId="9742" xr:uid="{89086DBE-BCB9-4B18-8760-8054AE9C1D8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0383A00A-005B-40F3-8CFA-75158A0DF9C0}"/>
    <cellStyle name="Normal 2 4 3 3 3 4 2 3" xfId="12300" xr:uid="{50B93C38-0E8B-45CE-98D3-4B50BB7E8670}"/>
    <cellStyle name="Normal 2 4 3 3 3 4 3" xfId="5934" xr:uid="{00000000-0005-0000-0000-000005100000}"/>
    <cellStyle name="Normal 2 4 3 3 3 4 3 2" xfId="14373" xr:uid="{16559DA6-65D4-4140-AAA7-A337695E46CD}"/>
    <cellStyle name="Normal 2 4 3 3 3 4 4" xfId="10155" xr:uid="{48B9A3FA-A30F-4571-87AA-9E540D791AB9}"/>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643B8F15-6D56-4A75-9C24-FB302AA7BCE5}"/>
    <cellStyle name="Normal 2 4 3 3 3 5 2 3" xfId="12713" xr:uid="{DED8D50A-4F3F-4E07-954B-1617C6A24E28}"/>
    <cellStyle name="Normal 2 4 3 3 3 5 3" xfId="6347" xr:uid="{00000000-0005-0000-0000-000009100000}"/>
    <cellStyle name="Normal 2 4 3 3 3 5 3 2" xfId="14786" xr:uid="{F2D600C0-C7F1-49FC-A12D-38E52CA2C49F}"/>
    <cellStyle name="Normal 2 4 3 3 3 5 4" xfId="10568" xr:uid="{255A91C0-9FBF-4754-80A3-011C64BC44DF}"/>
    <cellStyle name="Normal 2 4 3 3 3 6" xfId="2476" xr:uid="{00000000-0005-0000-0000-00000A100000}"/>
    <cellStyle name="Normal 2 4 3 3 3 6 2" xfId="6760" xr:uid="{00000000-0005-0000-0000-00000B100000}"/>
    <cellStyle name="Normal 2 4 3 3 3 6 2 2" xfId="15199" xr:uid="{8F960E6F-8966-4CF3-A7A3-7D1909D2DB07}"/>
    <cellStyle name="Normal 2 4 3 3 3 6 3" xfId="10981" xr:uid="{1B259D28-E953-4AE3-BA67-9DC3BE97FC23}"/>
    <cellStyle name="Normal 2 4 3 3 3 7" xfId="4694" xr:uid="{00000000-0005-0000-0000-00000C100000}"/>
    <cellStyle name="Normal 2 4 3 3 3 7 2" xfId="13133" xr:uid="{BE54473C-8F9A-47E4-9902-E133C4729D3C}"/>
    <cellStyle name="Normal 2 4 3 3 3 8" xfId="8915" xr:uid="{1446AD39-EF25-4FD7-8E56-B0E313369265}"/>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85124752-5AE5-497C-9E83-7B481F3B07D0}"/>
    <cellStyle name="Normal 2 4 3 3 4 2 3" xfId="11471" xr:uid="{95241C50-1597-4852-844A-E0F6342BED6F}"/>
    <cellStyle name="Normal 2 4 3 3 4 3" xfId="5105" xr:uid="{00000000-0005-0000-0000-000010100000}"/>
    <cellStyle name="Normal 2 4 3 3 4 3 2" xfId="13544" xr:uid="{267A5E77-300B-47A4-80CC-7BDBA17EAB42}"/>
    <cellStyle name="Normal 2 4 3 3 4 4" xfId="9326" xr:uid="{025D086B-3F6F-43CE-8EA7-FEB4BBC8A733}"/>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A01CAD66-8C94-421C-B56F-E2D22C1500BF}"/>
    <cellStyle name="Normal 2 4 3 3 5 2 3" xfId="11884" xr:uid="{F1E1AF84-050E-4511-9240-60EEB39313B6}"/>
    <cellStyle name="Normal 2 4 3 3 5 3" xfId="5518" xr:uid="{00000000-0005-0000-0000-000014100000}"/>
    <cellStyle name="Normal 2 4 3 3 5 3 2" xfId="13957" xr:uid="{F186B6B6-86D6-4EB1-B915-380E3F744F34}"/>
    <cellStyle name="Normal 2 4 3 3 5 4" xfId="9739" xr:uid="{0BA5DC6F-3117-470C-A613-B2CDDD51631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F96F83AA-4B97-44A6-8BCA-1E1DD695A999}"/>
    <cellStyle name="Normal 2 4 3 3 6 2 3" xfId="12297" xr:uid="{BE866193-D53F-458B-BF2C-0E93ACD4352E}"/>
    <cellStyle name="Normal 2 4 3 3 6 3" xfId="5931" xr:uid="{00000000-0005-0000-0000-000018100000}"/>
    <cellStyle name="Normal 2 4 3 3 6 3 2" xfId="14370" xr:uid="{5C8DEE6C-15C4-4405-9D08-D54C0DFB5D5B}"/>
    <cellStyle name="Normal 2 4 3 3 6 4" xfId="10152" xr:uid="{9E4E2E29-D8CD-4BFB-80B6-C942DB800F6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CDC3FDA9-5575-4D97-A049-5B42719BA488}"/>
    <cellStyle name="Normal 2 4 3 3 7 2 3" xfId="12710" xr:uid="{7412CAE4-79D6-42A4-944F-50C20902A525}"/>
    <cellStyle name="Normal 2 4 3 3 7 3" xfId="6344" xr:uid="{00000000-0005-0000-0000-00001C100000}"/>
    <cellStyle name="Normal 2 4 3 3 7 3 2" xfId="14783" xr:uid="{94CC2145-3F2C-467E-9D19-32AEA9A1DA47}"/>
    <cellStyle name="Normal 2 4 3 3 7 4" xfId="10565" xr:uid="{A7840874-141B-4134-958A-4F01A54F9ABF}"/>
    <cellStyle name="Normal 2 4 3 3 8" xfId="2473" xr:uid="{00000000-0005-0000-0000-00001D100000}"/>
    <cellStyle name="Normal 2 4 3 3 8 2" xfId="6757" xr:uid="{00000000-0005-0000-0000-00001E100000}"/>
    <cellStyle name="Normal 2 4 3 3 8 2 2" xfId="15196" xr:uid="{8C415F6F-B2E3-41F2-877C-82D64DF623DC}"/>
    <cellStyle name="Normal 2 4 3 3 8 3" xfId="10978" xr:uid="{FF1C4C70-7B04-4536-A977-B9C8B875CEC6}"/>
    <cellStyle name="Normal 2 4 3 3 9" xfId="4691" xr:uid="{00000000-0005-0000-0000-00001F100000}"/>
    <cellStyle name="Normal 2 4 3 3 9 2" xfId="13130" xr:uid="{50AD4F5C-5802-4511-B00C-812882825550}"/>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1AE88C37-9E29-4187-9291-73377CA4CAC9}"/>
    <cellStyle name="Normal 2 4 3 4 2 3" xfId="11470" xr:uid="{41D5491D-6652-434D-B260-54668017EAFA}"/>
    <cellStyle name="Normal 2 4 3 4 3" xfId="5104" xr:uid="{00000000-0005-0000-0000-000023100000}"/>
    <cellStyle name="Normal 2 4 3 4 3 2" xfId="13543" xr:uid="{8561E622-33CB-4F65-AD6D-FE8623DEA59F}"/>
    <cellStyle name="Normal 2 4 3 4 4" xfId="9325" xr:uid="{3C4E22C7-025E-4AD0-8C4B-39CBAB794443}"/>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1D5A8888-003B-419B-A7A1-903B605D30A5}"/>
    <cellStyle name="Normal 2 4 3 5 2 3" xfId="11883" xr:uid="{3B6CEAB8-2877-43DB-B110-2E9E528F860A}"/>
    <cellStyle name="Normal 2 4 3 5 3" xfId="5517" xr:uid="{00000000-0005-0000-0000-000027100000}"/>
    <cellStyle name="Normal 2 4 3 5 3 2" xfId="13956" xr:uid="{EAD3B6DF-F73B-43B3-A0F9-3AAFED98D45A}"/>
    <cellStyle name="Normal 2 4 3 5 4" xfId="9738" xr:uid="{46C29953-1218-437F-B96C-936B7A8360C2}"/>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E15A2848-1500-44A9-91C9-802270DDDA90}"/>
    <cellStyle name="Normal 2 4 3 6 2 3" xfId="12296" xr:uid="{BEE2F8F2-FEFB-411E-95A0-C06C2A5F4ED3}"/>
    <cellStyle name="Normal 2 4 3 6 3" xfId="5930" xr:uid="{00000000-0005-0000-0000-00002B100000}"/>
    <cellStyle name="Normal 2 4 3 6 3 2" xfId="14369" xr:uid="{BA6DA7D9-0B55-49B3-B901-0A3C5B9D3648}"/>
    <cellStyle name="Normal 2 4 3 6 4" xfId="10151" xr:uid="{C19A66A2-23E9-4421-982D-9F3F4FB3F694}"/>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A4A45EF4-E187-4FC2-A3E4-3F13B8A29041}"/>
    <cellStyle name="Normal 2 4 3 7 2 3" xfId="12709" xr:uid="{E9E5DED5-4A1F-4422-AF82-0B68239DCEFB}"/>
    <cellStyle name="Normal 2 4 3 7 3" xfId="6343" xr:uid="{00000000-0005-0000-0000-00002F100000}"/>
    <cellStyle name="Normal 2 4 3 7 3 2" xfId="14782" xr:uid="{A9AF66FD-65AC-40FE-83BD-07BFE1060A96}"/>
    <cellStyle name="Normal 2 4 3 7 4" xfId="10564" xr:uid="{653A9BD1-B014-4B9D-8A6D-DFBFCAADE223}"/>
    <cellStyle name="Normal 2 4 3 8" xfId="2472" xr:uid="{00000000-0005-0000-0000-000030100000}"/>
    <cellStyle name="Normal 2 4 3 8 2" xfId="6756" xr:uid="{00000000-0005-0000-0000-000031100000}"/>
    <cellStyle name="Normal 2 4 3 8 2 2" xfId="15195" xr:uid="{CC9A7078-D76D-4855-9356-4253E20B5F6F}"/>
    <cellStyle name="Normal 2 4 3 8 3" xfId="10977" xr:uid="{2D6FB404-73D1-46A8-89A5-84FA9220E8FB}"/>
    <cellStyle name="Normal 2 4 3 9" xfId="4690" xr:uid="{00000000-0005-0000-0000-000032100000}"/>
    <cellStyle name="Normal 2 4 3 9 2" xfId="13129" xr:uid="{9C35C028-056E-49FC-9FC2-4A58F7A6680D}"/>
    <cellStyle name="Normal 2 4 4" xfId="302" xr:uid="{00000000-0005-0000-0000-000033100000}"/>
    <cellStyle name="Normal 2 4 5" xfId="303" xr:uid="{00000000-0005-0000-0000-000034100000}"/>
    <cellStyle name="Normal 2 4 5 10" xfId="4695" xr:uid="{00000000-0005-0000-0000-000035100000}"/>
    <cellStyle name="Normal 2 4 5 10 2" xfId="13134" xr:uid="{DE97A2C0-0CBD-471B-A362-CA6640B15A31}"/>
    <cellStyle name="Normal 2 4 5 11" xfId="8916" xr:uid="{3A132DA0-FFC4-466D-981F-1E10E0A0F413}"/>
    <cellStyle name="Normal 2 4 5 2" xfId="304" xr:uid="{00000000-0005-0000-0000-000036100000}"/>
    <cellStyle name="Normal 2 4 5 2 10" xfId="8917" xr:uid="{FCBE9CE9-C6FC-465A-A72B-7BB9D5EF8554}"/>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BFEC6EF0-8047-4DCC-B6F9-6ECD2A1ABAC6}"/>
    <cellStyle name="Normal 2 4 5 2 2 2 2 2 3" xfId="11478" xr:uid="{828E201E-55CD-4A66-B136-DC75D0228498}"/>
    <cellStyle name="Normal 2 4 5 2 2 2 2 3" xfId="5112" xr:uid="{00000000-0005-0000-0000-00003C100000}"/>
    <cellStyle name="Normal 2 4 5 2 2 2 2 3 2" xfId="13551" xr:uid="{1D2E06F6-FF6C-4A57-8135-B8E44A341763}"/>
    <cellStyle name="Normal 2 4 5 2 2 2 2 4" xfId="9333" xr:uid="{AB17DCB5-B8A1-4AD9-8B83-50B8B8D16CB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B7DD8D63-17E3-47A4-8D89-5D0FF65B4CFA}"/>
    <cellStyle name="Normal 2 4 5 2 2 2 3 2 3" xfId="11891" xr:uid="{A286D467-1B7F-4C30-9A71-C13C2198E49B}"/>
    <cellStyle name="Normal 2 4 5 2 2 2 3 3" xfId="5525" xr:uid="{00000000-0005-0000-0000-000040100000}"/>
    <cellStyle name="Normal 2 4 5 2 2 2 3 3 2" xfId="13964" xr:uid="{B2CB048F-71BB-4C33-937B-D952A72938B7}"/>
    <cellStyle name="Normal 2 4 5 2 2 2 3 4" xfId="9746" xr:uid="{5C83D206-6645-433E-90C0-FD2F8875BC69}"/>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87FFBC08-7FDF-4B27-B7EF-F0BCA8D1F311}"/>
    <cellStyle name="Normal 2 4 5 2 2 2 4 2 3" xfId="12304" xr:uid="{7C6653A2-2673-4892-95AF-7E5EF7A63110}"/>
    <cellStyle name="Normal 2 4 5 2 2 2 4 3" xfId="5938" xr:uid="{00000000-0005-0000-0000-000044100000}"/>
    <cellStyle name="Normal 2 4 5 2 2 2 4 3 2" xfId="14377" xr:uid="{D7310A0E-86A8-427F-804B-8E2E1A8D8B73}"/>
    <cellStyle name="Normal 2 4 5 2 2 2 4 4" xfId="10159" xr:uid="{D493FF11-76A6-4A62-8704-92E2269F3DD6}"/>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40620F26-EFEA-4BCD-9FE7-E1D497B018C9}"/>
    <cellStyle name="Normal 2 4 5 2 2 2 5 2 3" xfId="12717" xr:uid="{6D39DEBB-D9DB-47E8-A344-9E7C4469E917}"/>
    <cellStyle name="Normal 2 4 5 2 2 2 5 3" xfId="6351" xr:uid="{00000000-0005-0000-0000-000048100000}"/>
    <cellStyle name="Normal 2 4 5 2 2 2 5 3 2" xfId="14790" xr:uid="{3110086A-B172-406E-9D9B-A416D37416FA}"/>
    <cellStyle name="Normal 2 4 5 2 2 2 5 4" xfId="10572" xr:uid="{55C63F22-80F4-40A2-8299-3D54811D1B9D}"/>
    <cellStyle name="Normal 2 4 5 2 2 2 6" xfId="2480" xr:uid="{00000000-0005-0000-0000-000049100000}"/>
    <cellStyle name="Normal 2 4 5 2 2 2 6 2" xfId="6764" xr:uid="{00000000-0005-0000-0000-00004A100000}"/>
    <cellStyle name="Normal 2 4 5 2 2 2 6 2 2" xfId="15203" xr:uid="{FCE68A8C-4EDA-4429-9131-52473B33969C}"/>
    <cellStyle name="Normal 2 4 5 2 2 2 6 3" xfId="10985" xr:uid="{4A8EFA95-9529-4FFF-A589-7079CD0B64C8}"/>
    <cellStyle name="Normal 2 4 5 2 2 2 7" xfId="4698" xr:uid="{00000000-0005-0000-0000-00004B100000}"/>
    <cellStyle name="Normal 2 4 5 2 2 2 7 2" xfId="13137" xr:uid="{1EBB00CC-9E4A-49B8-9604-3E944DB8E789}"/>
    <cellStyle name="Normal 2 4 5 2 2 2 8" xfId="8919" xr:uid="{AE8DCC3D-6145-460E-B83A-31D72A2A3034}"/>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C76CBBC0-F62E-4D80-9F29-29D9F9512A36}"/>
    <cellStyle name="Normal 2 4 5 2 2 3 2 3" xfId="11477" xr:uid="{7BD90F4C-F221-4239-95DE-016D917BDB4C}"/>
    <cellStyle name="Normal 2 4 5 2 2 3 3" xfId="5111" xr:uid="{00000000-0005-0000-0000-00004F100000}"/>
    <cellStyle name="Normal 2 4 5 2 2 3 3 2" xfId="13550" xr:uid="{BAA9FD2F-2D6A-4250-AF60-B9395DFAB394}"/>
    <cellStyle name="Normal 2 4 5 2 2 3 4" xfId="9332" xr:uid="{6B54AE5C-F259-498D-8A32-3F15F6F1F5EE}"/>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171A487A-C1A6-4069-BB99-60BC582A454C}"/>
    <cellStyle name="Normal 2 4 5 2 2 4 2 3" xfId="11890" xr:uid="{0B04206A-1CED-4C34-8DEB-166193F8C443}"/>
    <cellStyle name="Normal 2 4 5 2 2 4 3" xfId="5524" xr:uid="{00000000-0005-0000-0000-000053100000}"/>
    <cellStyle name="Normal 2 4 5 2 2 4 3 2" xfId="13963" xr:uid="{EE01A6EF-8D45-4795-95D2-2A1ADE190003}"/>
    <cellStyle name="Normal 2 4 5 2 2 4 4" xfId="9745" xr:uid="{51917AEF-51A8-4315-AC5C-E1AFCCE845CC}"/>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4FF6F019-A787-4B84-96E9-08938FC2F743}"/>
    <cellStyle name="Normal 2 4 5 2 2 5 2 3" xfId="12303" xr:uid="{4FEDE33F-382F-41E0-90B9-1495412DB172}"/>
    <cellStyle name="Normal 2 4 5 2 2 5 3" xfId="5937" xr:uid="{00000000-0005-0000-0000-000057100000}"/>
    <cellStyle name="Normal 2 4 5 2 2 5 3 2" xfId="14376" xr:uid="{3B5E26D4-3F91-4041-9EE7-387C7E878793}"/>
    <cellStyle name="Normal 2 4 5 2 2 5 4" xfId="10158" xr:uid="{7BC7FD53-F056-4CB2-BAF0-804E6A318023}"/>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DC58070E-400F-4A05-8DEF-E21C4594C1BE}"/>
    <cellStyle name="Normal 2 4 5 2 2 6 2 3" xfId="12716" xr:uid="{8ACF7B8D-1742-489C-877B-C592DA6C9DBF}"/>
    <cellStyle name="Normal 2 4 5 2 2 6 3" xfId="6350" xr:uid="{00000000-0005-0000-0000-00005B100000}"/>
    <cellStyle name="Normal 2 4 5 2 2 6 3 2" xfId="14789" xr:uid="{3BF7565D-CB03-4870-821A-1A084A69BE65}"/>
    <cellStyle name="Normal 2 4 5 2 2 6 4" xfId="10571" xr:uid="{0DE0195E-3444-41DD-AC1A-706ADAD0BFA0}"/>
    <cellStyle name="Normal 2 4 5 2 2 7" xfId="2479" xr:uid="{00000000-0005-0000-0000-00005C100000}"/>
    <cellStyle name="Normal 2 4 5 2 2 7 2" xfId="6763" xr:uid="{00000000-0005-0000-0000-00005D100000}"/>
    <cellStyle name="Normal 2 4 5 2 2 7 2 2" xfId="15202" xr:uid="{6D223A6E-DDC6-4301-BDEC-EA0E6B6502B9}"/>
    <cellStyle name="Normal 2 4 5 2 2 7 3" xfId="10984" xr:uid="{CB112CD8-D7E5-4854-BA45-AACAB5917A83}"/>
    <cellStyle name="Normal 2 4 5 2 2 8" xfId="4697" xr:uid="{00000000-0005-0000-0000-00005E100000}"/>
    <cellStyle name="Normal 2 4 5 2 2 8 2" xfId="13136" xr:uid="{D1517ECC-BE8F-4B84-B419-119E341B1540}"/>
    <cellStyle name="Normal 2 4 5 2 2 9" xfId="8918" xr:uid="{B7B99BE0-2AC9-407D-B512-02B33A0A956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05E33074-89FA-4415-9301-C1CFAB0344E4}"/>
    <cellStyle name="Normal 2 4 5 2 3 2 2 3" xfId="11479" xr:uid="{C2849913-441C-400D-B397-7CF478CE1210}"/>
    <cellStyle name="Normal 2 4 5 2 3 2 3" xfId="5113" xr:uid="{00000000-0005-0000-0000-000063100000}"/>
    <cellStyle name="Normal 2 4 5 2 3 2 3 2" xfId="13552" xr:uid="{6D57BE88-7502-42AA-953F-2726F02F4B46}"/>
    <cellStyle name="Normal 2 4 5 2 3 2 4" xfId="9334" xr:uid="{391ED05D-92E2-49BF-B5FE-6D32335422DB}"/>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A23DD171-C244-42FF-AF99-4CE8788B78E6}"/>
    <cellStyle name="Normal 2 4 5 2 3 3 2 3" xfId="11892" xr:uid="{0444AAFD-A456-4BBF-9E47-4126A64BA086}"/>
    <cellStyle name="Normal 2 4 5 2 3 3 3" xfId="5526" xr:uid="{00000000-0005-0000-0000-000067100000}"/>
    <cellStyle name="Normal 2 4 5 2 3 3 3 2" xfId="13965" xr:uid="{B10E6375-FDA5-46DD-95C9-31D893B855E4}"/>
    <cellStyle name="Normal 2 4 5 2 3 3 4" xfId="9747" xr:uid="{80157B42-744C-45CD-A457-0A5EB096345D}"/>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4AAD11BF-3ED9-4666-8397-9C05360C29AF}"/>
    <cellStyle name="Normal 2 4 5 2 3 4 2 3" xfId="12305" xr:uid="{43B175B6-5B36-4B64-B708-9F6FB883E019}"/>
    <cellStyle name="Normal 2 4 5 2 3 4 3" xfId="5939" xr:uid="{00000000-0005-0000-0000-00006B100000}"/>
    <cellStyle name="Normal 2 4 5 2 3 4 3 2" xfId="14378" xr:uid="{B56A2576-231D-47AB-80E3-DAF684A35109}"/>
    <cellStyle name="Normal 2 4 5 2 3 4 4" xfId="10160" xr:uid="{17EDA9E5-2D8E-4F9B-A3FE-D0A1929934E4}"/>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B9A72F13-5F3C-4755-8C34-C5A003E3D2A9}"/>
    <cellStyle name="Normal 2 4 5 2 3 5 2 3" xfId="12718" xr:uid="{5AB151BE-B73B-42AC-B9E4-44B92F73894F}"/>
    <cellStyle name="Normal 2 4 5 2 3 5 3" xfId="6352" xr:uid="{00000000-0005-0000-0000-00006F100000}"/>
    <cellStyle name="Normal 2 4 5 2 3 5 3 2" xfId="14791" xr:uid="{D895EE40-BD20-4118-B498-75AB3C06DF3A}"/>
    <cellStyle name="Normal 2 4 5 2 3 5 4" xfId="10573" xr:uid="{E0BBD355-C08B-4858-8EC2-4D64ED62764C}"/>
    <cellStyle name="Normal 2 4 5 2 3 6" xfId="2481" xr:uid="{00000000-0005-0000-0000-000070100000}"/>
    <cellStyle name="Normal 2 4 5 2 3 6 2" xfId="6765" xr:uid="{00000000-0005-0000-0000-000071100000}"/>
    <cellStyle name="Normal 2 4 5 2 3 6 2 2" xfId="15204" xr:uid="{26E8736B-F49A-42EF-83B5-44EA6A8C3917}"/>
    <cellStyle name="Normal 2 4 5 2 3 6 3" xfId="10986" xr:uid="{9D6B79FC-794B-4A66-A6D0-771F869BC94D}"/>
    <cellStyle name="Normal 2 4 5 2 3 7" xfId="4699" xr:uid="{00000000-0005-0000-0000-000072100000}"/>
    <cellStyle name="Normal 2 4 5 2 3 7 2" xfId="13138" xr:uid="{6FDD98BB-D689-4C48-ABFA-5FED82EC0D43}"/>
    <cellStyle name="Normal 2 4 5 2 3 8" xfId="8920" xr:uid="{64B6B9E4-870B-4DEC-A982-C9DB3B9EF1C6}"/>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247B0B8B-8102-4A19-8973-F05902EDC6CB}"/>
    <cellStyle name="Normal 2 4 5 2 4 2 3" xfId="11476" xr:uid="{0A03E53D-EE6B-46C5-B51F-BB5D936152CB}"/>
    <cellStyle name="Normal 2 4 5 2 4 3" xfId="5110" xr:uid="{00000000-0005-0000-0000-000076100000}"/>
    <cellStyle name="Normal 2 4 5 2 4 3 2" xfId="13549" xr:uid="{1101041F-3C26-4F59-9781-55BDDA8A6D91}"/>
    <cellStyle name="Normal 2 4 5 2 4 4" xfId="9331" xr:uid="{7582B65D-7BA0-4C58-80CD-32B678AE937C}"/>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62580AE2-3599-4DDE-B6D3-8ED23CF51E30}"/>
    <cellStyle name="Normal 2 4 5 2 5 2 3" xfId="11889" xr:uid="{29CBF7E0-616D-42E0-87CF-A039FA54843A}"/>
    <cellStyle name="Normal 2 4 5 2 5 3" xfId="5523" xr:uid="{00000000-0005-0000-0000-00007A100000}"/>
    <cellStyle name="Normal 2 4 5 2 5 3 2" xfId="13962" xr:uid="{0134E960-888E-4B20-9016-795B65301D8E}"/>
    <cellStyle name="Normal 2 4 5 2 5 4" xfId="9744" xr:uid="{8EA4A134-0B6C-4C9A-A65F-27EC2BDEFCD0}"/>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54E0369C-DC4A-4741-BD88-7ECDAD84AF24}"/>
    <cellStyle name="Normal 2 4 5 2 6 2 3" xfId="12302" xr:uid="{C5C2FC57-8889-4431-9AEA-6D66B88B81DF}"/>
    <cellStyle name="Normal 2 4 5 2 6 3" xfId="5936" xr:uid="{00000000-0005-0000-0000-00007E100000}"/>
    <cellStyle name="Normal 2 4 5 2 6 3 2" xfId="14375" xr:uid="{84A301E2-705C-442E-AB69-49155554DCAC}"/>
    <cellStyle name="Normal 2 4 5 2 6 4" xfId="10157" xr:uid="{66202AAA-8F7D-414C-83D0-038A16B2FCC4}"/>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79FEF265-B033-4BDA-BC14-65011BD5E692}"/>
    <cellStyle name="Normal 2 4 5 2 7 2 3" xfId="12715" xr:uid="{577311F7-35A0-4883-886D-C0F12C8897E6}"/>
    <cellStyle name="Normal 2 4 5 2 7 3" xfId="6349" xr:uid="{00000000-0005-0000-0000-000082100000}"/>
    <cellStyle name="Normal 2 4 5 2 7 3 2" xfId="14788" xr:uid="{1C5E84A1-0614-4315-BF28-9EA92E8E5F56}"/>
    <cellStyle name="Normal 2 4 5 2 7 4" xfId="10570" xr:uid="{481034A3-537E-47F4-8F4E-8D9888EC3D69}"/>
    <cellStyle name="Normal 2 4 5 2 8" xfId="2478" xr:uid="{00000000-0005-0000-0000-000083100000}"/>
    <cellStyle name="Normal 2 4 5 2 8 2" xfId="6762" xr:uid="{00000000-0005-0000-0000-000084100000}"/>
    <cellStyle name="Normal 2 4 5 2 8 2 2" xfId="15201" xr:uid="{C3BC67BA-05EC-47C3-B59C-A9FE9C7E262F}"/>
    <cellStyle name="Normal 2 4 5 2 8 3" xfId="10983" xr:uid="{6AD4520F-5CE2-4CAA-A8BD-07B8855F9BFF}"/>
    <cellStyle name="Normal 2 4 5 2 9" xfId="4696" xr:uid="{00000000-0005-0000-0000-000085100000}"/>
    <cellStyle name="Normal 2 4 5 2 9 2" xfId="13135" xr:uid="{89A0EF9D-8896-4ED2-8602-9BC4892C8F84}"/>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77E0E0AD-84D1-4CA9-94BD-40A2643701FD}"/>
    <cellStyle name="Normal 2 4 5 3 2 2 2 3" xfId="11481" xr:uid="{6889EB4F-E570-4876-B0E6-3A3E585B7F11}"/>
    <cellStyle name="Normal 2 4 5 3 2 2 3" xfId="5115" xr:uid="{00000000-0005-0000-0000-00008B100000}"/>
    <cellStyle name="Normal 2 4 5 3 2 2 3 2" xfId="13554" xr:uid="{BC17C5FB-856B-4132-9D14-E6B7F8670D7D}"/>
    <cellStyle name="Normal 2 4 5 3 2 2 4" xfId="9336" xr:uid="{DF6B989E-636F-4D99-9737-04B89DB174DA}"/>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EBCE1832-2F9F-4666-A408-52883E222254}"/>
    <cellStyle name="Normal 2 4 5 3 2 3 2 3" xfId="11894" xr:uid="{095BB4B2-87C0-4809-9281-6B0820DECAE0}"/>
    <cellStyle name="Normal 2 4 5 3 2 3 3" xfId="5528" xr:uid="{00000000-0005-0000-0000-00008F100000}"/>
    <cellStyle name="Normal 2 4 5 3 2 3 3 2" xfId="13967" xr:uid="{FC4D4C45-5E2C-412C-B11B-63235FFAFFCD}"/>
    <cellStyle name="Normal 2 4 5 3 2 3 4" xfId="9749" xr:uid="{193BD7D5-7B08-4C64-BF9D-29C542DC6D83}"/>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65CB1841-81F3-4D7D-A42C-19F88461DB69}"/>
    <cellStyle name="Normal 2 4 5 3 2 4 2 3" xfId="12307" xr:uid="{067E1EF7-273D-4915-A2EF-CFBB78BEBAE1}"/>
    <cellStyle name="Normal 2 4 5 3 2 4 3" xfId="5941" xr:uid="{00000000-0005-0000-0000-000093100000}"/>
    <cellStyle name="Normal 2 4 5 3 2 4 3 2" xfId="14380" xr:uid="{E694687D-982C-44DF-8790-B66C15522DFC}"/>
    <cellStyle name="Normal 2 4 5 3 2 4 4" xfId="10162" xr:uid="{6F07B35E-A3E5-439B-A752-21220AC55B8C}"/>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BC4C1C2F-6102-4E3D-A6B1-BCC6F1CCEA9C}"/>
    <cellStyle name="Normal 2 4 5 3 2 5 2 3" xfId="12720" xr:uid="{3AE19174-15CA-4D59-B12C-45884C058A4F}"/>
    <cellStyle name="Normal 2 4 5 3 2 5 3" xfId="6354" xr:uid="{00000000-0005-0000-0000-000097100000}"/>
    <cellStyle name="Normal 2 4 5 3 2 5 3 2" xfId="14793" xr:uid="{8A581319-4AD9-4D9C-B065-F985ABF36B8C}"/>
    <cellStyle name="Normal 2 4 5 3 2 5 4" xfId="10575" xr:uid="{4F11FCB7-24B9-4ECB-B77E-8F35C7EAB940}"/>
    <cellStyle name="Normal 2 4 5 3 2 6" xfId="2483" xr:uid="{00000000-0005-0000-0000-000098100000}"/>
    <cellStyle name="Normal 2 4 5 3 2 6 2" xfId="6767" xr:uid="{00000000-0005-0000-0000-000099100000}"/>
    <cellStyle name="Normal 2 4 5 3 2 6 2 2" xfId="15206" xr:uid="{C7112A6A-C339-4230-B569-0985392D4844}"/>
    <cellStyle name="Normal 2 4 5 3 2 6 3" xfId="10988" xr:uid="{F6A19644-26A5-470B-A915-35D983CFE1F5}"/>
    <cellStyle name="Normal 2 4 5 3 2 7" xfId="4701" xr:uid="{00000000-0005-0000-0000-00009A100000}"/>
    <cellStyle name="Normal 2 4 5 3 2 7 2" xfId="13140" xr:uid="{CDEBDE21-8ED7-43BE-8C1A-35C376C9B197}"/>
    <cellStyle name="Normal 2 4 5 3 2 8" xfId="8922" xr:uid="{717DC4FB-8B85-4EA3-9E60-241362DB65E6}"/>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8C93D699-9B83-4C1D-9BC8-86FC7932BA07}"/>
    <cellStyle name="Normal 2 4 5 3 3 2 3" xfId="11480" xr:uid="{227E0F31-5BF5-499C-B3D4-562598B61B74}"/>
    <cellStyle name="Normal 2 4 5 3 3 3" xfId="5114" xr:uid="{00000000-0005-0000-0000-00009E100000}"/>
    <cellStyle name="Normal 2 4 5 3 3 3 2" xfId="13553" xr:uid="{19FD633F-B189-4DDB-84D5-790D81B37B6B}"/>
    <cellStyle name="Normal 2 4 5 3 3 4" xfId="9335" xr:uid="{6D3967EA-68DB-4332-A913-00AF4C17F956}"/>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7BA49A91-DC34-4C6F-AD77-3BD1BAF69A6C}"/>
    <cellStyle name="Normal 2 4 5 3 4 2 3" xfId="11893" xr:uid="{AA9B2551-9BFF-43C9-8FEA-786D87741643}"/>
    <cellStyle name="Normal 2 4 5 3 4 3" xfId="5527" xr:uid="{00000000-0005-0000-0000-0000A2100000}"/>
    <cellStyle name="Normal 2 4 5 3 4 3 2" xfId="13966" xr:uid="{BC374AA7-22F1-49A6-8042-50BCB74414E8}"/>
    <cellStyle name="Normal 2 4 5 3 4 4" xfId="9748" xr:uid="{AC889454-AD9A-4313-B6E9-E63346A646E3}"/>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795CCDF5-483D-41A9-BA99-A4CF715CA495}"/>
    <cellStyle name="Normal 2 4 5 3 5 2 3" xfId="12306" xr:uid="{8B251810-E2FC-476A-853F-716F98F5B9AC}"/>
    <cellStyle name="Normal 2 4 5 3 5 3" xfId="5940" xr:uid="{00000000-0005-0000-0000-0000A6100000}"/>
    <cellStyle name="Normal 2 4 5 3 5 3 2" xfId="14379" xr:uid="{21ABCB4D-DC1D-4BA3-9C19-620C5D33575B}"/>
    <cellStyle name="Normal 2 4 5 3 5 4" xfId="10161" xr:uid="{C9740189-5297-4F2D-8797-3B4840D66D04}"/>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2B953B59-1B5A-4005-9F53-F3C29D83C6C6}"/>
    <cellStyle name="Normal 2 4 5 3 6 2 3" xfId="12719" xr:uid="{40586D10-4021-4C32-8A18-ED4AE0CA6703}"/>
    <cellStyle name="Normal 2 4 5 3 6 3" xfId="6353" xr:uid="{00000000-0005-0000-0000-0000AA100000}"/>
    <cellStyle name="Normal 2 4 5 3 6 3 2" xfId="14792" xr:uid="{0BC59E4B-82D2-4814-83FD-EA271A2A04E6}"/>
    <cellStyle name="Normal 2 4 5 3 6 4" xfId="10574" xr:uid="{9B3B6FE6-F653-41CA-B0FE-C1C16262D82C}"/>
    <cellStyle name="Normal 2 4 5 3 7" xfId="2482" xr:uid="{00000000-0005-0000-0000-0000AB100000}"/>
    <cellStyle name="Normal 2 4 5 3 7 2" xfId="6766" xr:uid="{00000000-0005-0000-0000-0000AC100000}"/>
    <cellStyle name="Normal 2 4 5 3 7 2 2" xfId="15205" xr:uid="{C8F328E8-47D2-4F63-B792-BFACAF7A1D17}"/>
    <cellStyle name="Normal 2 4 5 3 7 3" xfId="10987" xr:uid="{7F885900-A006-4815-AFF5-913865101913}"/>
    <cellStyle name="Normal 2 4 5 3 8" xfId="4700" xr:uid="{00000000-0005-0000-0000-0000AD100000}"/>
    <cellStyle name="Normal 2 4 5 3 8 2" xfId="13139" xr:uid="{3E89C8C4-4E28-43E9-A819-598786FED652}"/>
    <cellStyle name="Normal 2 4 5 3 9" xfId="8921" xr:uid="{0074FDAD-84E5-4A10-B5B4-E71AFF1ED6C6}"/>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6728FB13-EB69-4316-A74C-B1A1ECF5159E}"/>
    <cellStyle name="Normal 2 4 5 4 2 2 3" xfId="11482" xr:uid="{79F84DA3-CE01-4AA5-8D7C-0D3C2DFE5E1F}"/>
    <cellStyle name="Normal 2 4 5 4 2 3" xfId="5116" xr:uid="{00000000-0005-0000-0000-0000B2100000}"/>
    <cellStyle name="Normal 2 4 5 4 2 3 2" xfId="13555" xr:uid="{5F9E5BF7-0173-4FCE-9848-F426A7EF262C}"/>
    <cellStyle name="Normal 2 4 5 4 2 4" xfId="9337" xr:uid="{0E8618D1-0B14-4CB3-987D-492C6A0D982F}"/>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9984EEA7-441E-4836-B75D-904D319B86DA}"/>
    <cellStyle name="Normal 2 4 5 4 3 2 3" xfId="11895" xr:uid="{09312CA5-A21E-4ABB-814C-099AA194E75C}"/>
    <cellStyle name="Normal 2 4 5 4 3 3" xfId="5529" xr:uid="{00000000-0005-0000-0000-0000B6100000}"/>
    <cellStyle name="Normal 2 4 5 4 3 3 2" xfId="13968" xr:uid="{77B1D204-6B41-4E05-B548-7ABF4407ED6C}"/>
    <cellStyle name="Normal 2 4 5 4 3 4" xfId="9750" xr:uid="{10934CED-D9E5-4DBA-BCC7-FD286D8239C4}"/>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2D0785F5-7926-461A-923A-C09D5BA6741C}"/>
    <cellStyle name="Normal 2 4 5 4 4 2 3" xfId="12308" xr:uid="{8A162D35-68FA-4979-8FB1-2458B019C007}"/>
    <cellStyle name="Normal 2 4 5 4 4 3" xfId="5942" xr:uid="{00000000-0005-0000-0000-0000BA100000}"/>
    <cellStyle name="Normal 2 4 5 4 4 3 2" xfId="14381" xr:uid="{B34362FA-F254-4F4B-B665-7420F476E276}"/>
    <cellStyle name="Normal 2 4 5 4 4 4" xfId="10163" xr:uid="{46AB3800-0C30-4AF8-A3D7-565522848BF7}"/>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BC9403A4-E423-448B-B07C-061E2A376707}"/>
    <cellStyle name="Normal 2 4 5 4 5 2 3" xfId="12721" xr:uid="{C0A1FEE2-A96A-48B3-9AB0-D3259D93CA62}"/>
    <cellStyle name="Normal 2 4 5 4 5 3" xfId="6355" xr:uid="{00000000-0005-0000-0000-0000BE100000}"/>
    <cellStyle name="Normal 2 4 5 4 5 3 2" xfId="14794" xr:uid="{BA4FECC9-0D2E-4690-9BAA-26AB89A920DF}"/>
    <cellStyle name="Normal 2 4 5 4 5 4" xfId="10576" xr:uid="{AD6A8268-CFF8-44BE-9DF1-4B00CC8C7533}"/>
    <cellStyle name="Normal 2 4 5 4 6" xfId="2484" xr:uid="{00000000-0005-0000-0000-0000BF100000}"/>
    <cellStyle name="Normal 2 4 5 4 6 2" xfId="6768" xr:uid="{00000000-0005-0000-0000-0000C0100000}"/>
    <cellStyle name="Normal 2 4 5 4 6 2 2" xfId="15207" xr:uid="{0B81966B-388D-41F2-AA7F-8F40F59BBCE1}"/>
    <cellStyle name="Normal 2 4 5 4 6 3" xfId="10989" xr:uid="{5259DD3E-278B-4A84-B8C3-E9329845603E}"/>
    <cellStyle name="Normal 2 4 5 4 7" xfId="4702" xr:uid="{00000000-0005-0000-0000-0000C1100000}"/>
    <cellStyle name="Normal 2 4 5 4 7 2" xfId="13141" xr:uid="{48DEA0D6-DF30-4C47-B5A3-F10829C0AC03}"/>
    <cellStyle name="Normal 2 4 5 4 8" xfId="8923" xr:uid="{BFA39840-1E20-4E20-ADA9-A6582B7517B3}"/>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55575F75-5311-4708-B5EE-F2057922C457}"/>
    <cellStyle name="Normal 2 4 5 5 2 3" xfId="11475" xr:uid="{53057641-CB2D-40CF-BEF9-1C840D1045CB}"/>
    <cellStyle name="Normal 2 4 5 5 3" xfId="5109" xr:uid="{00000000-0005-0000-0000-0000C5100000}"/>
    <cellStyle name="Normal 2 4 5 5 3 2" xfId="13548" xr:uid="{B27F519E-7648-4E6F-8C17-4DFBC5598964}"/>
    <cellStyle name="Normal 2 4 5 5 4" xfId="9330" xr:uid="{45EAE2DA-6B6E-430F-9C9B-4956611F1481}"/>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43D2176E-1FD2-4A18-828E-48727C15BAE5}"/>
    <cellStyle name="Normal 2 4 5 6 2 3" xfId="11888" xr:uid="{BFE625BC-A5E3-4E61-A85E-C6C614AA5A5F}"/>
    <cellStyle name="Normal 2 4 5 6 3" xfId="5522" xr:uid="{00000000-0005-0000-0000-0000C9100000}"/>
    <cellStyle name="Normal 2 4 5 6 3 2" xfId="13961" xr:uid="{9F435FB1-8C1B-4482-9A57-000CC3897340}"/>
    <cellStyle name="Normal 2 4 5 6 4" xfId="9743" xr:uid="{FB0BD87F-9735-41EA-8A62-9C73A4CCCB72}"/>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18777AC7-F7F9-4ADC-B4C7-96779FBE4EA7}"/>
    <cellStyle name="Normal 2 4 5 7 2 3" xfId="12301" xr:uid="{141A33A9-CFE5-4AB3-9A5D-905EED23A38F}"/>
    <cellStyle name="Normal 2 4 5 7 3" xfId="5935" xr:uid="{00000000-0005-0000-0000-0000CD100000}"/>
    <cellStyle name="Normal 2 4 5 7 3 2" xfId="14374" xr:uid="{D301448D-086F-48BB-A2A2-C80BD6985365}"/>
    <cellStyle name="Normal 2 4 5 7 4" xfId="10156" xr:uid="{22AC625C-17C6-41C2-A44F-8841CA608B1A}"/>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EC29F646-086A-4A08-9697-1B229F8D31FE}"/>
    <cellStyle name="Normal 2 4 5 8 2 3" xfId="12714" xr:uid="{ABE71975-63BA-45FC-B5A3-54C42110DBD5}"/>
    <cellStyle name="Normal 2 4 5 8 3" xfId="6348" xr:uid="{00000000-0005-0000-0000-0000D1100000}"/>
    <cellStyle name="Normal 2 4 5 8 3 2" xfId="14787" xr:uid="{7F4BA026-9740-4400-8F02-A60EA67BBEA0}"/>
    <cellStyle name="Normal 2 4 5 8 4" xfId="10569" xr:uid="{942B7A06-4311-4746-88C5-75FC64D44BB6}"/>
    <cellStyle name="Normal 2 4 5 9" xfId="2477" xr:uid="{00000000-0005-0000-0000-0000D2100000}"/>
    <cellStyle name="Normal 2 4 5 9 2" xfId="6761" xr:uid="{00000000-0005-0000-0000-0000D3100000}"/>
    <cellStyle name="Normal 2 4 5 9 2 2" xfId="15200" xr:uid="{4B1C8AAA-F2BC-4BDE-A36A-4243738A2423}"/>
    <cellStyle name="Normal 2 4 5 9 3" xfId="10982" xr:uid="{24661054-D369-40FE-AB11-B9899430DFD9}"/>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3EC39C2A-AE73-4B54-B226-E20B40B1BF41}"/>
    <cellStyle name="Normal 2 4 7 2 2 2 3" xfId="11484" xr:uid="{180059A9-212B-412C-ADA4-4D8A112889D1}"/>
    <cellStyle name="Normal 2 4 7 2 2 3" xfId="5118" xr:uid="{00000000-0005-0000-0000-0000DA100000}"/>
    <cellStyle name="Normal 2 4 7 2 2 3 2" xfId="13557" xr:uid="{4F38D7F8-ACAF-4B5A-8C7F-C8F7566CAD44}"/>
    <cellStyle name="Normal 2 4 7 2 2 4" xfId="9339" xr:uid="{AA44B9B6-2785-4BE7-A76E-4B56D919C0D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EC36C6D6-4F87-451C-ADB9-F38992260BEA}"/>
    <cellStyle name="Normal 2 4 7 2 3 2 3" xfId="11897" xr:uid="{AEC3BBA3-0CFB-4902-AA8E-377AB612D8B5}"/>
    <cellStyle name="Normal 2 4 7 2 3 3" xfId="5531" xr:uid="{00000000-0005-0000-0000-0000DE100000}"/>
    <cellStyle name="Normal 2 4 7 2 3 3 2" xfId="13970" xr:uid="{3088E579-4DC8-43CD-A08F-AD885709F890}"/>
    <cellStyle name="Normal 2 4 7 2 3 4" xfId="9752" xr:uid="{A01A8AC6-7136-4B5A-A2E3-DBC26EBE9440}"/>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CD8A9CC9-77F7-4EDD-8555-759AA80A6828}"/>
    <cellStyle name="Normal 2 4 7 2 4 2 3" xfId="12310" xr:uid="{9BA7E998-188D-4D5F-82E8-0F0AB511BC32}"/>
    <cellStyle name="Normal 2 4 7 2 4 3" xfId="5944" xr:uid="{00000000-0005-0000-0000-0000E2100000}"/>
    <cellStyle name="Normal 2 4 7 2 4 3 2" xfId="14383" xr:uid="{336A83AF-E312-45A4-92A6-BA80AD30BE85}"/>
    <cellStyle name="Normal 2 4 7 2 4 4" xfId="10165" xr:uid="{2677C186-E714-4A9C-94C1-DDCE0995DB1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0DF2FEAC-6AE8-4B7F-8060-027D12E4C367}"/>
    <cellStyle name="Normal 2 4 7 2 5 2 3" xfId="12723" xr:uid="{9924BA12-D7FF-4677-AA18-1FE6EDCF821E}"/>
    <cellStyle name="Normal 2 4 7 2 5 3" xfId="6357" xr:uid="{00000000-0005-0000-0000-0000E6100000}"/>
    <cellStyle name="Normal 2 4 7 2 5 3 2" xfId="14796" xr:uid="{2EF69B8A-4753-40F1-BBD1-D86C0BCCAA2C}"/>
    <cellStyle name="Normal 2 4 7 2 5 4" xfId="10578" xr:uid="{3DEF7210-7958-45A4-AD3F-B0A9528793EA}"/>
    <cellStyle name="Normal 2 4 7 2 6" xfId="2486" xr:uid="{00000000-0005-0000-0000-0000E7100000}"/>
    <cellStyle name="Normal 2 4 7 2 6 2" xfId="6770" xr:uid="{00000000-0005-0000-0000-0000E8100000}"/>
    <cellStyle name="Normal 2 4 7 2 6 2 2" xfId="15209" xr:uid="{F90EADAD-94B6-4D1B-8394-B3678EC2C347}"/>
    <cellStyle name="Normal 2 4 7 2 6 3" xfId="10991" xr:uid="{1AAEECD6-FC69-44DF-94ED-FA8F3D716D09}"/>
    <cellStyle name="Normal 2 4 7 2 7" xfId="4704" xr:uid="{00000000-0005-0000-0000-0000E9100000}"/>
    <cellStyle name="Normal 2 4 7 2 7 2" xfId="13143" xr:uid="{656BB665-5CFC-431F-AB30-BC42DDAD6C1B}"/>
    <cellStyle name="Normal 2 4 7 2 8" xfId="8925" xr:uid="{FBF41399-DEC4-4DAD-B164-D5233408DE0F}"/>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DD237654-B699-44B3-99B5-8654EB9E6199}"/>
    <cellStyle name="Normal 2 4 7 3 2 3" xfId="11483" xr:uid="{019377B9-3909-45B2-8228-8E9C7AEEB69E}"/>
    <cellStyle name="Normal 2 4 7 3 3" xfId="5117" xr:uid="{00000000-0005-0000-0000-0000ED100000}"/>
    <cellStyle name="Normal 2 4 7 3 3 2" xfId="13556" xr:uid="{194B83E5-B76E-498B-93C3-124BAE7FFB69}"/>
    <cellStyle name="Normal 2 4 7 3 4" xfId="9338" xr:uid="{5533B53F-A8F5-4488-A618-5E0BA162EA9D}"/>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17BBAD7F-F9AB-4237-A458-C4EEA74D96D3}"/>
    <cellStyle name="Normal 2 4 7 4 2 3" xfId="11896" xr:uid="{0FCC68FE-06AA-411C-B6B7-0B58D20DD56E}"/>
    <cellStyle name="Normal 2 4 7 4 3" xfId="5530" xr:uid="{00000000-0005-0000-0000-0000F1100000}"/>
    <cellStyle name="Normal 2 4 7 4 3 2" xfId="13969" xr:uid="{40638FB9-7141-4BB8-A42B-8FE83D71D5F0}"/>
    <cellStyle name="Normal 2 4 7 4 4" xfId="9751" xr:uid="{9728B0BD-892F-414B-BD3E-DE9E15B8928A}"/>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99E45CE0-AFCE-4621-8E49-24FE12A3B23D}"/>
    <cellStyle name="Normal 2 4 7 5 2 3" xfId="12309" xr:uid="{A5527DEA-2064-4C38-9EFA-0EE82BC4BC4C}"/>
    <cellStyle name="Normal 2 4 7 5 3" xfId="5943" xr:uid="{00000000-0005-0000-0000-0000F5100000}"/>
    <cellStyle name="Normal 2 4 7 5 3 2" xfId="14382" xr:uid="{93FBE35A-0084-42FA-84AA-626E43B97AC6}"/>
    <cellStyle name="Normal 2 4 7 5 4" xfId="10164" xr:uid="{9B94FA56-B2E0-42FE-A7A6-980579C6CE92}"/>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12C98E20-4162-4906-AD75-765E3BE4B659}"/>
    <cellStyle name="Normal 2 4 7 6 2 3" xfId="12722" xr:uid="{C626774D-5C2E-4D43-9B77-391D8097519D}"/>
    <cellStyle name="Normal 2 4 7 6 3" xfId="6356" xr:uid="{00000000-0005-0000-0000-0000F9100000}"/>
    <cellStyle name="Normal 2 4 7 6 3 2" xfId="14795" xr:uid="{B7244D48-A5E8-4E52-B617-BB14E85E80D4}"/>
    <cellStyle name="Normal 2 4 7 6 4" xfId="10577" xr:uid="{262685BD-5772-4E34-9D95-2A795FA314FD}"/>
    <cellStyle name="Normal 2 4 7 7" xfId="2485" xr:uid="{00000000-0005-0000-0000-0000FA100000}"/>
    <cellStyle name="Normal 2 4 7 7 2" xfId="6769" xr:uid="{00000000-0005-0000-0000-0000FB100000}"/>
    <cellStyle name="Normal 2 4 7 7 2 2" xfId="15208" xr:uid="{AC1CD269-DA63-4550-B07B-779164C0DC71}"/>
    <cellStyle name="Normal 2 4 7 7 3" xfId="10990" xr:uid="{87597F42-153C-45BC-92A2-6298EE85155B}"/>
    <cellStyle name="Normal 2 4 7 8" xfId="4703" xr:uid="{00000000-0005-0000-0000-0000FC100000}"/>
    <cellStyle name="Normal 2 4 7 8 2" xfId="13142" xr:uid="{21D98BD5-3D9B-4902-A8F2-80C1A00E912A}"/>
    <cellStyle name="Normal 2 4 7 9" xfId="8924" xr:uid="{8E483439-37B0-4177-BDE8-3986A47A6FA3}"/>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71C73808-9EF2-4E38-AE94-A6C39E6D2E93}"/>
    <cellStyle name="Normal 2 4 8 2 2 3" xfId="11485" xr:uid="{DF1AC705-AD2D-4330-B3AD-5FFD0726E1AC}"/>
    <cellStyle name="Normal 2 4 8 2 3" xfId="5119" xr:uid="{00000000-0005-0000-0000-000001110000}"/>
    <cellStyle name="Normal 2 4 8 2 3 2" xfId="13558" xr:uid="{B9D3B23F-70D9-442E-8B14-B113585BAFF8}"/>
    <cellStyle name="Normal 2 4 8 2 4" xfId="9340" xr:uid="{41469B08-D9DC-4DEA-863F-B0302CC2076F}"/>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2E12AB04-8452-4EF1-8AD7-DB9BC27C76A4}"/>
    <cellStyle name="Normal 2 4 8 3 2 3" xfId="11898" xr:uid="{0D52BF9F-859B-4793-9502-5DE213F20F70}"/>
    <cellStyle name="Normal 2 4 8 3 3" xfId="5532" xr:uid="{00000000-0005-0000-0000-000005110000}"/>
    <cellStyle name="Normal 2 4 8 3 3 2" xfId="13971" xr:uid="{EE24A20D-9016-406C-AEDA-CAD9B0175070}"/>
    <cellStyle name="Normal 2 4 8 3 4" xfId="9753" xr:uid="{D2F9A432-45BE-49BB-8002-FA9E234FDC30}"/>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CC16DDE8-89A2-4ADD-861D-91601A522B1A}"/>
    <cellStyle name="Normal 2 4 8 4 2 3" xfId="12311" xr:uid="{D3C7B8EF-E024-4F3B-BECA-689BBD9DC6CF}"/>
    <cellStyle name="Normal 2 4 8 4 3" xfId="5945" xr:uid="{00000000-0005-0000-0000-000009110000}"/>
    <cellStyle name="Normal 2 4 8 4 3 2" xfId="14384" xr:uid="{8B0531BF-1914-4DC5-A3B8-081A0930B213}"/>
    <cellStyle name="Normal 2 4 8 4 4" xfId="10166" xr:uid="{6A57C22E-19AE-4419-AC38-0FBFCD525166}"/>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BE8649BC-D726-4D3E-AB4A-5461A68598B1}"/>
    <cellStyle name="Normal 2 4 8 5 2 3" xfId="12724" xr:uid="{BED6E166-C8AB-43A9-B1F5-23F39D8ABFFA}"/>
    <cellStyle name="Normal 2 4 8 5 3" xfId="6358" xr:uid="{00000000-0005-0000-0000-00000D110000}"/>
    <cellStyle name="Normal 2 4 8 5 3 2" xfId="14797" xr:uid="{9F99E77E-2179-45AD-B701-4112F9FD0E82}"/>
    <cellStyle name="Normal 2 4 8 5 4" xfId="10579" xr:uid="{27C999AE-2E63-45AF-8F7C-BA344F59309E}"/>
    <cellStyle name="Normal 2 4 8 6" xfId="2487" xr:uid="{00000000-0005-0000-0000-00000E110000}"/>
    <cellStyle name="Normal 2 4 8 6 2" xfId="6771" xr:uid="{00000000-0005-0000-0000-00000F110000}"/>
    <cellStyle name="Normal 2 4 8 6 2 2" xfId="15210" xr:uid="{0C333433-5128-4326-A64D-2FAA4E73B5EA}"/>
    <cellStyle name="Normal 2 4 8 6 3" xfId="10992" xr:uid="{5D76B284-C465-414B-A098-3160ADF1522F}"/>
    <cellStyle name="Normal 2 4 8 7" xfId="4705" xr:uid="{00000000-0005-0000-0000-000010110000}"/>
    <cellStyle name="Normal 2 4 8 7 2" xfId="13144" xr:uid="{92D646D7-EBDB-4049-82D7-8713BD66F761}"/>
    <cellStyle name="Normal 2 4 8 8" xfId="8926" xr:uid="{AEC778EC-074C-4704-B419-72FD661CB8BF}"/>
    <cellStyle name="Normal 2 5" xfId="315" xr:uid="{00000000-0005-0000-0000-000011110000}"/>
    <cellStyle name="Normal 2 5 10" xfId="4706" xr:uid="{00000000-0005-0000-0000-000012110000}"/>
    <cellStyle name="Normal 2 5 10 2" xfId="13145" xr:uid="{DEDFBAE3-3BE4-404A-9BB0-5D92C7544F6E}"/>
    <cellStyle name="Normal 2 5 11" xfId="8927" xr:uid="{73AF7003-DF52-4CCD-8DC8-39AB98D247C5}"/>
    <cellStyle name="Normal 2 5 2" xfId="316" xr:uid="{00000000-0005-0000-0000-000013110000}"/>
    <cellStyle name="Normal 2 5 3" xfId="317" xr:uid="{00000000-0005-0000-0000-000014110000}"/>
    <cellStyle name="Normal 2 5 4" xfId="318" xr:uid="{00000000-0005-0000-0000-000015110000}"/>
    <cellStyle name="Normal 2 5 4 10" xfId="8928" xr:uid="{9EF040AB-20F1-44FA-906A-64AD2049FB3F}"/>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E856DFE7-CFB1-48D8-9E27-829B92EC12A3}"/>
    <cellStyle name="Normal 2 5 4 2 2 2 2 3" xfId="11489" xr:uid="{737BDB3C-5148-4610-B9DD-90015582B29D}"/>
    <cellStyle name="Normal 2 5 4 2 2 2 3" xfId="5123" xr:uid="{00000000-0005-0000-0000-00001B110000}"/>
    <cellStyle name="Normal 2 5 4 2 2 2 3 2" xfId="13562" xr:uid="{293D25E7-589D-4A03-9AA8-84C6E6F633C6}"/>
    <cellStyle name="Normal 2 5 4 2 2 2 4" xfId="9344" xr:uid="{CBB2FD8A-CDCA-4B04-9D4B-F6C7C4559DA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BA236ABA-2789-4EB5-81D3-8252979701A1}"/>
    <cellStyle name="Normal 2 5 4 2 2 3 2 3" xfId="11902" xr:uid="{45AB726F-B1F9-4250-A006-3CC743E12312}"/>
    <cellStyle name="Normal 2 5 4 2 2 3 3" xfId="5536" xr:uid="{00000000-0005-0000-0000-00001F110000}"/>
    <cellStyle name="Normal 2 5 4 2 2 3 3 2" xfId="13975" xr:uid="{2216DABF-29B4-4DE3-940C-DA33D5234DDC}"/>
    <cellStyle name="Normal 2 5 4 2 2 3 4" xfId="9757" xr:uid="{5C1B8DC8-CA73-4A1F-A716-E422ED05387A}"/>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B9879840-61D8-4876-9D7E-B3B69D9FDE00}"/>
    <cellStyle name="Normal 2 5 4 2 2 4 2 3" xfId="12315" xr:uid="{3E49BC3E-FFD5-49ED-B2E0-E1E600BEB0C7}"/>
    <cellStyle name="Normal 2 5 4 2 2 4 3" xfId="5949" xr:uid="{00000000-0005-0000-0000-000023110000}"/>
    <cellStyle name="Normal 2 5 4 2 2 4 3 2" xfId="14388" xr:uid="{254FDAA1-9E14-4435-9677-96D4CE8DCC36}"/>
    <cellStyle name="Normal 2 5 4 2 2 4 4" xfId="10170" xr:uid="{C5606B98-344C-4DC0-B103-4F3D7F9588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3F9E3C1D-0246-43BE-AD7A-7C4F1C519AFA}"/>
    <cellStyle name="Normal 2 5 4 2 2 5 2 3" xfId="12728" xr:uid="{86E961A5-DAE3-4935-8F23-EB492FE8E74E}"/>
    <cellStyle name="Normal 2 5 4 2 2 5 3" xfId="6362" xr:uid="{00000000-0005-0000-0000-000027110000}"/>
    <cellStyle name="Normal 2 5 4 2 2 5 3 2" xfId="14801" xr:uid="{5711BE6A-DA3D-47DA-BC4D-89507EB52EB9}"/>
    <cellStyle name="Normal 2 5 4 2 2 5 4" xfId="10583" xr:uid="{C4B82972-9759-4579-95E2-893F77673A03}"/>
    <cellStyle name="Normal 2 5 4 2 2 6" xfId="2491" xr:uid="{00000000-0005-0000-0000-000028110000}"/>
    <cellStyle name="Normal 2 5 4 2 2 6 2" xfId="6775" xr:uid="{00000000-0005-0000-0000-000029110000}"/>
    <cellStyle name="Normal 2 5 4 2 2 6 2 2" xfId="15214" xr:uid="{FDB0D254-5EA3-463D-8757-AA83CC32C8F0}"/>
    <cellStyle name="Normal 2 5 4 2 2 6 3" xfId="10996" xr:uid="{9FC9E966-BCFD-44E7-A7A3-C06D4E409CAA}"/>
    <cellStyle name="Normal 2 5 4 2 2 7" xfId="4709" xr:uid="{00000000-0005-0000-0000-00002A110000}"/>
    <cellStyle name="Normal 2 5 4 2 2 7 2" xfId="13148" xr:uid="{507EC3BF-238D-4693-8D69-3DED06D4E301}"/>
    <cellStyle name="Normal 2 5 4 2 2 8" xfId="8930" xr:uid="{C679A511-0E43-4793-B169-5422863E11BE}"/>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787B7F67-C406-4C32-806D-23A0542CB3B7}"/>
    <cellStyle name="Normal 2 5 4 2 3 2 3" xfId="11488" xr:uid="{53E05F8F-9D5A-4555-811C-58BF6C12BB38}"/>
    <cellStyle name="Normal 2 5 4 2 3 3" xfId="5122" xr:uid="{00000000-0005-0000-0000-00002E110000}"/>
    <cellStyle name="Normal 2 5 4 2 3 3 2" xfId="13561" xr:uid="{4CFE409E-705E-44E6-AB10-182BBBAFA1B7}"/>
    <cellStyle name="Normal 2 5 4 2 3 4" xfId="9343" xr:uid="{DAE2A554-B1CC-4928-A458-7EA3A8DF2229}"/>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0F020C4B-62B3-4CAC-9D4A-AF96F7CC4260}"/>
    <cellStyle name="Normal 2 5 4 2 4 2 3" xfId="11901" xr:uid="{265A902A-A84F-40BC-98F5-95BE3E98AF5D}"/>
    <cellStyle name="Normal 2 5 4 2 4 3" xfId="5535" xr:uid="{00000000-0005-0000-0000-000032110000}"/>
    <cellStyle name="Normal 2 5 4 2 4 3 2" xfId="13974" xr:uid="{CADFB7A8-4895-4F0C-BCB1-E2CC3F338256}"/>
    <cellStyle name="Normal 2 5 4 2 4 4" xfId="9756" xr:uid="{31FF45A7-1615-4343-A918-1D583EA0DFE6}"/>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0C8CD84B-BD11-496B-84C9-7621C3702CA3}"/>
    <cellStyle name="Normal 2 5 4 2 5 2 3" xfId="12314" xr:uid="{CB1C3E00-F40D-4A28-A858-5393C0FE4703}"/>
    <cellStyle name="Normal 2 5 4 2 5 3" xfId="5948" xr:uid="{00000000-0005-0000-0000-000036110000}"/>
    <cellStyle name="Normal 2 5 4 2 5 3 2" xfId="14387" xr:uid="{7BCE8EC0-0328-45F2-8090-28D186BC83E9}"/>
    <cellStyle name="Normal 2 5 4 2 5 4" xfId="10169" xr:uid="{D6440FB2-542B-45F8-A825-C6D1A5D866BD}"/>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672EB4E6-1DB0-45D4-B785-B9FB16FA9324}"/>
    <cellStyle name="Normal 2 5 4 2 6 2 3" xfId="12727" xr:uid="{E39B5090-3CEA-4B44-ABE7-7E67C6B18DBD}"/>
    <cellStyle name="Normal 2 5 4 2 6 3" xfId="6361" xr:uid="{00000000-0005-0000-0000-00003A110000}"/>
    <cellStyle name="Normal 2 5 4 2 6 3 2" xfId="14800" xr:uid="{92938997-0F59-4834-85B6-4F9FFC4C440F}"/>
    <cellStyle name="Normal 2 5 4 2 6 4" xfId="10582" xr:uid="{D94234F5-6C0F-44B5-A5AF-5925ABA23C85}"/>
    <cellStyle name="Normal 2 5 4 2 7" xfId="2490" xr:uid="{00000000-0005-0000-0000-00003B110000}"/>
    <cellStyle name="Normal 2 5 4 2 7 2" xfId="6774" xr:uid="{00000000-0005-0000-0000-00003C110000}"/>
    <cellStyle name="Normal 2 5 4 2 7 2 2" xfId="15213" xr:uid="{5F0315C5-6075-417A-A6F4-F978C057EC9E}"/>
    <cellStyle name="Normal 2 5 4 2 7 3" xfId="10995" xr:uid="{73D0890B-A762-4876-A794-85F24AB131A2}"/>
    <cellStyle name="Normal 2 5 4 2 8" xfId="4708" xr:uid="{00000000-0005-0000-0000-00003D110000}"/>
    <cellStyle name="Normal 2 5 4 2 8 2" xfId="13147" xr:uid="{CE951451-B225-420A-B8FB-6618A56B9D9F}"/>
    <cellStyle name="Normal 2 5 4 2 9" xfId="8929" xr:uid="{AE41423B-4B83-4F9A-90D0-583034BCE176}"/>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B8A14BDD-70CE-4981-8624-A92000A917D7}"/>
    <cellStyle name="Normal 2 5 4 3 2 2 3" xfId="11490" xr:uid="{D0829859-FF17-46D9-BBA2-2C13841D70DE}"/>
    <cellStyle name="Normal 2 5 4 3 2 3" xfId="5124" xr:uid="{00000000-0005-0000-0000-000042110000}"/>
    <cellStyle name="Normal 2 5 4 3 2 3 2" xfId="13563" xr:uid="{36D5935F-3ED1-4FE9-A569-030400042CEC}"/>
    <cellStyle name="Normal 2 5 4 3 2 4" xfId="9345" xr:uid="{4E2CB115-ECB1-4935-86E2-9272F895C4C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6DBC9B0B-7F1C-4B7C-9F43-ADE1AB254399}"/>
    <cellStyle name="Normal 2 5 4 3 3 2 3" xfId="11903" xr:uid="{BCBF4DC8-DB26-4AFF-83B3-65CC13C0CC65}"/>
    <cellStyle name="Normal 2 5 4 3 3 3" xfId="5537" xr:uid="{00000000-0005-0000-0000-000046110000}"/>
    <cellStyle name="Normal 2 5 4 3 3 3 2" xfId="13976" xr:uid="{6FE11968-9037-4ED9-96C7-DD6CEC641FA8}"/>
    <cellStyle name="Normal 2 5 4 3 3 4" xfId="9758" xr:uid="{0497BF90-9C39-45EB-A8EF-06A40176E14D}"/>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887585E5-FF6E-42DA-842D-E13C99010A46}"/>
    <cellStyle name="Normal 2 5 4 3 4 2 3" xfId="12316" xr:uid="{5642C54B-DBC9-4298-9B5B-0F722F202B5F}"/>
    <cellStyle name="Normal 2 5 4 3 4 3" xfId="5950" xr:uid="{00000000-0005-0000-0000-00004A110000}"/>
    <cellStyle name="Normal 2 5 4 3 4 3 2" xfId="14389" xr:uid="{788E006C-D2EF-42C3-A7B7-E67B6FBA9293}"/>
    <cellStyle name="Normal 2 5 4 3 4 4" xfId="10171" xr:uid="{7104988C-4DF3-4FC6-8C64-2EEF8D2F5E84}"/>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AAA7919C-B40A-41FF-B697-E4564078D0AA}"/>
    <cellStyle name="Normal 2 5 4 3 5 2 3" xfId="12729" xr:uid="{DDE508C1-095A-4BF1-8EA0-5794F69D20DC}"/>
    <cellStyle name="Normal 2 5 4 3 5 3" xfId="6363" xr:uid="{00000000-0005-0000-0000-00004E110000}"/>
    <cellStyle name="Normal 2 5 4 3 5 3 2" xfId="14802" xr:uid="{5248612F-A4EB-4B0A-9D37-AD32F8CB253F}"/>
    <cellStyle name="Normal 2 5 4 3 5 4" xfId="10584" xr:uid="{10E0ED73-8581-42DC-9A72-74B1A7592517}"/>
    <cellStyle name="Normal 2 5 4 3 6" xfId="2492" xr:uid="{00000000-0005-0000-0000-00004F110000}"/>
    <cellStyle name="Normal 2 5 4 3 6 2" xfId="6776" xr:uid="{00000000-0005-0000-0000-000050110000}"/>
    <cellStyle name="Normal 2 5 4 3 6 2 2" xfId="15215" xr:uid="{246425BC-62C4-419B-AFAC-65FEBB4A7019}"/>
    <cellStyle name="Normal 2 5 4 3 6 3" xfId="10997" xr:uid="{9F291034-3475-49EE-B042-CD8FE4029F1A}"/>
    <cellStyle name="Normal 2 5 4 3 7" xfId="4710" xr:uid="{00000000-0005-0000-0000-000051110000}"/>
    <cellStyle name="Normal 2 5 4 3 7 2" xfId="13149" xr:uid="{F0D1B121-11FB-4174-B988-08F547432080}"/>
    <cellStyle name="Normal 2 5 4 3 8" xfId="8931" xr:uid="{6DBA402C-9C97-40DB-BE4F-70C7A94912F0}"/>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817F5C8D-6C50-4FDF-939E-EA18FBB69B05}"/>
    <cellStyle name="Normal 2 5 4 4 2 3" xfId="11487" xr:uid="{E35485F1-B0BA-4E7B-9A02-96DE9E98B039}"/>
    <cellStyle name="Normal 2 5 4 4 3" xfId="5121" xr:uid="{00000000-0005-0000-0000-000055110000}"/>
    <cellStyle name="Normal 2 5 4 4 3 2" xfId="13560" xr:uid="{9D506677-6878-4EA7-8CE9-0E830C79A0B5}"/>
    <cellStyle name="Normal 2 5 4 4 4" xfId="9342" xr:uid="{5F3B8D50-E2F7-46E9-AC8C-B1740E09666C}"/>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F56F4318-A600-4CDA-930E-1AFDC20884EE}"/>
    <cellStyle name="Normal 2 5 4 5 2 3" xfId="11900" xr:uid="{79D11367-0200-4707-95C5-9040B96994CE}"/>
    <cellStyle name="Normal 2 5 4 5 3" xfId="5534" xr:uid="{00000000-0005-0000-0000-000059110000}"/>
    <cellStyle name="Normal 2 5 4 5 3 2" xfId="13973" xr:uid="{107D7433-A3D0-45E6-B27F-8DA88C88F41B}"/>
    <cellStyle name="Normal 2 5 4 5 4" xfId="9755" xr:uid="{193D5F43-EC63-434D-B36A-637289552F39}"/>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7A6A3A87-EBB8-4851-9B1B-E87C414F7E45}"/>
    <cellStyle name="Normal 2 5 4 6 2 3" xfId="12313" xr:uid="{2768F29D-2357-4F31-A62B-9EDAFE7F395B}"/>
    <cellStyle name="Normal 2 5 4 6 3" xfId="5947" xr:uid="{00000000-0005-0000-0000-00005D110000}"/>
    <cellStyle name="Normal 2 5 4 6 3 2" xfId="14386" xr:uid="{B4C35AA3-F69A-4165-AC0D-D276509739CB}"/>
    <cellStyle name="Normal 2 5 4 6 4" xfId="10168" xr:uid="{E7670EC0-DC86-4A33-A681-0B4314739CF5}"/>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A11D59FB-EA74-499A-9E83-D963A141CAEB}"/>
    <cellStyle name="Normal 2 5 4 7 2 3" xfId="12726" xr:uid="{DC5004DD-DF59-4624-BD9C-DD44E17F4EE3}"/>
    <cellStyle name="Normal 2 5 4 7 3" xfId="6360" xr:uid="{00000000-0005-0000-0000-000061110000}"/>
    <cellStyle name="Normal 2 5 4 7 3 2" xfId="14799" xr:uid="{14F99F5E-9E47-480F-B0E1-2266629309D8}"/>
    <cellStyle name="Normal 2 5 4 7 4" xfId="10581" xr:uid="{BB495142-7DBC-4FCF-A944-91B1413346C8}"/>
    <cellStyle name="Normal 2 5 4 8" xfId="2489" xr:uid="{00000000-0005-0000-0000-000062110000}"/>
    <cellStyle name="Normal 2 5 4 8 2" xfId="6773" xr:uid="{00000000-0005-0000-0000-000063110000}"/>
    <cellStyle name="Normal 2 5 4 8 2 2" xfId="15212" xr:uid="{2FFB85B1-6227-423E-939F-D8AF13674FFC}"/>
    <cellStyle name="Normal 2 5 4 8 3" xfId="10994" xr:uid="{72A8454D-4B37-4850-A1CD-B0C1B8520C52}"/>
    <cellStyle name="Normal 2 5 4 9" xfId="4707" xr:uid="{00000000-0005-0000-0000-000064110000}"/>
    <cellStyle name="Normal 2 5 4 9 2" xfId="13146" xr:uid="{5D1893E5-DE21-4556-8A61-69DD9174F9A5}"/>
    <cellStyle name="Normal 2 5 5" xfId="803" xr:uid="{00000000-0005-0000-0000-000065110000}"/>
    <cellStyle name="Normal 2 5 5 2" xfId="3042" xr:uid="{00000000-0005-0000-0000-000066110000}"/>
    <cellStyle name="Normal 2 5 5 2 2" xfId="7265" xr:uid="{00000000-0005-0000-0000-000067110000}"/>
    <cellStyle name="Normal 2 5 5 2 2 2" xfId="15704" xr:uid="{260E76C9-DE2A-4BCC-93AE-3E7AC61817F1}"/>
    <cellStyle name="Normal 2 5 5 2 3" xfId="11486" xr:uid="{B93BF714-CC00-4763-B8CB-C48F214395FD}"/>
    <cellStyle name="Normal 2 5 5 3" xfId="5120" xr:uid="{00000000-0005-0000-0000-000068110000}"/>
    <cellStyle name="Normal 2 5 5 3 2" xfId="13559" xr:uid="{F40A16DE-1D61-408A-9F21-2DBF2FBDDE96}"/>
    <cellStyle name="Normal 2 5 5 4" xfId="9341" xr:uid="{93D7F17F-DB6F-481E-98DC-C89B496C2092}"/>
    <cellStyle name="Normal 2 5 6" xfId="1225" xr:uid="{00000000-0005-0000-0000-000069110000}"/>
    <cellStyle name="Normal 2 5 6 2" xfId="3455" xr:uid="{00000000-0005-0000-0000-00006A110000}"/>
    <cellStyle name="Normal 2 5 6 2 2" xfId="7678" xr:uid="{00000000-0005-0000-0000-00006B110000}"/>
    <cellStyle name="Normal 2 5 6 2 2 2" xfId="16117" xr:uid="{FE098618-AAD9-4639-933D-07007A17012F}"/>
    <cellStyle name="Normal 2 5 6 2 3" xfId="11899" xr:uid="{788DD05C-95F3-4E6D-BAFC-708F14812D6A}"/>
    <cellStyle name="Normal 2 5 6 3" xfId="5533" xr:uid="{00000000-0005-0000-0000-00006C110000}"/>
    <cellStyle name="Normal 2 5 6 3 2" xfId="13972" xr:uid="{4B16E1FA-A437-44D6-BE95-634ACA800618}"/>
    <cellStyle name="Normal 2 5 6 4" xfId="9754" xr:uid="{0F344C9F-4F5C-4242-B06F-41130DA01421}"/>
    <cellStyle name="Normal 2 5 7" xfId="1638" xr:uid="{00000000-0005-0000-0000-00006D110000}"/>
    <cellStyle name="Normal 2 5 7 2" xfId="3868" xr:uid="{00000000-0005-0000-0000-00006E110000}"/>
    <cellStyle name="Normal 2 5 7 2 2" xfId="8091" xr:uid="{00000000-0005-0000-0000-00006F110000}"/>
    <cellStyle name="Normal 2 5 7 2 2 2" xfId="16530" xr:uid="{B5534DE8-71C7-4561-B0A0-86872E1A5155}"/>
    <cellStyle name="Normal 2 5 7 2 3" xfId="12312" xr:uid="{F417733B-EACC-4797-949E-679E8D10EFE6}"/>
    <cellStyle name="Normal 2 5 7 3" xfId="5946" xr:uid="{00000000-0005-0000-0000-000070110000}"/>
    <cellStyle name="Normal 2 5 7 3 2" xfId="14385" xr:uid="{3DD129CC-A46F-4D08-B177-1BFFE04E7655}"/>
    <cellStyle name="Normal 2 5 7 4" xfId="10167" xr:uid="{C4C17747-7E84-4FDE-B03F-5AB432CDDB2B}"/>
    <cellStyle name="Normal 2 5 8" xfId="2052" xr:uid="{00000000-0005-0000-0000-000071110000}"/>
    <cellStyle name="Normal 2 5 8 2" xfId="4281" xr:uid="{00000000-0005-0000-0000-000072110000}"/>
    <cellStyle name="Normal 2 5 8 2 2" xfId="8504" xr:uid="{00000000-0005-0000-0000-000073110000}"/>
    <cellStyle name="Normal 2 5 8 2 2 2" xfId="16943" xr:uid="{19DCF796-BEC7-418A-AC46-B207E9569E5D}"/>
    <cellStyle name="Normal 2 5 8 2 3" xfId="12725" xr:uid="{2B104228-4586-4D94-8E9E-E2026AEAAF88}"/>
    <cellStyle name="Normal 2 5 8 3" xfId="6359" xr:uid="{00000000-0005-0000-0000-000074110000}"/>
    <cellStyle name="Normal 2 5 8 3 2" xfId="14798" xr:uid="{E5F5DED2-60BF-4792-AE0A-ED61F551321A}"/>
    <cellStyle name="Normal 2 5 8 4" xfId="10580" xr:uid="{81C26B62-A093-4968-B34C-AB463CE6BD0F}"/>
    <cellStyle name="Normal 2 5 9" xfId="2488" xr:uid="{00000000-0005-0000-0000-000075110000}"/>
    <cellStyle name="Normal 2 5 9 2" xfId="6772" xr:uid="{00000000-0005-0000-0000-000076110000}"/>
    <cellStyle name="Normal 2 5 9 2 2" xfId="15211" xr:uid="{92742B6A-3F0C-408C-A318-A6E2770B1D96}"/>
    <cellStyle name="Normal 2 5 9 3" xfId="10993" xr:uid="{0AAF872F-8561-4177-AB99-28773330F61C}"/>
    <cellStyle name="Normal 2 6" xfId="322" xr:uid="{00000000-0005-0000-0000-000077110000}"/>
    <cellStyle name="Normal 2 7" xfId="769" xr:uid="{00000000-0005-0000-0000-000078110000}"/>
    <cellStyle name="Normal 2 8" xfId="4495" xr:uid="{00000000-0005-0000-0000-000079110000}"/>
    <cellStyle name="Normal 2 8 2" xfId="12937" xr:uid="{5B02D4D7-1BEA-431B-9CDB-FDBBAD8202C7}"/>
    <cellStyle name="Normal 3" xfId="323" xr:uid="{00000000-0005-0000-0000-00007A110000}"/>
    <cellStyle name="Normal 3 2" xfId="324" xr:uid="{00000000-0005-0000-0000-00007B110000}"/>
    <cellStyle name="Normal 3 2 10" xfId="8932" xr:uid="{D4FA48D8-606C-441D-BE33-C1864BE49E62}"/>
    <cellStyle name="Normal 3 2 2" xfId="325" xr:uid="{00000000-0005-0000-0000-00007C110000}"/>
    <cellStyle name="Normal 3 2 2 2" xfId="810" xr:uid="{00000000-0005-0000-0000-00007D110000}"/>
    <cellStyle name="Normal 3 2 3" xfId="326" xr:uid="{00000000-0005-0000-0000-00007E110000}"/>
    <cellStyle name="Normal 3 2 3 10" xfId="8933" xr:uid="{88617462-6C12-475E-B67A-07A08A533A9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4486F752-374B-4608-87AB-029198DA13C0}"/>
    <cellStyle name="Normal 3 2 3 2 2 2 2 3" xfId="11494" xr:uid="{9CFAEEC3-999B-426B-8134-3E4111EB2713}"/>
    <cellStyle name="Normal 3 2 3 2 2 2 3" xfId="5128" xr:uid="{00000000-0005-0000-0000-000084110000}"/>
    <cellStyle name="Normal 3 2 3 2 2 2 3 2" xfId="13567" xr:uid="{9491F721-8210-4291-BC72-5641FF5BEDA8}"/>
    <cellStyle name="Normal 3 2 3 2 2 2 4" xfId="9349" xr:uid="{740BDEC9-DA2B-4CEF-AEFC-58788906FF5D}"/>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EF997B5D-3D5C-4F41-9FC0-C34EBF1DBF04}"/>
    <cellStyle name="Normal 3 2 3 2 2 3 2 3" xfId="11907" xr:uid="{2405F9C2-3FA3-4B28-B964-1BE4FC35E209}"/>
    <cellStyle name="Normal 3 2 3 2 2 3 3" xfId="5541" xr:uid="{00000000-0005-0000-0000-000088110000}"/>
    <cellStyle name="Normal 3 2 3 2 2 3 3 2" xfId="13980" xr:uid="{C6F5DC9B-7123-4253-B3C7-8BE08A4CC809}"/>
    <cellStyle name="Normal 3 2 3 2 2 3 4" xfId="9762" xr:uid="{2B127DE5-D061-45F6-B54D-8F052CB5C12B}"/>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9795A665-8409-4845-9FD9-2F1504D7900A}"/>
    <cellStyle name="Normal 3 2 3 2 2 4 2 3" xfId="12320" xr:uid="{AF268E64-874D-4345-BD02-3499E656308D}"/>
    <cellStyle name="Normal 3 2 3 2 2 4 3" xfId="5954" xr:uid="{00000000-0005-0000-0000-00008C110000}"/>
    <cellStyle name="Normal 3 2 3 2 2 4 3 2" xfId="14393" xr:uid="{503487A8-8906-419A-9256-83C05E71658A}"/>
    <cellStyle name="Normal 3 2 3 2 2 4 4" xfId="10175" xr:uid="{03FC2F5F-52C0-4112-99D9-EA49E29D8AE3}"/>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AEA0C617-4D61-4419-B32A-3F8D516E70B0}"/>
    <cellStyle name="Normal 3 2 3 2 2 5 2 3" xfId="12733" xr:uid="{4C6B348E-3CB9-4B90-BB8B-D2CDBFFA48D2}"/>
    <cellStyle name="Normal 3 2 3 2 2 5 3" xfId="6367" xr:uid="{00000000-0005-0000-0000-000090110000}"/>
    <cellStyle name="Normal 3 2 3 2 2 5 3 2" xfId="14806" xr:uid="{16F622BD-DDFC-4833-9525-22034C77DDCF}"/>
    <cellStyle name="Normal 3 2 3 2 2 5 4" xfId="10588" xr:uid="{D1B0FA5D-6108-4F0C-8BAD-8A62D9B1DF69}"/>
    <cellStyle name="Normal 3 2 3 2 2 6" xfId="2496" xr:uid="{00000000-0005-0000-0000-000091110000}"/>
    <cellStyle name="Normal 3 2 3 2 2 6 2" xfId="6780" xr:uid="{00000000-0005-0000-0000-000092110000}"/>
    <cellStyle name="Normal 3 2 3 2 2 6 2 2" xfId="15219" xr:uid="{A783C106-C737-484A-92F8-734128ADF4B3}"/>
    <cellStyle name="Normal 3 2 3 2 2 6 3" xfId="11001" xr:uid="{B7C85EDD-8AF1-4CA7-8478-23281FF38B85}"/>
    <cellStyle name="Normal 3 2 3 2 2 7" xfId="4714" xr:uid="{00000000-0005-0000-0000-000093110000}"/>
    <cellStyle name="Normal 3 2 3 2 2 7 2" xfId="13153" xr:uid="{3515A209-7976-4DC1-9DAA-6435619A8AFE}"/>
    <cellStyle name="Normal 3 2 3 2 2 8" xfId="8935" xr:uid="{C99E170C-4604-41B0-B1FB-54DB31902EE7}"/>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DA93DD5C-9243-490B-9138-392660279AC8}"/>
    <cellStyle name="Normal 3 2 3 2 3 2 3" xfId="11493" xr:uid="{BA49B436-ACE5-48B5-A95A-056DD2543BDA}"/>
    <cellStyle name="Normal 3 2 3 2 3 3" xfId="5127" xr:uid="{00000000-0005-0000-0000-000097110000}"/>
    <cellStyle name="Normal 3 2 3 2 3 3 2" xfId="13566" xr:uid="{7B9C59B6-A450-4BF2-A361-194A400FD10B}"/>
    <cellStyle name="Normal 3 2 3 2 3 4" xfId="9348" xr:uid="{ABF564A6-B5C7-4F9A-AE35-EF98E3D4EEEB}"/>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CB51F27B-FCBE-4C5C-A25C-675E8A34AF27}"/>
    <cellStyle name="Normal 3 2 3 2 4 2 3" xfId="11906" xr:uid="{877A7262-A1BE-475E-8C6C-8D1C077FB244}"/>
    <cellStyle name="Normal 3 2 3 2 4 3" xfId="5540" xr:uid="{00000000-0005-0000-0000-00009B110000}"/>
    <cellStyle name="Normal 3 2 3 2 4 3 2" xfId="13979" xr:uid="{3E36497A-1D08-4A2F-BBB9-7816FAEC32CE}"/>
    <cellStyle name="Normal 3 2 3 2 4 4" xfId="9761" xr:uid="{60CA2A7D-B16F-491B-A5A3-C225EEC3B84B}"/>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A66A009B-AA63-4247-8B6F-2D2E80EA9197}"/>
    <cellStyle name="Normal 3 2 3 2 5 2 3" xfId="12319" xr:uid="{D632FA22-9E4D-432F-83FB-62D14690715C}"/>
    <cellStyle name="Normal 3 2 3 2 5 3" xfId="5953" xr:uid="{00000000-0005-0000-0000-00009F110000}"/>
    <cellStyle name="Normal 3 2 3 2 5 3 2" xfId="14392" xr:uid="{0D5FD9FA-3279-4A89-B87D-E2463CBF0D34}"/>
    <cellStyle name="Normal 3 2 3 2 5 4" xfId="10174" xr:uid="{706E5158-36D4-4DC7-9FB5-5CE6E5B87F57}"/>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C71D5359-9205-496B-8911-D8DCEDCCD6C7}"/>
    <cellStyle name="Normal 3 2 3 2 6 2 3" xfId="12732" xr:uid="{85BBADA4-79CC-4B46-A58A-3CA667752E30}"/>
    <cellStyle name="Normal 3 2 3 2 6 3" xfId="6366" xr:uid="{00000000-0005-0000-0000-0000A3110000}"/>
    <cellStyle name="Normal 3 2 3 2 6 3 2" xfId="14805" xr:uid="{C4A5F3AC-F520-4AF0-B670-12459C5E41CC}"/>
    <cellStyle name="Normal 3 2 3 2 6 4" xfId="10587" xr:uid="{9FF89BC7-22C4-4BDB-971A-E959D2497435}"/>
    <cellStyle name="Normal 3 2 3 2 7" xfId="2495" xr:uid="{00000000-0005-0000-0000-0000A4110000}"/>
    <cellStyle name="Normal 3 2 3 2 7 2" xfId="6779" xr:uid="{00000000-0005-0000-0000-0000A5110000}"/>
    <cellStyle name="Normal 3 2 3 2 7 2 2" xfId="15218" xr:uid="{13163DCD-2B6B-4A33-B65B-0163575F0C1A}"/>
    <cellStyle name="Normal 3 2 3 2 7 3" xfId="11000" xr:uid="{D02875F5-17B9-4F95-93B9-1186D04A5ABD}"/>
    <cellStyle name="Normal 3 2 3 2 8" xfId="4713" xr:uid="{00000000-0005-0000-0000-0000A6110000}"/>
    <cellStyle name="Normal 3 2 3 2 8 2" xfId="13152" xr:uid="{354B9F1F-493E-4786-9C15-2A64F7113C4C}"/>
    <cellStyle name="Normal 3 2 3 2 9" xfId="8934" xr:uid="{4BB7F3DC-88D2-49F4-9A7C-EAEBB1F96E4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2BACCF00-0073-4EC1-9C53-850077F20ABF}"/>
    <cellStyle name="Normal 3 2 3 3 2 2 3" xfId="11495" xr:uid="{A351F42B-207D-4DA5-99D1-ADCBAB4B2370}"/>
    <cellStyle name="Normal 3 2 3 3 2 3" xfId="5129" xr:uid="{00000000-0005-0000-0000-0000AB110000}"/>
    <cellStyle name="Normal 3 2 3 3 2 3 2" xfId="13568" xr:uid="{A6EDA22D-AC54-4EE8-9AFD-99C88B9CA0A3}"/>
    <cellStyle name="Normal 3 2 3 3 2 4" xfId="9350" xr:uid="{2753656A-033B-4855-9413-A83D5779E3E7}"/>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99E12D4F-A68E-4E45-917F-A3021C43D5B0}"/>
    <cellStyle name="Normal 3 2 3 3 3 2 3" xfId="11908" xr:uid="{DA96B66F-692B-496A-9B54-2C63DF5D5BC0}"/>
    <cellStyle name="Normal 3 2 3 3 3 3" xfId="5542" xr:uid="{00000000-0005-0000-0000-0000AF110000}"/>
    <cellStyle name="Normal 3 2 3 3 3 3 2" xfId="13981" xr:uid="{D9D579AD-FF88-435E-86D7-190B088E8EEB}"/>
    <cellStyle name="Normal 3 2 3 3 3 4" xfId="9763" xr:uid="{599FC992-AF69-4363-8BDB-AF575DB5BE4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79405A65-D8DF-47B6-9A5E-50DF0D124116}"/>
    <cellStyle name="Normal 3 2 3 3 4 2 3" xfId="12321" xr:uid="{1460803C-BC92-4F27-A9B8-6115979BB5E4}"/>
    <cellStyle name="Normal 3 2 3 3 4 3" xfId="5955" xr:uid="{00000000-0005-0000-0000-0000B3110000}"/>
    <cellStyle name="Normal 3 2 3 3 4 3 2" xfId="14394" xr:uid="{2CC55170-8BA2-4777-824F-1048563D362A}"/>
    <cellStyle name="Normal 3 2 3 3 4 4" xfId="10176" xr:uid="{7FC538F8-D410-48D0-8CA0-7D8935B58A98}"/>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A36C8119-8641-490C-8A8F-C58F6047B8E6}"/>
    <cellStyle name="Normal 3 2 3 3 5 2 3" xfId="12734" xr:uid="{C0C98606-B02A-4FBA-9A31-405C47CA6AAF}"/>
    <cellStyle name="Normal 3 2 3 3 5 3" xfId="6368" xr:uid="{00000000-0005-0000-0000-0000B7110000}"/>
    <cellStyle name="Normal 3 2 3 3 5 3 2" xfId="14807" xr:uid="{F805EE2F-A0EF-47DE-95C7-3D3A2EEE3557}"/>
    <cellStyle name="Normal 3 2 3 3 5 4" xfId="10589" xr:uid="{2D666088-1207-44B2-943B-1779CE0BB7DB}"/>
    <cellStyle name="Normal 3 2 3 3 6" xfId="2497" xr:uid="{00000000-0005-0000-0000-0000B8110000}"/>
    <cellStyle name="Normal 3 2 3 3 6 2" xfId="6781" xr:uid="{00000000-0005-0000-0000-0000B9110000}"/>
    <cellStyle name="Normal 3 2 3 3 6 2 2" xfId="15220" xr:uid="{5596C499-747E-43D4-9E50-886CE6988E86}"/>
    <cellStyle name="Normal 3 2 3 3 6 3" xfId="11002" xr:uid="{5E99114E-58DD-42EF-B0B0-AB405CAD4E04}"/>
    <cellStyle name="Normal 3 2 3 3 7" xfId="4715" xr:uid="{00000000-0005-0000-0000-0000BA110000}"/>
    <cellStyle name="Normal 3 2 3 3 7 2" xfId="13154" xr:uid="{786591E5-5D29-4AC5-9A20-959CC6531CF2}"/>
    <cellStyle name="Normal 3 2 3 3 8" xfId="8936" xr:uid="{40C24286-3F90-4B85-8A50-89D4B562C28F}"/>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53E02E09-76EB-4717-9B70-CED14F768766}"/>
    <cellStyle name="Normal 3 2 3 4 2 3" xfId="11492" xr:uid="{51AB56DE-6379-4BAD-9667-A952A076A0B0}"/>
    <cellStyle name="Normal 3 2 3 4 3" xfId="5126" xr:uid="{00000000-0005-0000-0000-0000BE110000}"/>
    <cellStyle name="Normal 3 2 3 4 3 2" xfId="13565" xr:uid="{C9B7C2FC-70BE-4E73-9792-E406476F4940}"/>
    <cellStyle name="Normal 3 2 3 4 4" xfId="9347" xr:uid="{1A601731-4F23-41A3-BE91-831B68ED9D3D}"/>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C54DF578-8508-431A-AE69-3A36ACBE363F}"/>
    <cellStyle name="Normal 3 2 3 5 2 3" xfId="11905" xr:uid="{960772F3-8B46-43C5-8F13-DF81AE40585D}"/>
    <cellStyle name="Normal 3 2 3 5 3" xfId="5539" xr:uid="{00000000-0005-0000-0000-0000C2110000}"/>
    <cellStyle name="Normal 3 2 3 5 3 2" xfId="13978" xr:uid="{06ABBAA7-968A-4BBC-AEDB-EECDDA11C019}"/>
    <cellStyle name="Normal 3 2 3 5 4" xfId="9760" xr:uid="{B80C488B-3E58-4DD6-B9AD-E47B6C1B39D3}"/>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AE04FD0F-1683-4A93-A05F-B8D7A3420316}"/>
    <cellStyle name="Normal 3 2 3 6 2 3" xfId="12318" xr:uid="{60595089-9334-495F-9D39-C0BE5AEBFDF7}"/>
    <cellStyle name="Normal 3 2 3 6 3" xfId="5952" xr:uid="{00000000-0005-0000-0000-0000C6110000}"/>
    <cellStyle name="Normal 3 2 3 6 3 2" xfId="14391" xr:uid="{DF9FE1EA-1D25-4C40-B404-94335BC9683B}"/>
    <cellStyle name="Normal 3 2 3 6 4" xfId="10173" xr:uid="{DEBCAF23-0020-4286-9BF2-0A430F17D3D9}"/>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19281F05-6A6A-4D0A-8176-FBCF54C2A90A}"/>
    <cellStyle name="Normal 3 2 3 7 2 3" xfId="12731" xr:uid="{5EDC6C90-EEB5-4C28-AB65-AFFCD3C31EA3}"/>
    <cellStyle name="Normal 3 2 3 7 3" xfId="6365" xr:uid="{00000000-0005-0000-0000-0000CA110000}"/>
    <cellStyle name="Normal 3 2 3 7 3 2" xfId="14804" xr:uid="{3538DD4C-738B-4EC9-9D83-7076EE24F84B}"/>
    <cellStyle name="Normal 3 2 3 7 4" xfId="10586" xr:uid="{555B2019-9E3D-415E-A569-F2D9AE2F7C4B}"/>
    <cellStyle name="Normal 3 2 3 8" xfId="2494" xr:uid="{00000000-0005-0000-0000-0000CB110000}"/>
    <cellStyle name="Normal 3 2 3 8 2" xfId="6778" xr:uid="{00000000-0005-0000-0000-0000CC110000}"/>
    <cellStyle name="Normal 3 2 3 8 2 2" xfId="15217" xr:uid="{F177E7FE-8B3E-4594-8B8C-2A27B953632E}"/>
    <cellStyle name="Normal 3 2 3 8 3" xfId="10999" xr:uid="{0FC5CA9C-0562-4B03-82D6-4BA5DDF81668}"/>
    <cellStyle name="Normal 3 2 3 9" xfId="4712" xr:uid="{00000000-0005-0000-0000-0000CD110000}"/>
    <cellStyle name="Normal 3 2 3 9 2" xfId="13151" xr:uid="{7BD48BE8-8B43-48CC-8D07-7D93FD3FC885}"/>
    <cellStyle name="Normal 3 2 4" xfId="809" xr:uid="{00000000-0005-0000-0000-0000CE110000}"/>
    <cellStyle name="Normal 3 2 4 2" xfId="3047" xr:uid="{00000000-0005-0000-0000-0000CF110000}"/>
    <cellStyle name="Normal 3 2 4 2 2" xfId="7270" xr:uid="{00000000-0005-0000-0000-0000D0110000}"/>
    <cellStyle name="Normal 3 2 4 2 2 2" xfId="15709" xr:uid="{F282F78B-A159-4F9D-90DF-B4E0DCCD5A01}"/>
    <cellStyle name="Normal 3 2 4 2 3" xfId="11491" xr:uid="{2B5D763F-3A93-4F56-8E44-3400CF874AD7}"/>
    <cellStyle name="Normal 3 2 4 3" xfId="5125" xr:uid="{00000000-0005-0000-0000-0000D1110000}"/>
    <cellStyle name="Normal 3 2 4 3 2" xfId="13564" xr:uid="{AD4A5BB3-DC5B-4D96-8EC0-1C195F2BAFF9}"/>
    <cellStyle name="Normal 3 2 4 4" xfId="9346" xr:uid="{B8B2B49F-A200-42A8-9E46-007E5FC48B0C}"/>
    <cellStyle name="Normal 3 2 5" xfId="1230" xr:uid="{00000000-0005-0000-0000-0000D2110000}"/>
    <cellStyle name="Normal 3 2 5 2" xfId="3460" xr:uid="{00000000-0005-0000-0000-0000D3110000}"/>
    <cellStyle name="Normal 3 2 5 2 2" xfId="7683" xr:uid="{00000000-0005-0000-0000-0000D4110000}"/>
    <cellStyle name="Normal 3 2 5 2 2 2" xfId="16122" xr:uid="{2F27A15F-3AA3-4B53-95B1-29072DB7B00E}"/>
    <cellStyle name="Normal 3 2 5 2 3" xfId="11904" xr:uid="{DCD5C449-368A-4777-8232-ADE5DB1AB0AF}"/>
    <cellStyle name="Normal 3 2 5 3" xfId="5538" xr:uid="{00000000-0005-0000-0000-0000D5110000}"/>
    <cellStyle name="Normal 3 2 5 3 2" xfId="13977" xr:uid="{FB6AC228-CD25-4C58-915C-8AC64B398825}"/>
    <cellStyle name="Normal 3 2 5 4" xfId="9759" xr:uid="{583E15C1-105A-489B-BF6B-6FE5D4A83471}"/>
    <cellStyle name="Normal 3 2 6" xfId="1643" xr:uid="{00000000-0005-0000-0000-0000D6110000}"/>
    <cellStyle name="Normal 3 2 6 2" xfId="3873" xr:uid="{00000000-0005-0000-0000-0000D7110000}"/>
    <cellStyle name="Normal 3 2 6 2 2" xfId="8096" xr:uid="{00000000-0005-0000-0000-0000D8110000}"/>
    <cellStyle name="Normal 3 2 6 2 2 2" xfId="16535" xr:uid="{3D636B41-4D48-4618-BE39-A03D7523D6EF}"/>
    <cellStyle name="Normal 3 2 6 2 3" xfId="12317" xr:uid="{B1F71991-5822-4F7F-94EB-378988373060}"/>
    <cellStyle name="Normal 3 2 6 3" xfId="5951" xr:uid="{00000000-0005-0000-0000-0000D9110000}"/>
    <cellStyle name="Normal 3 2 6 3 2" xfId="14390" xr:uid="{770DD7D5-45BB-4A24-88EB-78F9C896B25D}"/>
    <cellStyle name="Normal 3 2 6 4" xfId="10172" xr:uid="{95BEDFA9-20E6-4A03-8BA7-B9807C8B5C62}"/>
    <cellStyle name="Normal 3 2 7" xfId="2057" xr:uid="{00000000-0005-0000-0000-0000DA110000}"/>
    <cellStyle name="Normal 3 2 7 2" xfId="4286" xr:uid="{00000000-0005-0000-0000-0000DB110000}"/>
    <cellStyle name="Normal 3 2 7 2 2" xfId="8509" xr:uid="{00000000-0005-0000-0000-0000DC110000}"/>
    <cellStyle name="Normal 3 2 7 2 2 2" xfId="16948" xr:uid="{588EDBAB-729D-4865-9D28-6843B52E3FFE}"/>
    <cellStyle name="Normal 3 2 7 2 3" xfId="12730" xr:uid="{D0431250-78CB-4FF9-948F-4F4103C620E7}"/>
    <cellStyle name="Normal 3 2 7 3" xfId="6364" xr:uid="{00000000-0005-0000-0000-0000DD110000}"/>
    <cellStyle name="Normal 3 2 7 3 2" xfId="14803" xr:uid="{8BDBACC3-326D-4EEA-98FE-4160AD0BDC00}"/>
    <cellStyle name="Normal 3 2 7 4" xfId="10585" xr:uid="{F4850DA6-09EB-4E48-BA00-9523FD21ADDD}"/>
    <cellStyle name="Normal 3 2 8" xfId="2493" xr:uid="{00000000-0005-0000-0000-0000DE110000}"/>
    <cellStyle name="Normal 3 2 8 2" xfId="6777" xr:uid="{00000000-0005-0000-0000-0000DF110000}"/>
    <cellStyle name="Normal 3 2 8 2 2" xfId="15216" xr:uid="{AD24009E-A03B-478E-A8A4-51B0BC7D101F}"/>
    <cellStyle name="Normal 3 2 8 3" xfId="10998" xr:uid="{A4E19572-4294-43C6-BD34-ED355B0BFC9F}"/>
    <cellStyle name="Normal 3 2 9" xfId="4711" xr:uid="{00000000-0005-0000-0000-0000E0110000}"/>
    <cellStyle name="Normal 3 2 9 2" xfId="13150" xr:uid="{721BBAF5-5D3C-4B04-9AD4-528075EFDF9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C1095397-E72C-414E-8D7E-A76237CCF42F}"/>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99418FB8-C682-4AA6-B10F-EC78B951D73D}"/>
    <cellStyle name="Normal 4 2 2 10 2 3" xfId="12735" xr:uid="{4174959F-CB1B-4EDE-B5EF-F84E18C6F80A}"/>
    <cellStyle name="Normal 4 2 2 10 3" xfId="6369" xr:uid="{00000000-0005-0000-0000-0000ED110000}"/>
    <cellStyle name="Normal 4 2 2 10 3 2" xfId="14808" xr:uid="{A695FFC3-4E69-4566-8620-B813B8933797}"/>
    <cellStyle name="Normal 4 2 2 10 4" xfId="10590" xr:uid="{99D332F0-DDDD-4F3F-9B1D-AF57F85C90ED}"/>
    <cellStyle name="Normal 4 2 2 11" xfId="2498" xr:uid="{00000000-0005-0000-0000-0000EE110000}"/>
    <cellStyle name="Normal 4 2 2 11 2" xfId="6782" xr:uid="{00000000-0005-0000-0000-0000EF110000}"/>
    <cellStyle name="Normal 4 2 2 11 2 2" xfId="15221" xr:uid="{30F3B001-38DD-4CA3-8816-638123360E21}"/>
    <cellStyle name="Normal 4 2 2 11 3" xfId="11003" xr:uid="{9092CEC1-149D-4844-8B54-B333018C5E19}"/>
    <cellStyle name="Normal 4 2 2 12" xfId="4717" xr:uid="{00000000-0005-0000-0000-0000F0110000}"/>
    <cellStyle name="Normal 4 2 2 12 2" xfId="13156" xr:uid="{F754FE90-5FF4-4ECE-9527-23BC5C12EABB}"/>
    <cellStyle name="Normal 4 2 2 13" xfId="8938" xr:uid="{B309BF39-A9EE-47D4-8F0A-94997ABDB3FE}"/>
    <cellStyle name="Normal 4 2 2 2" xfId="338" xr:uid="{00000000-0005-0000-0000-0000F1110000}"/>
    <cellStyle name="Normal 4 2 2 3" xfId="339" xr:uid="{00000000-0005-0000-0000-0000F2110000}"/>
    <cellStyle name="Normal 4 2 2 3 10" xfId="4718" xr:uid="{00000000-0005-0000-0000-0000F3110000}"/>
    <cellStyle name="Normal 4 2 2 3 10 2" xfId="13157" xr:uid="{9A3DBCA8-2727-4945-B0CC-A66C852646E3}"/>
    <cellStyle name="Normal 4 2 2 3 11" xfId="8939" xr:uid="{20CDA8E3-42F7-465A-B38E-269CE2881660}"/>
    <cellStyle name="Normal 4 2 2 3 2" xfId="340" xr:uid="{00000000-0005-0000-0000-0000F4110000}"/>
    <cellStyle name="Normal 4 2 2 3 2 10" xfId="8940" xr:uid="{B0000E25-42FF-4545-B3E4-E3E94C690831}"/>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32585079-C77C-4909-B2A3-77627EC3D744}"/>
    <cellStyle name="Normal 4 2 2 3 2 2 2 2 2 3" xfId="11500" xr:uid="{494C6834-EB17-4F65-B5EC-CB49801CF8B2}"/>
    <cellStyle name="Normal 4 2 2 3 2 2 2 2 3" xfId="5134" xr:uid="{00000000-0005-0000-0000-0000FA110000}"/>
    <cellStyle name="Normal 4 2 2 3 2 2 2 2 3 2" xfId="13573" xr:uid="{F6B624C2-D0EB-4760-AA5C-01BB6CAA6ED3}"/>
    <cellStyle name="Normal 4 2 2 3 2 2 2 2 4" xfId="9355" xr:uid="{508AE526-A676-4A3C-B5D4-98D3000F1729}"/>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3B8BD386-138A-4B02-B2EF-8E0BE70B9B24}"/>
    <cellStyle name="Normal 4 2 2 3 2 2 2 3 2 3" xfId="11913" xr:uid="{90EE44E4-85A7-4B82-A7EF-F2E5FCE380B0}"/>
    <cellStyle name="Normal 4 2 2 3 2 2 2 3 3" xfId="5547" xr:uid="{00000000-0005-0000-0000-0000FE110000}"/>
    <cellStyle name="Normal 4 2 2 3 2 2 2 3 3 2" xfId="13986" xr:uid="{E8E05AEA-4B42-4E37-9D8C-192E6C7D0D7B}"/>
    <cellStyle name="Normal 4 2 2 3 2 2 2 3 4" xfId="9768" xr:uid="{AA8F56D2-0B0F-4B10-BDD2-5EC1C979538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EE1C5138-4224-448C-B10B-AFC2A38DD6FC}"/>
    <cellStyle name="Normal 4 2 2 3 2 2 2 4 2 3" xfId="12326" xr:uid="{C58E0D61-9A4E-4017-A448-DFCE438302E7}"/>
    <cellStyle name="Normal 4 2 2 3 2 2 2 4 3" xfId="5960" xr:uid="{00000000-0005-0000-0000-000002120000}"/>
    <cellStyle name="Normal 4 2 2 3 2 2 2 4 3 2" xfId="14399" xr:uid="{D0BD5BF6-76F0-4273-A056-4DE7D272AAE2}"/>
    <cellStyle name="Normal 4 2 2 3 2 2 2 4 4" xfId="10181" xr:uid="{B95B8C56-05DC-4999-B6D8-460808D0FFAB}"/>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8FEF1142-8D50-410D-978E-97D0B074A0E0}"/>
    <cellStyle name="Normal 4 2 2 3 2 2 2 5 2 3" xfId="12739" xr:uid="{89A4026B-0D82-4256-A23D-E0E30992A287}"/>
    <cellStyle name="Normal 4 2 2 3 2 2 2 5 3" xfId="6373" xr:uid="{00000000-0005-0000-0000-000006120000}"/>
    <cellStyle name="Normal 4 2 2 3 2 2 2 5 3 2" xfId="14812" xr:uid="{A6415539-0478-433E-908A-16F5E732E698}"/>
    <cellStyle name="Normal 4 2 2 3 2 2 2 5 4" xfId="10594" xr:uid="{2E7B2FB1-A71D-47E2-A3E2-FD069CB67953}"/>
    <cellStyle name="Normal 4 2 2 3 2 2 2 6" xfId="2502" xr:uid="{00000000-0005-0000-0000-000007120000}"/>
    <cellStyle name="Normal 4 2 2 3 2 2 2 6 2" xfId="6786" xr:uid="{00000000-0005-0000-0000-000008120000}"/>
    <cellStyle name="Normal 4 2 2 3 2 2 2 6 2 2" xfId="15225" xr:uid="{462BC09C-376A-4EEA-BE31-660C1300F1FE}"/>
    <cellStyle name="Normal 4 2 2 3 2 2 2 6 3" xfId="11007" xr:uid="{90586E23-9265-471A-A6A4-55BCB3E56D2B}"/>
    <cellStyle name="Normal 4 2 2 3 2 2 2 7" xfId="4721" xr:uid="{00000000-0005-0000-0000-000009120000}"/>
    <cellStyle name="Normal 4 2 2 3 2 2 2 7 2" xfId="13160" xr:uid="{C5436E2D-D5F1-4A78-8F6A-9D7DD7EEAED3}"/>
    <cellStyle name="Normal 4 2 2 3 2 2 2 8" xfId="8942" xr:uid="{041D9E71-0AE7-4E8F-8260-3C09D26E267D}"/>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50236F39-A726-4339-B06D-DF0BA0355705}"/>
    <cellStyle name="Normal 4 2 2 3 2 2 3 2 3" xfId="11499" xr:uid="{0770FB17-2387-4C2E-B0F5-06F716EB353C}"/>
    <cellStyle name="Normal 4 2 2 3 2 2 3 3" xfId="5133" xr:uid="{00000000-0005-0000-0000-00000D120000}"/>
    <cellStyle name="Normal 4 2 2 3 2 2 3 3 2" xfId="13572" xr:uid="{2B0F0903-4669-4F98-9B0F-BAF8844BD109}"/>
    <cellStyle name="Normal 4 2 2 3 2 2 3 4" xfId="9354" xr:uid="{1D96B0AF-90D8-424D-B8AB-B26C39727F0A}"/>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CE1B6C81-C1F3-4230-87E9-A335FE8F2C26}"/>
    <cellStyle name="Normal 4 2 2 3 2 2 4 2 3" xfId="11912" xr:uid="{6A27BAB5-1BB5-4CCA-BF3F-C2E61376FBEA}"/>
    <cellStyle name="Normal 4 2 2 3 2 2 4 3" xfId="5546" xr:uid="{00000000-0005-0000-0000-000011120000}"/>
    <cellStyle name="Normal 4 2 2 3 2 2 4 3 2" xfId="13985" xr:uid="{86B451B4-8EBB-4A18-BF8E-AB028A413005}"/>
    <cellStyle name="Normal 4 2 2 3 2 2 4 4" xfId="9767" xr:uid="{9807E675-A945-4F32-9306-4409224DD264}"/>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90B71191-800E-4397-A526-C50A51FDB27F}"/>
    <cellStyle name="Normal 4 2 2 3 2 2 5 2 3" xfId="12325" xr:uid="{5EA4B67D-97DE-4C36-A81E-074C6907F85B}"/>
    <cellStyle name="Normal 4 2 2 3 2 2 5 3" xfId="5959" xr:uid="{00000000-0005-0000-0000-000015120000}"/>
    <cellStyle name="Normal 4 2 2 3 2 2 5 3 2" xfId="14398" xr:uid="{C1CA7256-9431-47C5-B89B-D3DA59F6A447}"/>
    <cellStyle name="Normal 4 2 2 3 2 2 5 4" xfId="10180" xr:uid="{DA2BD9EE-663C-4039-A835-8EB23907E1C2}"/>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B98839F8-C67A-4B97-AB17-6AA464EE2B09}"/>
    <cellStyle name="Normal 4 2 2 3 2 2 6 2 3" xfId="12738" xr:uid="{1D0225A9-9E7A-43A7-9758-C2C02DF8E1D4}"/>
    <cellStyle name="Normal 4 2 2 3 2 2 6 3" xfId="6372" xr:uid="{00000000-0005-0000-0000-000019120000}"/>
    <cellStyle name="Normal 4 2 2 3 2 2 6 3 2" xfId="14811" xr:uid="{2C60FCFA-615C-4718-AAEF-6BBBA5A0F2D6}"/>
    <cellStyle name="Normal 4 2 2 3 2 2 6 4" xfId="10593" xr:uid="{1C42F649-D2CA-45E4-9882-C2892CF40394}"/>
    <cellStyle name="Normal 4 2 2 3 2 2 7" xfId="2501" xr:uid="{00000000-0005-0000-0000-00001A120000}"/>
    <cellStyle name="Normal 4 2 2 3 2 2 7 2" xfId="6785" xr:uid="{00000000-0005-0000-0000-00001B120000}"/>
    <cellStyle name="Normal 4 2 2 3 2 2 7 2 2" xfId="15224" xr:uid="{E1F34F91-BD7C-4924-AE25-160287AF4713}"/>
    <cellStyle name="Normal 4 2 2 3 2 2 7 3" xfId="11006" xr:uid="{C82818FF-0DBA-4927-8B85-4FF7FA2291C5}"/>
    <cellStyle name="Normal 4 2 2 3 2 2 8" xfId="4720" xr:uid="{00000000-0005-0000-0000-00001C120000}"/>
    <cellStyle name="Normal 4 2 2 3 2 2 8 2" xfId="13159" xr:uid="{131EBACB-FB75-40FA-9EB0-9A049D0B5B63}"/>
    <cellStyle name="Normal 4 2 2 3 2 2 9" xfId="8941" xr:uid="{375EE003-F05E-488B-AD86-F4B368B4534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1BF00A4C-CF98-4124-8DEE-D869695D907C}"/>
    <cellStyle name="Normal 4 2 2 3 2 3 2 2 3" xfId="11501" xr:uid="{003428B8-5B90-4D56-AE38-B7797F704BF0}"/>
    <cellStyle name="Normal 4 2 2 3 2 3 2 3" xfId="5135" xr:uid="{00000000-0005-0000-0000-000021120000}"/>
    <cellStyle name="Normal 4 2 2 3 2 3 2 3 2" xfId="13574" xr:uid="{5ABDAF34-20DA-4EAF-936A-CD95E758E005}"/>
    <cellStyle name="Normal 4 2 2 3 2 3 2 4" xfId="9356" xr:uid="{D2394AAC-713A-4309-9499-FEC61759D855}"/>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ACC8ED1D-3930-42C3-A4E0-E6F2EEB175EF}"/>
    <cellStyle name="Normal 4 2 2 3 2 3 3 2 3" xfId="11914" xr:uid="{DC6F47A9-8F6C-4B64-AA90-F262640D6319}"/>
    <cellStyle name="Normal 4 2 2 3 2 3 3 3" xfId="5548" xr:uid="{00000000-0005-0000-0000-000025120000}"/>
    <cellStyle name="Normal 4 2 2 3 2 3 3 3 2" xfId="13987" xr:uid="{0A9C8A86-D646-4CD6-9FD5-56F3E7AD6A15}"/>
    <cellStyle name="Normal 4 2 2 3 2 3 3 4" xfId="9769" xr:uid="{36AD605F-7D8F-4082-8B14-9C3622351A1A}"/>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FD3AB72F-960C-46DE-8268-EB5758A67A90}"/>
    <cellStyle name="Normal 4 2 2 3 2 3 4 2 3" xfId="12327" xr:uid="{808ABA8B-86BA-4753-9BC5-DF93811012DA}"/>
    <cellStyle name="Normal 4 2 2 3 2 3 4 3" xfId="5961" xr:uid="{00000000-0005-0000-0000-000029120000}"/>
    <cellStyle name="Normal 4 2 2 3 2 3 4 3 2" xfId="14400" xr:uid="{63C98A87-F56B-4657-B74A-76D84892A24B}"/>
    <cellStyle name="Normal 4 2 2 3 2 3 4 4" xfId="10182" xr:uid="{293248D0-972E-4495-8AFB-19598A3EF0E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0800EB0E-CC9F-45FC-8967-7AFF25321E11}"/>
    <cellStyle name="Normal 4 2 2 3 2 3 5 2 3" xfId="12740" xr:uid="{BECF4C3F-06A9-4294-B8F1-B3892B7CB81D}"/>
    <cellStyle name="Normal 4 2 2 3 2 3 5 3" xfId="6374" xr:uid="{00000000-0005-0000-0000-00002D120000}"/>
    <cellStyle name="Normal 4 2 2 3 2 3 5 3 2" xfId="14813" xr:uid="{E2CB70AB-56DF-4036-85D6-B49BFAF10705}"/>
    <cellStyle name="Normal 4 2 2 3 2 3 5 4" xfId="10595" xr:uid="{4DE3C6F3-5E2A-4932-8E5E-EAF44BB70141}"/>
    <cellStyle name="Normal 4 2 2 3 2 3 6" xfId="2503" xr:uid="{00000000-0005-0000-0000-00002E120000}"/>
    <cellStyle name="Normal 4 2 2 3 2 3 6 2" xfId="6787" xr:uid="{00000000-0005-0000-0000-00002F120000}"/>
    <cellStyle name="Normal 4 2 2 3 2 3 6 2 2" xfId="15226" xr:uid="{5BF95DF4-C2DF-449C-88A6-93E0950320D3}"/>
    <cellStyle name="Normal 4 2 2 3 2 3 6 3" xfId="11008" xr:uid="{D2095EE5-7013-4E9C-8873-A6E3F4AE40EC}"/>
    <cellStyle name="Normal 4 2 2 3 2 3 7" xfId="4722" xr:uid="{00000000-0005-0000-0000-000030120000}"/>
    <cellStyle name="Normal 4 2 2 3 2 3 7 2" xfId="13161" xr:uid="{6CAF5FA1-257C-481E-8CE6-14995BA5D773}"/>
    <cellStyle name="Normal 4 2 2 3 2 3 8" xfId="8943" xr:uid="{A2E608F9-E864-4C20-89CB-A3CF364F059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87EC75F6-6519-4F4A-A9C6-C786501825DD}"/>
    <cellStyle name="Normal 4 2 2 3 2 4 2 3" xfId="11498" xr:uid="{3D42B4C7-11E4-4A3E-A7A7-D5342F9D06C0}"/>
    <cellStyle name="Normal 4 2 2 3 2 4 3" xfId="5132" xr:uid="{00000000-0005-0000-0000-000034120000}"/>
    <cellStyle name="Normal 4 2 2 3 2 4 3 2" xfId="13571" xr:uid="{EE06059F-7920-40CE-9925-AE8EC08DDABE}"/>
    <cellStyle name="Normal 4 2 2 3 2 4 4" xfId="9353" xr:uid="{75F1CC40-B001-4793-99E0-B61ABD4CA9D7}"/>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68515EAC-7048-46A7-B14A-081BF277007A}"/>
    <cellStyle name="Normal 4 2 2 3 2 5 2 3" xfId="11911" xr:uid="{6DEF2F51-AF1C-40E5-BD47-1C9E9E8D08E8}"/>
    <cellStyle name="Normal 4 2 2 3 2 5 3" xfId="5545" xr:uid="{00000000-0005-0000-0000-000038120000}"/>
    <cellStyle name="Normal 4 2 2 3 2 5 3 2" xfId="13984" xr:uid="{AE2E9CCB-0740-4048-AA95-90ECA4640176}"/>
    <cellStyle name="Normal 4 2 2 3 2 5 4" xfId="9766" xr:uid="{CE14EEAF-FAED-4811-A620-7F73073D2E31}"/>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51989884-A8DA-428A-BB7B-105D80D8E856}"/>
    <cellStyle name="Normal 4 2 2 3 2 6 2 3" xfId="12324" xr:uid="{A22722E6-5C19-440A-A812-6DAE57388356}"/>
    <cellStyle name="Normal 4 2 2 3 2 6 3" xfId="5958" xr:uid="{00000000-0005-0000-0000-00003C120000}"/>
    <cellStyle name="Normal 4 2 2 3 2 6 3 2" xfId="14397" xr:uid="{9999E3F3-9996-4233-AF19-619FB220FCF0}"/>
    <cellStyle name="Normal 4 2 2 3 2 6 4" xfId="10179" xr:uid="{B81F930E-0E42-4650-8064-6ED8692CED07}"/>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45D1C440-6C27-4C18-BCE7-008AE2C493CD}"/>
    <cellStyle name="Normal 4 2 2 3 2 7 2 3" xfId="12737" xr:uid="{3E0801F5-B18C-4B39-8F22-45CDCE3251BD}"/>
    <cellStyle name="Normal 4 2 2 3 2 7 3" xfId="6371" xr:uid="{00000000-0005-0000-0000-000040120000}"/>
    <cellStyle name="Normal 4 2 2 3 2 7 3 2" xfId="14810" xr:uid="{32A37688-9B1A-448A-B73D-E1DFF404B7B2}"/>
    <cellStyle name="Normal 4 2 2 3 2 7 4" xfId="10592" xr:uid="{520C9E6A-A812-4B01-8DFF-39146E6A60FA}"/>
    <cellStyle name="Normal 4 2 2 3 2 8" xfId="2500" xr:uid="{00000000-0005-0000-0000-000041120000}"/>
    <cellStyle name="Normal 4 2 2 3 2 8 2" xfId="6784" xr:uid="{00000000-0005-0000-0000-000042120000}"/>
    <cellStyle name="Normal 4 2 2 3 2 8 2 2" xfId="15223" xr:uid="{A5AA1269-FD92-4090-91B4-43F135AA5B69}"/>
    <cellStyle name="Normal 4 2 2 3 2 8 3" xfId="11005" xr:uid="{1D92FD61-70E1-44AB-9BF8-CB2E5510FF95}"/>
    <cellStyle name="Normal 4 2 2 3 2 9" xfId="4719" xr:uid="{00000000-0005-0000-0000-000043120000}"/>
    <cellStyle name="Normal 4 2 2 3 2 9 2" xfId="13158" xr:uid="{9F5CAB7A-202E-48BF-95E5-6CD44179CDA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CE93DFDD-CB4F-4583-A4C2-B43714302EA1}"/>
    <cellStyle name="Normal 4 2 2 3 3 2 2 2 3" xfId="11503" xr:uid="{3424F84B-49C6-4B15-A83F-01F78222B53D}"/>
    <cellStyle name="Normal 4 2 2 3 3 2 2 3" xfId="5137" xr:uid="{00000000-0005-0000-0000-000049120000}"/>
    <cellStyle name="Normal 4 2 2 3 3 2 2 3 2" xfId="13576" xr:uid="{DE6933A9-B50E-4C3E-A2C1-2DE2ACEFB5E1}"/>
    <cellStyle name="Normal 4 2 2 3 3 2 2 4" xfId="9358" xr:uid="{DC7A7A25-874A-4BA2-9CC1-D6F63998222D}"/>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12627423-F4FF-4C91-AD2A-29E616FD25A6}"/>
    <cellStyle name="Normal 4 2 2 3 3 2 3 2 3" xfId="11916" xr:uid="{8280C725-6FEF-4CC5-835A-8A47DF4FC065}"/>
    <cellStyle name="Normal 4 2 2 3 3 2 3 3" xfId="5550" xr:uid="{00000000-0005-0000-0000-00004D120000}"/>
    <cellStyle name="Normal 4 2 2 3 3 2 3 3 2" xfId="13989" xr:uid="{8073E03B-DDDA-4F8C-824E-E982E77C9794}"/>
    <cellStyle name="Normal 4 2 2 3 3 2 3 4" xfId="9771" xr:uid="{4D29F374-8093-49E4-9BAA-C6F6A6B6D90E}"/>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AABC542D-2080-478C-97CB-78ED9FB2A46D}"/>
    <cellStyle name="Normal 4 2 2 3 3 2 4 2 3" xfId="12329" xr:uid="{238D8371-2097-49C2-B27A-556588EBB8CF}"/>
    <cellStyle name="Normal 4 2 2 3 3 2 4 3" xfId="5963" xr:uid="{00000000-0005-0000-0000-000051120000}"/>
    <cellStyle name="Normal 4 2 2 3 3 2 4 3 2" xfId="14402" xr:uid="{F753F90E-DCEE-40E9-B348-546547638F14}"/>
    <cellStyle name="Normal 4 2 2 3 3 2 4 4" xfId="10184" xr:uid="{7E9E058D-0725-4FFD-844C-492802C98E83}"/>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1FD0DE15-DE06-4107-B286-B59D3DDE662D}"/>
    <cellStyle name="Normal 4 2 2 3 3 2 5 2 3" xfId="12742" xr:uid="{B12802EE-65A2-46B4-BD94-AA09AA1C37BA}"/>
    <cellStyle name="Normal 4 2 2 3 3 2 5 3" xfId="6376" xr:uid="{00000000-0005-0000-0000-000055120000}"/>
    <cellStyle name="Normal 4 2 2 3 3 2 5 3 2" xfId="14815" xr:uid="{961DD401-31A6-4293-BC33-40B7DF09C17E}"/>
    <cellStyle name="Normal 4 2 2 3 3 2 5 4" xfId="10597" xr:uid="{D23A7DEF-D2B7-4EEC-9215-8FF5A8AF0600}"/>
    <cellStyle name="Normal 4 2 2 3 3 2 6" xfId="2505" xr:uid="{00000000-0005-0000-0000-000056120000}"/>
    <cellStyle name="Normal 4 2 2 3 3 2 6 2" xfId="6789" xr:uid="{00000000-0005-0000-0000-000057120000}"/>
    <cellStyle name="Normal 4 2 2 3 3 2 6 2 2" xfId="15228" xr:uid="{379BE6F3-2209-4288-8A8D-0D3EBE345372}"/>
    <cellStyle name="Normal 4 2 2 3 3 2 6 3" xfId="11010" xr:uid="{D9B8DC4C-8B65-4AD6-A809-2BB0827E219C}"/>
    <cellStyle name="Normal 4 2 2 3 3 2 7" xfId="4724" xr:uid="{00000000-0005-0000-0000-000058120000}"/>
    <cellStyle name="Normal 4 2 2 3 3 2 7 2" xfId="13163" xr:uid="{E3DF2B67-6EE5-466E-8442-85E44C01FF57}"/>
    <cellStyle name="Normal 4 2 2 3 3 2 8" xfId="8945" xr:uid="{F6169E15-582A-4622-AC4B-6E21640B5E4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D868C9B0-4D90-46DC-8D43-4AEC5C7EEF84}"/>
    <cellStyle name="Normal 4 2 2 3 3 3 2 3" xfId="11502" xr:uid="{3B1C83E6-2824-4B87-8A09-DE544D5CF107}"/>
    <cellStyle name="Normal 4 2 2 3 3 3 3" xfId="5136" xr:uid="{00000000-0005-0000-0000-00005C120000}"/>
    <cellStyle name="Normal 4 2 2 3 3 3 3 2" xfId="13575" xr:uid="{5B436E96-22BA-4039-8BF0-EDAE9EF660BA}"/>
    <cellStyle name="Normal 4 2 2 3 3 3 4" xfId="9357" xr:uid="{2A23066E-3147-4139-9FBA-879500DFE282}"/>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DF3848DA-C025-4A25-81C6-25AF74ED7C4D}"/>
    <cellStyle name="Normal 4 2 2 3 3 4 2 3" xfId="11915" xr:uid="{F24BFC08-CCB7-4EE2-A425-6BA131554BB9}"/>
    <cellStyle name="Normal 4 2 2 3 3 4 3" xfId="5549" xr:uid="{00000000-0005-0000-0000-000060120000}"/>
    <cellStyle name="Normal 4 2 2 3 3 4 3 2" xfId="13988" xr:uid="{FD435837-BFE8-45BA-8AF6-F65743AD6761}"/>
    <cellStyle name="Normal 4 2 2 3 3 4 4" xfId="9770" xr:uid="{AE3344B5-29D1-4B94-9E19-A2F35534431C}"/>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BCC4F14D-466A-4562-8A8F-0C5980D7873F}"/>
    <cellStyle name="Normal 4 2 2 3 3 5 2 3" xfId="12328" xr:uid="{1B85F754-EAEE-4CC9-A59C-4CD089B09702}"/>
    <cellStyle name="Normal 4 2 2 3 3 5 3" xfId="5962" xr:uid="{00000000-0005-0000-0000-000064120000}"/>
    <cellStyle name="Normal 4 2 2 3 3 5 3 2" xfId="14401" xr:uid="{CE95CEB5-1DA8-43C1-82A2-C684BE2046E5}"/>
    <cellStyle name="Normal 4 2 2 3 3 5 4" xfId="10183" xr:uid="{50719F93-29C4-423C-8521-10AB632D6EF1}"/>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C28605C2-48FA-4B6A-89AB-BCCECE60CCED}"/>
    <cellStyle name="Normal 4 2 2 3 3 6 2 3" xfId="12741" xr:uid="{6728DDA4-A922-4F9B-AAAF-2FB006813F88}"/>
    <cellStyle name="Normal 4 2 2 3 3 6 3" xfId="6375" xr:uid="{00000000-0005-0000-0000-000068120000}"/>
    <cellStyle name="Normal 4 2 2 3 3 6 3 2" xfId="14814" xr:uid="{7848A901-A3D0-4740-80B7-960651134E58}"/>
    <cellStyle name="Normal 4 2 2 3 3 6 4" xfId="10596" xr:uid="{F81CFF18-FF6C-458B-80BF-8BC03CE92DF1}"/>
    <cellStyle name="Normal 4 2 2 3 3 7" xfId="2504" xr:uid="{00000000-0005-0000-0000-000069120000}"/>
    <cellStyle name="Normal 4 2 2 3 3 7 2" xfId="6788" xr:uid="{00000000-0005-0000-0000-00006A120000}"/>
    <cellStyle name="Normal 4 2 2 3 3 7 2 2" xfId="15227" xr:uid="{10927D3A-1EC3-4930-A492-D0C2F53C855F}"/>
    <cellStyle name="Normal 4 2 2 3 3 7 3" xfId="11009" xr:uid="{F0E5EA57-CFF0-40B7-B2E0-5C6956472246}"/>
    <cellStyle name="Normal 4 2 2 3 3 8" xfId="4723" xr:uid="{00000000-0005-0000-0000-00006B120000}"/>
    <cellStyle name="Normal 4 2 2 3 3 8 2" xfId="13162" xr:uid="{1BE26895-0E4B-44A4-8E1E-27589D6EFFFC}"/>
    <cellStyle name="Normal 4 2 2 3 3 9" xfId="8944" xr:uid="{2F9ED59D-AE30-4353-9158-1F7A8713DAB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C3496B71-4795-46CF-BB01-50B514E7B9BD}"/>
    <cellStyle name="Normal 4 2 2 3 4 2 2 3" xfId="11504" xr:uid="{5431307F-BA85-47F7-A8CB-216814FC11D1}"/>
    <cellStyle name="Normal 4 2 2 3 4 2 3" xfId="5138" xr:uid="{00000000-0005-0000-0000-000070120000}"/>
    <cellStyle name="Normal 4 2 2 3 4 2 3 2" xfId="13577" xr:uid="{4F874651-AB9E-44EF-B878-D5BB02E60C20}"/>
    <cellStyle name="Normal 4 2 2 3 4 2 4" xfId="9359" xr:uid="{8B1ADE49-FDEC-4D05-92D6-234B83DA3341}"/>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874E3D8E-93DD-4213-8721-970118D867D4}"/>
    <cellStyle name="Normal 4 2 2 3 4 3 2 3" xfId="11917" xr:uid="{697BDFAC-BBE6-4E2E-A9E8-D40E939BB2BD}"/>
    <cellStyle name="Normal 4 2 2 3 4 3 3" xfId="5551" xr:uid="{00000000-0005-0000-0000-000074120000}"/>
    <cellStyle name="Normal 4 2 2 3 4 3 3 2" xfId="13990" xr:uid="{A985C6E7-BDC2-43AA-880D-4B7C9A35ED4F}"/>
    <cellStyle name="Normal 4 2 2 3 4 3 4" xfId="9772" xr:uid="{BBC9C6F6-0E21-4D11-AAEF-85FD74FDE1C8}"/>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EDFBACD8-37EF-4FD1-B09D-40EC67B32742}"/>
    <cellStyle name="Normal 4 2 2 3 4 4 2 3" xfId="12330" xr:uid="{44444699-77FB-47C9-A8CC-9E31C076E61A}"/>
    <cellStyle name="Normal 4 2 2 3 4 4 3" xfId="5964" xr:uid="{00000000-0005-0000-0000-000078120000}"/>
    <cellStyle name="Normal 4 2 2 3 4 4 3 2" xfId="14403" xr:uid="{ADF96304-CA97-45ED-A87D-28428997591E}"/>
    <cellStyle name="Normal 4 2 2 3 4 4 4" xfId="10185" xr:uid="{D787E698-8A56-4C76-8550-3917D71DB4BC}"/>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A116063E-E381-40FD-9121-321D6638261F}"/>
    <cellStyle name="Normal 4 2 2 3 4 5 2 3" xfId="12743" xr:uid="{010BE9BF-27C7-47DA-8B05-C2ECDA6C3F73}"/>
    <cellStyle name="Normal 4 2 2 3 4 5 3" xfId="6377" xr:uid="{00000000-0005-0000-0000-00007C120000}"/>
    <cellStyle name="Normal 4 2 2 3 4 5 3 2" xfId="14816" xr:uid="{24772B43-DB38-46DC-8BD6-5960AB1C6200}"/>
    <cellStyle name="Normal 4 2 2 3 4 5 4" xfId="10598" xr:uid="{30A839A1-82C0-4F3D-AAB0-21090B473E74}"/>
    <cellStyle name="Normal 4 2 2 3 4 6" xfId="2506" xr:uid="{00000000-0005-0000-0000-00007D120000}"/>
    <cellStyle name="Normal 4 2 2 3 4 6 2" xfId="6790" xr:uid="{00000000-0005-0000-0000-00007E120000}"/>
    <cellStyle name="Normal 4 2 2 3 4 6 2 2" xfId="15229" xr:uid="{1EB033C0-AF17-49D1-A94B-E5E3F0DA7CF4}"/>
    <cellStyle name="Normal 4 2 2 3 4 6 3" xfId="11011" xr:uid="{EE7D3AB8-950D-4B36-9E79-38B94A811243}"/>
    <cellStyle name="Normal 4 2 2 3 4 7" xfId="4725" xr:uid="{00000000-0005-0000-0000-00007F120000}"/>
    <cellStyle name="Normal 4 2 2 3 4 7 2" xfId="13164" xr:uid="{71B23F4C-5C77-4B3C-944F-8788162682BD}"/>
    <cellStyle name="Normal 4 2 2 3 4 8" xfId="8946" xr:uid="{CDC0168D-38E4-467E-975F-4A5B70DD2BC6}"/>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649307AF-9571-4471-8136-252BDF05D27F}"/>
    <cellStyle name="Normal 4 2 2 3 5 2 3" xfId="11497" xr:uid="{DE366FA5-0011-4DD4-8511-2F30384768DE}"/>
    <cellStyle name="Normal 4 2 2 3 5 3" xfId="5131" xr:uid="{00000000-0005-0000-0000-000083120000}"/>
    <cellStyle name="Normal 4 2 2 3 5 3 2" xfId="13570" xr:uid="{0EEF0B2F-EFB2-4AFB-8FAC-A0B2C0170969}"/>
    <cellStyle name="Normal 4 2 2 3 5 4" xfId="9352" xr:uid="{A8C12C30-50E6-461E-BBEE-6E92D2031128}"/>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C503AD70-A72F-4B89-BAC7-C6DE316EB478}"/>
    <cellStyle name="Normal 4 2 2 3 6 2 3" xfId="11910" xr:uid="{1521C04C-B788-4132-BEDF-0C8FE64957FC}"/>
    <cellStyle name="Normal 4 2 2 3 6 3" xfId="5544" xr:uid="{00000000-0005-0000-0000-000087120000}"/>
    <cellStyle name="Normal 4 2 2 3 6 3 2" xfId="13983" xr:uid="{F36340AB-8E3F-4DC2-BBA1-C656A309488A}"/>
    <cellStyle name="Normal 4 2 2 3 6 4" xfId="9765" xr:uid="{B3136D84-37F8-42DD-8488-D468625C6D31}"/>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E9FDAC21-55D5-4275-A3AC-BF3E5D9A8FB7}"/>
    <cellStyle name="Normal 4 2 2 3 7 2 3" xfId="12323" xr:uid="{F2000126-80DF-48F8-B7D4-7E0CEBC4FE05}"/>
    <cellStyle name="Normal 4 2 2 3 7 3" xfId="5957" xr:uid="{00000000-0005-0000-0000-00008B120000}"/>
    <cellStyle name="Normal 4 2 2 3 7 3 2" xfId="14396" xr:uid="{5782B483-3933-410E-B37A-2C3597AA5731}"/>
    <cellStyle name="Normal 4 2 2 3 7 4" xfId="10178" xr:uid="{5224097B-46E6-4B51-957A-A8FAB0738C7A}"/>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66DD247D-3EDB-4C6A-9F43-3A664854BF71}"/>
    <cellStyle name="Normal 4 2 2 3 8 2 3" xfId="12736" xr:uid="{DB22F276-B478-4EA9-9991-828F52634772}"/>
    <cellStyle name="Normal 4 2 2 3 8 3" xfId="6370" xr:uid="{00000000-0005-0000-0000-00008F120000}"/>
    <cellStyle name="Normal 4 2 2 3 8 3 2" xfId="14809" xr:uid="{8D643C11-87DE-4C29-A61A-220AF342E6D2}"/>
    <cellStyle name="Normal 4 2 2 3 8 4" xfId="10591" xr:uid="{9048114B-A346-4FC0-A3F7-FF9638CF5690}"/>
    <cellStyle name="Normal 4 2 2 3 9" xfId="2499" xr:uid="{00000000-0005-0000-0000-000090120000}"/>
    <cellStyle name="Normal 4 2 2 3 9 2" xfId="6783" xr:uid="{00000000-0005-0000-0000-000091120000}"/>
    <cellStyle name="Normal 4 2 2 3 9 2 2" xfId="15222" xr:uid="{59227D54-33D4-465E-BB8B-78F328700F23}"/>
    <cellStyle name="Normal 4 2 2 3 9 3" xfId="11004" xr:uid="{F1C60841-6624-42F6-99FE-5754EC059F01}"/>
    <cellStyle name="Normal 4 2 2 4" xfId="347" xr:uid="{00000000-0005-0000-0000-000092120000}"/>
    <cellStyle name="Normal 4 2 2 4 10" xfId="8947" xr:uid="{CBC8BD4E-2FBF-452C-A626-CEA47172695A}"/>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B21538F4-15BC-4854-936E-FA554D38A3C7}"/>
    <cellStyle name="Normal 4 2 2 4 2 2 2 2 3" xfId="11507" xr:uid="{789E7B7E-F322-4A98-B794-D9DF6B30E9ED}"/>
    <cellStyle name="Normal 4 2 2 4 2 2 2 3" xfId="5141" xr:uid="{00000000-0005-0000-0000-000098120000}"/>
    <cellStyle name="Normal 4 2 2 4 2 2 2 3 2" xfId="13580" xr:uid="{72C06D75-18F6-48E5-B97D-A84451FA5FEA}"/>
    <cellStyle name="Normal 4 2 2 4 2 2 2 4" xfId="9362" xr:uid="{C617C148-758A-4161-883A-F9AC2D0E8F5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0F0B197F-9CCC-46D7-903A-698051B766B4}"/>
    <cellStyle name="Normal 4 2 2 4 2 2 3 2 3" xfId="11920" xr:uid="{9D9FAF67-4315-41F9-A1CD-231659A36F79}"/>
    <cellStyle name="Normal 4 2 2 4 2 2 3 3" xfId="5554" xr:uid="{00000000-0005-0000-0000-00009C120000}"/>
    <cellStyle name="Normal 4 2 2 4 2 2 3 3 2" xfId="13993" xr:uid="{66EBF64E-AFEB-488C-8740-8BE45DEBD6C6}"/>
    <cellStyle name="Normal 4 2 2 4 2 2 3 4" xfId="9775" xr:uid="{2958538A-4232-494E-8F2B-AD4464EC656E}"/>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26C1B7BE-A1F8-489F-81AC-4F0408858467}"/>
    <cellStyle name="Normal 4 2 2 4 2 2 4 2 3" xfId="12333" xr:uid="{135596E6-9D04-4B03-BE0A-485A69169BB4}"/>
    <cellStyle name="Normal 4 2 2 4 2 2 4 3" xfId="5967" xr:uid="{00000000-0005-0000-0000-0000A0120000}"/>
    <cellStyle name="Normal 4 2 2 4 2 2 4 3 2" xfId="14406" xr:uid="{92337143-E404-4BB6-BF5F-6FB0413C8BCE}"/>
    <cellStyle name="Normal 4 2 2 4 2 2 4 4" xfId="10188" xr:uid="{9ABFE9ED-59D9-4F97-A055-351A9E2E91A9}"/>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3CF2EE66-4747-43EC-8ABE-E721330E1E0E}"/>
    <cellStyle name="Normal 4 2 2 4 2 2 5 2 3" xfId="12746" xr:uid="{3158AB41-CE4F-4F4A-BC15-CD04AEF64349}"/>
    <cellStyle name="Normal 4 2 2 4 2 2 5 3" xfId="6380" xr:uid="{00000000-0005-0000-0000-0000A4120000}"/>
    <cellStyle name="Normal 4 2 2 4 2 2 5 3 2" xfId="14819" xr:uid="{2F7D4AC0-B2D9-454D-90D3-6B0E08BF6D2A}"/>
    <cellStyle name="Normal 4 2 2 4 2 2 5 4" xfId="10601" xr:uid="{9B648C67-BB74-4162-9E4D-535ABCBC1E01}"/>
    <cellStyle name="Normal 4 2 2 4 2 2 6" xfId="2509" xr:uid="{00000000-0005-0000-0000-0000A5120000}"/>
    <cellStyle name="Normal 4 2 2 4 2 2 6 2" xfId="6793" xr:uid="{00000000-0005-0000-0000-0000A6120000}"/>
    <cellStyle name="Normal 4 2 2 4 2 2 6 2 2" xfId="15232" xr:uid="{5B3AEC13-C69A-42AC-9D1E-80CA98A7CB23}"/>
    <cellStyle name="Normal 4 2 2 4 2 2 6 3" xfId="11014" xr:uid="{F4832E34-D55D-415F-A48A-2B19170DC123}"/>
    <cellStyle name="Normal 4 2 2 4 2 2 7" xfId="4728" xr:uid="{00000000-0005-0000-0000-0000A7120000}"/>
    <cellStyle name="Normal 4 2 2 4 2 2 7 2" xfId="13167" xr:uid="{8464477E-4D0D-416F-8F8E-30D647B4A79B}"/>
    <cellStyle name="Normal 4 2 2 4 2 2 8" xfId="8949" xr:uid="{6D2048C4-AC91-46D1-8497-BA1477CA059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4A9CC6FF-518F-4E7F-AF6B-FD4556F28764}"/>
    <cellStyle name="Normal 4 2 2 4 2 3 2 3" xfId="11506" xr:uid="{D35C63F1-9128-4FFC-859D-7EFA8B3B204D}"/>
    <cellStyle name="Normal 4 2 2 4 2 3 3" xfId="5140" xr:uid="{00000000-0005-0000-0000-0000AB120000}"/>
    <cellStyle name="Normal 4 2 2 4 2 3 3 2" xfId="13579" xr:uid="{F3D89210-6509-415A-AD1D-FA5DA338671F}"/>
    <cellStyle name="Normal 4 2 2 4 2 3 4" xfId="9361" xr:uid="{2B0C378F-C792-444E-9A36-D9B5985FEB75}"/>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26A491FA-51DE-4A7E-BF44-1F7CBDBB95E4}"/>
    <cellStyle name="Normal 4 2 2 4 2 4 2 3" xfId="11919" xr:uid="{86DAECF8-9241-4770-8F8C-909910CD43AE}"/>
    <cellStyle name="Normal 4 2 2 4 2 4 3" xfId="5553" xr:uid="{00000000-0005-0000-0000-0000AF120000}"/>
    <cellStyle name="Normal 4 2 2 4 2 4 3 2" xfId="13992" xr:uid="{61235B65-0E66-4F01-85AE-B108C8D63AB1}"/>
    <cellStyle name="Normal 4 2 2 4 2 4 4" xfId="9774" xr:uid="{90D4CF9F-89AD-4063-88B9-543F1326C75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38BDCAB2-C32A-407E-88D8-24708C04162E}"/>
    <cellStyle name="Normal 4 2 2 4 2 5 2 3" xfId="12332" xr:uid="{2B17260B-60E8-4157-B1DD-2B602F180450}"/>
    <cellStyle name="Normal 4 2 2 4 2 5 3" xfId="5966" xr:uid="{00000000-0005-0000-0000-0000B3120000}"/>
    <cellStyle name="Normal 4 2 2 4 2 5 3 2" xfId="14405" xr:uid="{34B4A90A-B4E2-4BBA-9789-F5AE5F7817AB}"/>
    <cellStyle name="Normal 4 2 2 4 2 5 4" xfId="10187" xr:uid="{CDF9D231-D806-4F41-8FCC-129CCE5E579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E4E85FCC-970C-4B41-BA7B-C2F2004C019C}"/>
    <cellStyle name="Normal 4 2 2 4 2 6 2 3" xfId="12745" xr:uid="{C67CC31D-0A35-478A-B2C9-83FAE8E68F01}"/>
    <cellStyle name="Normal 4 2 2 4 2 6 3" xfId="6379" xr:uid="{00000000-0005-0000-0000-0000B7120000}"/>
    <cellStyle name="Normal 4 2 2 4 2 6 3 2" xfId="14818" xr:uid="{B6E300F7-9166-439C-8166-320DB57E3BF3}"/>
    <cellStyle name="Normal 4 2 2 4 2 6 4" xfId="10600" xr:uid="{3F3504D5-6BD7-4317-ADF0-FE7404306DFA}"/>
    <cellStyle name="Normal 4 2 2 4 2 7" xfId="2508" xr:uid="{00000000-0005-0000-0000-0000B8120000}"/>
    <cellStyle name="Normal 4 2 2 4 2 7 2" xfId="6792" xr:uid="{00000000-0005-0000-0000-0000B9120000}"/>
    <cellStyle name="Normal 4 2 2 4 2 7 2 2" xfId="15231" xr:uid="{353AC91C-EE79-4F52-BB75-A40F344C0C06}"/>
    <cellStyle name="Normal 4 2 2 4 2 7 3" xfId="11013" xr:uid="{7BC37C1B-BDAF-46FA-8732-E0B3D29AB497}"/>
    <cellStyle name="Normal 4 2 2 4 2 8" xfId="4727" xr:uid="{00000000-0005-0000-0000-0000BA120000}"/>
    <cellStyle name="Normal 4 2 2 4 2 8 2" xfId="13166" xr:uid="{E487D6C0-7A77-47ED-941B-4DBF1E81429D}"/>
    <cellStyle name="Normal 4 2 2 4 2 9" xfId="8948" xr:uid="{1EC4167C-6DE6-4B28-8D39-3D37290638F9}"/>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10C25C83-EF3A-4F37-9E80-F8144E9805AF}"/>
    <cellStyle name="Normal 4 2 2 4 3 2 2 3" xfId="11508" xr:uid="{E60A869F-F923-44FB-8790-43ED245DBFB6}"/>
    <cellStyle name="Normal 4 2 2 4 3 2 3" xfId="5142" xr:uid="{00000000-0005-0000-0000-0000BF120000}"/>
    <cellStyle name="Normal 4 2 2 4 3 2 3 2" xfId="13581" xr:uid="{0734756D-C242-449A-9FD7-28A21C51D5F3}"/>
    <cellStyle name="Normal 4 2 2 4 3 2 4" xfId="9363" xr:uid="{FCF9AC51-0ED6-4A1C-83F7-72A4EAEAAA54}"/>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08D6DE99-15B0-44A8-A68F-81975EA60392}"/>
    <cellStyle name="Normal 4 2 2 4 3 3 2 3" xfId="11921" xr:uid="{6B78A051-E134-4FF3-8F43-F7E43DAB6FFD}"/>
    <cellStyle name="Normal 4 2 2 4 3 3 3" xfId="5555" xr:uid="{00000000-0005-0000-0000-0000C3120000}"/>
    <cellStyle name="Normal 4 2 2 4 3 3 3 2" xfId="13994" xr:uid="{721C2B19-5645-4746-B032-739351CAB93B}"/>
    <cellStyle name="Normal 4 2 2 4 3 3 4" xfId="9776" xr:uid="{E48337D4-EBF0-40A2-9514-3F6D0F9700C2}"/>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98441673-E36A-46F5-BE79-2FC508423D72}"/>
    <cellStyle name="Normal 4 2 2 4 3 4 2 3" xfId="12334" xr:uid="{599FB33F-8ED2-4E12-9884-52A7E91A2131}"/>
    <cellStyle name="Normal 4 2 2 4 3 4 3" xfId="5968" xr:uid="{00000000-0005-0000-0000-0000C7120000}"/>
    <cellStyle name="Normal 4 2 2 4 3 4 3 2" xfId="14407" xr:uid="{0C76E6D7-106A-49FF-814F-33BC1C53175E}"/>
    <cellStyle name="Normal 4 2 2 4 3 4 4" xfId="10189" xr:uid="{078497C8-9151-4CB3-B375-90E8F2ABB69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139895F7-50C4-4067-9117-38D471D2E5DA}"/>
    <cellStyle name="Normal 4 2 2 4 3 5 2 3" xfId="12747" xr:uid="{9969DB44-4793-4EF2-BC17-4EE067C073E9}"/>
    <cellStyle name="Normal 4 2 2 4 3 5 3" xfId="6381" xr:uid="{00000000-0005-0000-0000-0000CB120000}"/>
    <cellStyle name="Normal 4 2 2 4 3 5 3 2" xfId="14820" xr:uid="{21528006-F12B-4005-9379-3D16C74B94DE}"/>
    <cellStyle name="Normal 4 2 2 4 3 5 4" xfId="10602" xr:uid="{1D464EDF-F484-4FE1-92BC-C7945168154A}"/>
    <cellStyle name="Normal 4 2 2 4 3 6" xfId="2510" xr:uid="{00000000-0005-0000-0000-0000CC120000}"/>
    <cellStyle name="Normal 4 2 2 4 3 6 2" xfId="6794" xr:uid="{00000000-0005-0000-0000-0000CD120000}"/>
    <cellStyle name="Normal 4 2 2 4 3 6 2 2" xfId="15233" xr:uid="{40944076-2F48-45D5-B1BA-5988BCCAC2C1}"/>
    <cellStyle name="Normal 4 2 2 4 3 6 3" xfId="11015" xr:uid="{FCC5B53E-0FC9-452A-8973-4F02A2B10984}"/>
    <cellStyle name="Normal 4 2 2 4 3 7" xfId="4729" xr:uid="{00000000-0005-0000-0000-0000CE120000}"/>
    <cellStyle name="Normal 4 2 2 4 3 7 2" xfId="13168" xr:uid="{7930E7FB-340C-4EF7-91F1-EE5472B29354}"/>
    <cellStyle name="Normal 4 2 2 4 3 8" xfId="8950" xr:uid="{B64B5AE8-90F2-4436-B574-3FFEFFA1AB6B}"/>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0AD5FB3C-7D86-4B56-B424-A4F51BF79341}"/>
    <cellStyle name="Normal 4 2 2 4 4 2 3" xfId="11505" xr:uid="{0BCDB2DF-1252-4E60-A5C2-863227C2ACEA}"/>
    <cellStyle name="Normal 4 2 2 4 4 3" xfId="5139" xr:uid="{00000000-0005-0000-0000-0000D2120000}"/>
    <cellStyle name="Normal 4 2 2 4 4 3 2" xfId="13578" xr:uid="{CC237725-7CE4-4D39-9DB2-823589E1B2E4}"/>
    <cellStyle name="Normal 4 2 2 4 4 4" xfId="9360" xr:uid="{A68157F1-B66D-4315-B884-EB47E9E5ACAA}"/>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50F54204-03F2-45D3-ADF2-269219E10A82}"/>
    <cellStyle name="Normal 4 2 2 4 5 2 3" xfId="11918" xr:uid="{0D3AA880-C686-4D3E-B213-DBD945EB87FF}"/>
    <cellStyle name="Normal 4 2 2 4 5 3" xfId="5552" xr:uid="{00000000-0005-0000-0000-0000D6120000}"/>
    <cellStyle name="Normal 4 2 2 4 5 3 2" xfId="13991" xr:uid="{12092542-1534-4226-ADB8-2E5B34C0A13A}"/>
    <cellStyle name="Normal 4 2 2 4 5 4" xfId="9773" xr:uid="{9DA6A8F7-EB11-4D69-8423-CE8A3B772D96}"/>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A4E043BE-6E36-472E-8030-A4D33194CABB}"/>
    <cellStyle name="Normal 4 2 2 4 6 2 3" xfId="12331" xr:uid="{A23B4239-C2E4-4B9E-ADED-4801129064B8}"/>
    <cellStyle name="Normal 4 2 2 4 6 3" xfId="5965" xr:uid="{00000000-0005-0000-0000-0000DA120000}"/>
    <cellStyle name="Normal 4 2 2 4 6 3 2" xfId="14404" xr:uid="{8FD75605-81EF-4E14-93D1-07F4F5B3A1D8}"/>
    <cellStyle name="Normal 4 2 2 4 6 4" xfId="10186" xr:uid="{727BEBE1-ADBD-41C7-ADFD-D242DC9235B7}"/>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7FA4B460-6770-4E26-A93C-ADFA61F17262}"/>
    <cellStyle name="Normal 4 2 2 4 7 2 3" xfId="12744" xr:uid="{FEE56E87-1722-4AE7-AB63-24C42295901E}"/>
    <cellStyle name="Normal 4 2 2 4 7 3" xfId="6378" xr:uid="{00000000-0005-0000-0000-0000DE120000}"/>
    <cellStyle name="Normal 4 2 2 4 7 3 2" xfId="14817" xr:uid="{B7F38ABF-FD8F-478B-9E61-2AD91F26F27E}"/>
    <cellStyle name="Normal 4 2 2 4 7 4" xfId="10599" xr:uid="{A0D139B0-71E5-4055-87E0-0CC271C104BF}"/>
    <cellStyle name="Normal 4 2 2 4 8" xfId="2507" xr:uid="{00000000-0005-0000-0000-0000DF120000}"/>
    <cellStyle name="Normal 4 2 2 4 8 2" xfId="6791" xr:uid="{00000000-0005-0000-0000-0000E0120000}"/>
    <cellStyle name="Normal 4 2 2 4 8 2 2" xfId="15230" xr:uid="{8D8E12CD-3C58-40D8-8E43-2BEDBC42AB52}"/>
    <cellStyle name="Normal 4 2 2 4 8 3" xfId="11012" xr:uid="{A9E67FF0-A088-44A8-9A57-9190401F8520}"/>
    <cellStyle name="Normal 4 2 2 4 9" xfId="4726" xr:uid="{00000000-0005-0000-0000-0000E1120000}"/>
    <cellStyle name="Normal 4 2 2 4 9 2" xfId="13165" xr:uid="{941BB5D8-69A2-45FA-8525-649E4ED7BDCE}"/>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8A7735CA-AD2D-4966-95BA-CD79CD3E6809}"/>
    <cellStyle name="Normal 4 2 2 5 2 2 2 3" xfId="11510" xr:uid="{77DA040C-017E-46B6-8CE6-1C2CA3E0FC89}"/>
    <cellStyle name="Normal 4 2 2 5 2 2 3" xfId="5144" xr:uid="{00000000-0005-0000-0000-0000E7120000}"/>
    <cellStyle name="Normal 4 2 2 5 2 2 3 2" xfId="13583" xr:uid="{E13D4C71-F005-4E91-AAFE-4D6627C61BC9}"/>
    <cellStyle name="Normal 4 2 2 5 2 2 4" xfId="9365" xr:uid="{B98E0763-3B1C-40D9-A36E-57E749052FF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E1E72706-31BB-4E16-B028-53AF7CBB50B2}"/>
    <cellStyle name="Normal 4 2 2 5 2 3 2 3" xfId="11923" xr:uid="{BE58D749-DA47-4E21-9BD7-B08B8EC556AF}"/>
    <cellStyle name="Normal 4 2 2 5 2 3 3" xfId="5557" xr:uid="{00000000-0005-0000-0000-0000EB120000}"/>
    <cellStyle name="Normal 4 2 2 5 2 3 3 2" xfId="13996" xr:uid="{1D851A9D-4D18-47D7-B6E8-7ACF49ED1AD3}"/>
    <cellStyle name="Normal 4 2 2 5 2 3 4" xfId="9778" xr:uid="{06D19843-5135-469D-9DB1-02A0818D09EA}"/>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FDFA8814-2467-4D4D-A1AB-A1FF54CDE670}"/>
    <cellStyle name="Normal 4 2 2 5 2 4 2 3" xfId="12336" xr:uid="{25498D35-F99D-42C6-8CC1-BBE149A458AB}"/>
    <cellStyle name="Normal 4 2 2 5 2 4 3" xfId="5970" xr:uid="{00000000-0005-0000-0000-0000EF120000}"/>
    <cellStyle name="Normal 4 2 2 5 2 4 3 2" xfId="14409" xr:uid="{D9E40673-653E-4611-9B65-6237521E85D7}"/>
    <cellStyle name="Normal 4 2 2 5 2 4 4" xfId="10191" xr:uid="{6A0B3814-DF82-47D5-9197-C2659316F611}"/>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9B62941E-3AA0-47C1-94DA-AF3161FFF611}"/>
    <cellStyle name="Normal 4 2 2 5 2 5 2 3" xfId="12749" xr:uid="{4134D08C-30ED-4448-A3AE-4779F9761757}"/>
    <cellStyle name="Normal 4 2 2 5 2 5 3" xfId="6383" xr:uid="{00000000-0005-0000-0000-0000F3120000}"/>
    <cellStyle name="Normal 4 2 2 5 2 5 3 2" xfId="14822" xr:uid="{1F4C7879-64C1-4AC9-ACBB-07EC2FADE7E7}"/>
    <cellStyle name="Normal 4 2 2 5 2 5 4" xfId="10604" xr:uid="{2815279C-B644-42D4-9FEC-6C63EA9CADF4}"/>
    <cellStyle name="Normal 4 2 2 5 2 6" xfId="2512" xr:uid="{00000000-0005-0000-0000-0000F4120000}"/>
    <cellStyle name="Normal 4 2 2 5 2 6 2" xfId="6796" xr:uid="{00000000-0005-0000-0000-0000F5120000}"/>
    <cellStyle name="Normal 4 2 2 5 2 6 2 2" xfId="15235" xr:uid="{185A0E37-018C-4885-A447-D8089A7F1ECC}"/>
    <cellStyle name="Normal 4 2 2 5 2 6 3" xfId="11017" xr:uid="{78E0B2E6-A97A-4FA4-83D9-191A5241F7DA}"/>
    <cellStyle name="Normal 4 2 2 5 2 7" xfId="4731" xr:uid="{00000000-0005-0000-0000-0000F6120000}"/>
    <cellStyle name="Normal 4 2 2 5 2 7 2" xfId="13170" xr:uid="{B4C8199B-8BA0-42EE-B6A0-EB8EC733FDB4}"/>
    <cellStyle name="Normal 4 2 2 5 2 8" xfId="8952" xr:uid="{AE21068B-2A87-4BE5-A6E0-2EBB56186DB2}"/>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35647679-0C26-4D13-9E8F-BD36B1B94F2E}"/>
    <cellStyle name="Normal 4 2 2 5 3 2 3" xfId="11509" xr:uid="{A3C6C63C-93DE-4ED1-8261-8357FBBA4568}"/>
    <cellStyle name="Normal 4 2 2 5 3 3" xfId="5143" xr:uid="{00000000-0005-0000-0000-0000FA120000}"/>
    <cellStyle name="Normal 4 2 2 5 3 3 2" xfId="13582" xr:uid="{BEBDB602-2E89-4AA5-BD44-88C508465D6E}"/>
    <cellStyle name="Normal 4 2 2 5 3 4" xfId="9364" xr:uid="{C4C822A4-F90B-4F05-A195-C0322EDFF9A9}"/>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77F7CAE5-D8B7-4DAB-9EBF-253D2B0F9EBE}"/>
    <cellStyle name="Normal 4 2 2 5 4 2 3" xfId="11922" xr:uid="{FD8B15C6-E905-4DE1-BA32-163D41747431}"/>
    <cellStyle name="Normal 4 2 2 5 4 3" xfId="5556" xr:uid="{00000000-0005-0000-0000-0000FE120000}"/>
    <cellStyle name="Normal 4 2 2 5 4 3 2" xfId="13995" xr:uid="{DC9FA8FD-B502-48A2-9F5E-AB133CC6DA94}"/>
    <cellStyle name="Normal 4 2 2 5 4 4" xfId="9777" xr:uid="{8E274A55-52C2-466B-AA90-B0BC7330CBC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B2BF5E8C-BE12-483B-BE95-EFA4F0E7390F}"/>
    <cellStyle name="Normal 4 2 2 5 5 2 3" xfId="12335" xr:uid="{9CC9F068-C636-4F50-9537-CCBB073266F7}"/>
    <cellStyle name="Normal 4 2 2 5 5 3" xfId="5969" xr:uid="{00000000-0005-0000-0000-000002130000}"/>
    <cellStyle name="Normal 4 2 2 5 5 3 2" xfId="14408" xr:uid="{A5C938BB-64FD-48CD-9D04-60AF37E49173}"/>
    <cellStyle name="Normal 4 2 2 5 5 4" xfId="10190" xr:uid="{F67A4A3D-525C-4890-B7D6-E7A731DEBBCC}"/>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D29F12B6-5605-462B-A21F-A00CC8FFECE2}"/>
    <cellStyle name="Normal 4 2 2 5 6 2 3" xfId="12748" xr:uid="{BE0E7D75-9721-4837-981F-60ACE87DF49E}"/>
    <cellStyle name="Normal 4 2 2 5 6 3" xfId="6382" xr:uid="{00000000-0005-0000-0000-000006130000}"/>
    <cellStyle name="Normal 4 2 2 5 6 3 2" xfId="14821" xr:uid="{9A96D510-1D42-4204-886E-FC4BBBF3A45E}"/>
    <cellStyle name="Normal 4 2 2 5 6 4" xfId="10603" xr:uid="{8379FD3C-EFB8-4A70-8EA3-E86C6328F06E}"/>
    <cellStyle name="Normal 4 2 2 5 7" xfId="2511" xr:uid="{00000000-0005-0000-0000-000007130000}"/>
    <cellStyle name="Normal 4 2 2 5 7 2" xfId="6795" xr:uid="{00000000-0005-0000-0000-000008130000}"/>
    <cellStyle name="Normal 4 2 2 5 7 2 2" xfId="15234" xr:uid="{37EB6C3F-EEDD-4FC9-A38F-AE9851F1F303}"/>
    <cellStyle name="Normal 4 2 2 5 7 3" xfId="11016" xr:uid="{CD5C919D-80DF-41C2-B032-44B1387DEF42}"/>
    <cellStyle name="Normal 4 2 2 5 8" xfId="4730" xr:uid="{00000000-0005-0000-0000-000009130000}"/>
    <cellStyle name="Normal 4 2 2 5 8 2" xfId="13169" xr:uid="{51D731D4-FD14-4435-929E-84B6A6ACAB25}"/>
    <cellStyle name="Normal 4 2 2 5 9" xfId="8951" xr:uid="{4BB1CC0C-AD4B-41D7-BB4A-8E48A4E595CF}"/>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08E1C746-F154-4A1E-9186-F92C71E4C0AF}"/>
    <cellStyle name="Normal 4 2 2 6 2 2 3" xfId="11511" xr:uid="{E638929E-F45B-4B49-874A-861A25CC3596}"/>
    <cellStyle name="Normal 4 2 2 6 2 3" xfId="5145" xr:uid="{00000000-0005-0000-0000-00000E130000}"/>
    <cellStyle name="Normal 4 2 2 6 2 3 2" xfId="13584" xr:uid="{4B2B5410-6F87-4010-9159-C09B796E2EA1}"/>
    <cellStyle name="Normal 4 2 2 6 2 4" xfId="9366" xr:uid="{36CA21D7-70BD-4C51-9282-2E4E5DCB4B99}"/>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78EA2E4D-1FCA-470E-828C-DA54DFB7BA20}"/>
    <cellStyle name="Normal 4 2 2 6 3 2 3" xfId="11924" xr:uid="{ED870C6A-20F2-48E8-AF48-D5DF497A1709}"/>
    <cellStyle name="Normal 4 2 2 6 3 3" xfId="5558" xr:uid="{00000000-0005-0000-0000-000012130000}"/>
    <cellStyle name="Normal 4 2 2 6 3 3 2" xfId="13997" xr:uid="{12A3733C-B59C-4580-BEF3-0EC83DBA7321}"/>
    <cellStyle name="Normal 4 2 2 6 3 4" xfId="9779" xr:uid="{4CF599BE-EE20-4F46-A4E8-569ABCB5A3AC}"/>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4631EBFC-BB34-4BAE-A721-8A083C888047}"/>
    <cellStyle name="Normal 4 2 2 6 4 2 3" xfId="12337" xr:uid="{AF471C9D-8771-4C99-B673-ED38E6552DD5}"/>
    <cellStyle name="Normal 4 2 2 6 4 3" xfId="5971" xr:uid="{00000000-0005-0000-0000-000016130000}"/>
    <cellStyle name="Normal 4 2 2 6 4 3 2" xfId="14410" xr:uid="{1AEB3677-6CB2-4194-A703-FE9DE97637EA}"/>
    <cellStyle name="Normal 4 2 2 6 4 4" xfId="10192" xr:uid="{01F1FDDF-E339-4C26-A252-29FFA4A002D2}"/>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CBF2500E-46F8-4227-807A-49A7D4DA4654}"/>
    <cellStyle name="Normal 4 2 2 6 5 2 3" xfId="12750" xr:uid="{7D0E02E9-59C7-41F1-9EFC-B451C150B312}"/>
    <cellStyle name="Normal 4 2 2 6 5 3" xfId="6384" xr:uid="{00000000-0005-0000-0000-00001A130000}"/>
    <cellStyle name="Normal 4 2 2 6 5 3 2" xfId="14823" xr:uid="{DC7B60A4-8B5B-4050-856C-452A8D8D1D82}"/>
    <cellStyle name="Normal 4 2 2 6 5 4" xfId="10605" xr:uid="{C036A239-D2D6-4B74-8400-667B36AEC931}"/>
    <cellStyle name="Normal 4 2 2 6 6" xfId="2513" xr:uid="{00000000-0005-0000-0000-00001B130000}"/>
    <cellStyle name="Normal 4 2 2 6 6 2" xfId="6797" xr:uid="{00000000-0005-0000-0000-00001C130000}"/>
    <cellStyle name="Normal 4 2 2 6 6 2 2" xfId="15236" xr:uid="{C4512BD8-1534-4833-B55B-47801F147AF7}"/>
    <cellStyle name="Normal 4 2 2 6 6 3" xfId="11018" xr:uid="{D40B5578-CA1A-4E7A-A1CC-43A55C429537}"/>
    <cellStyle name="Normal 4 2 2 6 7" xfId="4732" xr:uid="{00000000-0005-0000-0000-00001D130000}"/>
    <cellStyle name="Normal 4 2 2 6 7 2" xfId="13171" xr:uid="{D8E6FC82-F4B3-478A-ABEE-4BE228B50EEB}"/>
    <cellStyle name="Normal 4 2 2 6 8" xfId="8953" xr:uid="{05C17663-F527-4807-A257-D7AA3D3A35F8}"/>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7DA8B732-865E-4628-8B78-A30005E97E21}"/>
    <cellStyle name="Normal 4 2 2 7 2 3" xfId="11496" xr:uid="{61424C22-C910-4C94-B4B2-7DE7D602335A}"/>
    <cellStyle name="Normal 4 2 2 7 3" xfId="5130" xr:uid="{00000000-0005-0000-0000-000021130000}"/>
    <cellStyle name="Normal 4 2 2 7 3 2" xfId="13569" xr:uid="{D960F361-4A6C-4D04-BAD5-D9E065FC6DDC}"/>
    <cellStyle name="Normal 4 2 2 7 4" xfId="9351" xr:uid="{9CA4CDDA-831C-49C8-BC8C-1B83982C075D}"/>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2EF8F1EA-D16F-449D-8343-A907440DE5F6}"/>
    <cellStyle name="Normal 4 2 2 8 2 3" xfId="11909" xr:uid="{41AA2E73-260F-45DF-9364-293C004E4E2C}"/>
    <cellStyle name="Normal 4 2 2 8 3" xfId="5543" xr:uid="{00000000-0005-0000-0000-000025130000}"/>
    <cellStyle name="Normal 4 2 2 8 3 2" xfId="13982" xr:uid="{98651DE6-377F-4671-97FB-DB113B1DD6DD}"/>
    <cellStyle name="Normal 4 2 2 8 4" xfId="9764" xr:uid="{508B66C2-CB2B-4DC4-878A-AD4A7BC1D251}"/>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17838F34-8DD7-49E9-9DE7-E432C9F57D71}"/>
    <cellStyle name="Normal 4 2 2 9 2 3" xfId="12322" xr:uid="{ADD0C75E-779F-4C7F-B644-98B102908154}"/>
    <cellStyle name="Normal 4 2 2 9 3" xfId="5956" xr:uid="{00000000-0005-0000-0000-000029130000}"/>
    <cellStyle name="Normal 4 2 2 9 3 2" xfId="14395" xr:uid="{A9A61076-038E-4926-992D-6C8A1682589D}"/>
    <cellStyle name="Normal 4 2 2 9 4" xfId="10177" xr:uid="{41EF4054-D91C-470E-ABAC-3F49A2B2FCA6}"/>
    <cellStyle name="Normal 4 2 3" xfId="354" xr:uid="{00000000-0005-0000-0000-00002A130000}"/>
    <cellStyle name="Normal 4 2 4" xfId="355" xr:uid="{00000000-0005-0000-0000-00002B130000}"/>
    <cellStyle name="Normal 4 2 4 10" xfId="4733" xr:uid="{00000000-0005-0000-0000-00002C130000}"/>
    <cellStyle name="Normal 4 2 4 10 2" xfId="13172" xr:uid="{5AC1CEF0-FC4A-4780-9C6E-947AA2311C0D}"/>
    <cellStyle name="Normal 4 2 4 11" xfId="8954" xr:uid="{646A168B-4EBC-4A5F-B752-60F1B4C8EDDE}"/>
    <cellStyle name="Normal 4 2 4 2" xfId="356" xr:uid="{00000000-0005-0000-0000-00002D130000}"/>
    <cellStyle name="Normal 4 2 4 2 10" xfId="8955" xr:uid="{CE2E1930-3DC8-47F9-B0F9-227393B0B05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F36E0FE9-0E7A-444E-B94E-4709E0BFFEDB}"/>
    <cellStyle name="Normal 4 2 4 2 2 2 2 2 3" xfId="11515" xr:uid="{F68DC18F-9A60-43A7-B9F9-B93E1D2A5BF2}"/>
    <cellStyle name="Normal 4 2 4 2 2 2 2 3" xfId="5149" xr:uid="{00000000-0005-0000-0000-000033130000}"/>
    <cellStyle name="Normal 4 2 4 2 2 2 2 3 2" xfId="13588" xr:uid="{FC23231B-6FD0-416A-A5F1-B6897375C1B2}"/>
    <cellStyle name="Normal 4 2 4 2 2 2 2 4" xfId="9370" xr:uid="{BF0D038C-54AE-4DDA-AE63-CC585B8D9B28}"/>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5155ADEC-BF96-4FA5-B695-BCC4BC6D5C76}"/>
    <cellStyle name="Normal 4 2 4 2 2 2 3 2 3" xfId="11928" xr:uid="{638FFA4C-1580-46F2-9636-B39AE85C98D5}"/>
    <cellStyle name="Normal 4 2 4 2 2 2 3 3" xfId="5562" xr:uid="{00000000-0005-0000-0000-000037130000}"/>
    <cellStyle name="Normal 4 2 4 2 2 2 3 3 2" xfId="14001" xr:uid="{5604091B-EC10-40CA-97FF-82ED7EBBADDD}"/>
    <cellStyle name="Normal 4 2 4 2 2 2 3 4" xfId="9783" xr:uid="{D33324C1-07DE-4554-A276-F11C61702A9D}"/>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158DAB28-D3C1-472A-9EB7-3E08ACE40576}"/>
    <cellStyle name="Normal 4 2 4 2 2 2 4 2 3" xfId="12341" xr:uid="{1B04EABF-DA4F-4CEE-97DF-E78C8B6C1F9F}"/>
    <cellStyle name="Normal 4 2 4 2 2 2 4 3" xfId="5975" xr:uid="{00000000-0005-0000-0000-00003B130000}"/>
    <cellStyle name="Normal 4 2 4 2 2 2 4 3 2" xfId="14414" xr:uid="{60D93FE7-36E0-4E6E-AB65-11FDB940181E}"/>
    <cellStyle name="Normal 4 2 4 2 2 2 4 4" xfId="10196" xr:uid="{5718BE4A-04D0-418C-AD56-59CEE75A07BD}"/>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88C29E3D-C17D-47F7-95CF-93892505BA26}"/>
    <cellStyle name="Normal 4 2 4 2 2 2 5 2 3" xfId="12754" xr:uid="{0B72EC4E-52E8-4470-B171-D82154271799}"/>
    <cellStyle name="Normal 4 2 4 2 2 2 5 3" xfId="6388" xr:uid="{00000000-0005-0000-0000-00003F130000}"/>
    <cellStyle name="Normal 4 2 4 2 2 2 5 3 2" xfId="14827" xr:uid="{0205BC7B-C622-46DA-B76E-CA453BE83AC4}"/>
    <cellStyle name="Normal 4 2 4 2 2 2 5 4" xfId="10609" xr:uid="{B973E20A-AEFF-49BB-8EC3-12B759CE7334}"/>
    <cellStyle name="Normal 4 2 4 2 2 2 6" xfId="2517" xr:uid="{00000000-0005-0000-0000-000040130000}"/>
    <cellStyle name="Normal 4 2 4 2 2 2 6 2" xfId="6801" xr:uid="{00000000-0005-0000-0000-000041130000}"/>
    <cellStyle name="Normal 4 2 4 2 2 2 6 2 2" xfId="15240" xr:uid="{37FFF217-8A1A-448A-AB45-CA4581F053D1}"/>
    <cellStyle name="Normal 4 2 4 2 2 2 6 3" xfId="11022" xr:uid="{F490CE31-42D6-4BA8-96DC-F872083ADA43}"/>
    <cellStyle name="Normal 4 2 4 2 2 2 7" xfId="4736" xr:uid="{00000000-0005-0000-0000-000042130000}"/>
    <cellStyle name="Normal 4 2 4 2 2 2 7 2" xfId="13175" xr:uid="{3E9AFF80-9705-4D81-91CE-2FBEB86F6603}"/>
    <cellStyle name="Normal 4 2 4 2 2 2 8" xfId="8957" xr:uid="{4BFEB55F-E7EA-4914-9EF9-55774519AB6A}"/>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C64BC15D-7AFE-4853-83AE-E2883D0FDE9D}"/>
    <cellStyle name="Normal 4 2 4 2 2 3 2 3" xfId="11514" xr:uid="{EF2CFED1-8D52-4938-B4B2-BA469C93620E}"/>
    <cellStyle name="Normal 4 2 4 2 2 3 3" xfId="5148" xr:uid="{00000000-0005-0000-0000-000046130000}"/>
    <cellStyle name="Normal 4 2 4 2 2 3 3 2" xfId="13587" xr:uid="{F684E314-292F-4465-86B6-FA3B4BB89BC7}"/>
    <cellStyle name="Normal 4 2 4 2 2 3 4" xfId="9369" xr:uid="{363A1CBF-1FFE-4D94-843E-88F10CE48242}"/>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99B3CF27-4A03-41B1-AAB2-039999799D5F}"/>
    <cellStyle name="Normal 4 2 4 2 2 4 2 3" xfId="11927" xr:uid="{76AD504B-FA41-49BB-B8BB-B08BB9DFD962}"/>
    <cellStyle name="Normal 4 2 4 2 2 4 3" xfId="5561" xr:uid="{00000000-0005-0000-0000-00004A130000}"/>
    <cellStyle name="Normal 4 2 4 2 2 4 3 2" xfId="14000" xr:uid="{6943818D-508E-42F6-A2C5-D7A78FC9BF1D}"/>
    <cellStyle name="Normal 4 2 4 2 2 4 4" xfId="9782" xr:uid="{99C44B79-45D6-48EB-939C-105D540B167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6194B6B4-020C-4010-92BD-3E7D7CB14E2A}"/>
    <cellStyle name="Normal 4 2 4 2 2 5 2 3" xfId="12340" xr:uid="{BF7B3C77-732B-44E3-AFD4-6F1E68121E98}"/>
    <cellStyle name="Normal 4 2 4 2 2 5 3" xfId="5974" xr:uid="{00000000-0005-0000-0000-00004E130000}"/>
    <cellStyle name="Normal 4 2 4 2 2 5 3 2" xfId="14413" xr:uid="{B06F6F98-568D-4876-8353-134E82C83C9B}"/>
    <cellStyle name="Normal 4 2 4 2 2 5 4" xfId="10195" xr:uid="{1CB75917-D2C4-4D4D-9E03-AE8A2D78D471}"/>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39E764C2-860A-4D48-BD08-0FA8F8DC5287}"/>
    <cellStyle name="Normal 4 2 4 2 2 6 2 3" xfId="12753" xr:uid="{C77CD6D7-B4BA-4654-B9ED-3379AE8E93F0}"/>
    <cellStyle name="Normal 4 2 4 2 2 6 3" xfId="6387" xr:uid="{00000000-0005-0000-0000-000052130000}"/>
    <cellStyle name="Normal 4 2 4 2 2 6 3 2" xfId="14826" xr:uid="{9D50B751-78DF-4FC6-952F-3927B48331BB}"/>
    <cellStyle name="Normal 4 2 4 2 2 6 4" xfId="10608" xr:uid="{AA6A7B8D-A93C-4ADF-A1FF-8F3C3B2B7057}"/>
    <cellStyle name="Normal 4 2 4 2 2 7" xfId="2516" xr:uid="{00000000-0005-0000-0000-000053130000}"/>
    <cellStyle name="Normal 4 2 4 2 2 7 2" xfId="6800" xr:uid="{00000000-0005-0000-0000-000054130000}"/>
    <cellStyle name="Normal 4 2 4 2 2 7 2 2" xfId="15239" xr:uid="{9B58F60B-1F1A-47A7-8B5C-EB10813D9D04}"/>
    <cellStyle name="Normal 4 2 4 2 2 7 3" xfId="11021" xr:uid="{9F33743E-EE4F-40C5-A832-ED6E4CAB3396}"/>
    <cellStyle name="Normal 4 2 4 2 2 8" xfId="4735" xr:uid="{00000000-0005-0000-0000-000055130000}"/>
    <cellStyle name="Normal 4 2 4 2 2 8 2" xfId="13174" xr:uid="{12EFA2FE-FF23-4298-980B-DDAF53AB81A1}"/>
    <cellStyle name="Normal 4 2 4 2 2 9" xfId="8956" xr:uid="{F7CBEF19-FF76-480E-8CCD-EFF239E0EC0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554DC5C4-557D-4DF0-A32F-1FF2231E089F}"/>
    <cellStyle name="Normal 4 2 4 2 3 2 2 3" xfId="11516" xr:uid="{76C85A5E-49BB-4F48-9DB2-9D03D243904C}"/>
    <cellStyle name="Normal 4 2 4 2 3 2 3" xfId="5150" xr:uid="{00000000-0005-0000-0000-00005A130000}"/>
    <cellStyle name="Normal 4 2 4 2 3 2 3 2" xfId="13589" xr:uid="{E472B354-5CF2-431E-81A9-138361CD269C}"/>
    <cellStyle name="Normal 4 2 4 2 3 2 4" xfId="9371" xr:uid="{D00A003D-D19B-43DE-9325-4CE0A7DDF302}"/>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E4F3F496-6FFF-4AC9-8311-20B6CBB9A985}"/>
    <cellStyle name="Normal 4 2 4 2 3 3 2 3" xfId="11929" xr:uid="{505995FA-950F-4DAD-A8FA-08A8B20C1335}"/>
    <cellStyle name="Normal 4 2 4 2 3 3 3" xfId="5563" xr:uid="{00000000-0005-0000-0000-00005E130000}"/>
    <cellStyle name="Normal 4 2 4 2 3 3 3 2" xfId="14002" xr:uid="{19298350-5AE0-4425-B9B3-7DFE18A7BA5B}"/>
    <cellStyle name="Normal 4 2 4 2 3 3 4" xfId="9784" xr:uid="{1BAE5372-E3BF-46B4-9F71-E93C1D68F2CB}"/>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187E9DB5-DEE4-458E-86E3-ACCBBC971C0E}"/>
    <cellStyle name="Normal 4 2 4 2 3 4 2 3" xfId="12342" xr:uid="{18483E57-AE55-4BA1-B086-235B40D436BF}"/>
    <cellStyle name="Normal 4 2 4 2 3 4 3" xfId="5976" xr:uid="{00000000-0005-0000-0000-000062130000}"/>
    <cellStyle name="Normal 4 2 4 2 3 4 3 2" xfId="14415" xr:uid="{2C1E451E-6FD4-476F-9EB4-164A4007A376}"/>
    <cellStyle name="Normal 4 2 4 2 3 4 4" xfId="10197" xr:uid="{041D9E4D-806A-479F-AFEB-7F7266339509}"/>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21FECF3C-345A-4C58-97A4-F62C412E7177}"/>
    <cellStyle name="Normal 4 2 4 2 3 5 2 3" xfId="12755" xr:uid="{8E314CAB-522A-4382-981C-41BAA896D4F3}"/>
    <cellStyle name="Normal 4 2 4 2 3 5 3" xfId="6389" xr:uid="{00000000-0005-0000-0000-000066130000}"/>
    <cellStyle name="Normal 4 2 4 2 3 5 3 2" xfId="14828" xr:uid="{5AB85BB3-AAF6-4DAA-A0F8-C5002BF555BE}"/>
    <cellStyle name="Normal 4 2 4 2 3 5 4" xfId="10610" xr:uid="{A9369A08-8C2D-410B-9026-FBDDA166D554}"/>
    <cellStyle name="Normal 4 2 4 2 3 6" xfId="2518" xr:uid="{00000000-0005-0000-0000-000067130000}"/>
    <cellStyle name="Normal 4 2 4 2 3 6 2" xfId="6802" xr:uid="{00000000-0005-0000-0000-000068130000}"/>
    <cellStyle name="Normal 4 2 4 2 3 6 2 2" xfId="15241" xr:uid="{123769CB-42A9-4F2C-86E3-659E57B8DE2E}"/>
    <cellStyle name="Normal 4 2 4 2 3 6 3" xfId="11023" xr:uid="{D5CE6304-D9D2-4E85-AA62-AD3D3B1EE715}"/>
    <cellStyle name="Normal 4 2 4 2 3 7" xfId="4737" xr:uid="{00000000-0005-0000-0000-000069130000}"/>
    <cellStyle name="Normal 4 2 4 2 3 7 2" xfId="13176" xr:uid="{FE8E9E5D-1F79-4D79-8F3F-8F02E748A5F8}"/>
    <cellStyle name="Normal 4 2 4 2 3 8" xfId="8958" xr:uid="{A5CDFD5F-C626-487B-AA91-272A69D63DC2}"/>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B5D728E3-3724-493A-A3F8-0A64E881FBFA}"/>
    <cellStyle name="Normal 4 2 4 2 4 2 3" xfId="11513" xr:uid="{40D8CC77-3DA1-442B-A7F1-3ABFBC7A0652}"/>
    <cellStyle name="Normal 4 2 4 2 4 3" xfId="5147" xr:uid="{00000000-0005-0000-0000-00006D130000}"/>
    <cellStyle name="Normal 4 2 4 2 4 3 2" xfId="13586" xr:uid="{1ACB1B20-F72E-4A08-BDEB-63ED6D6F68E5}"/>
    <cellStyle name="Normal 4 2 4 2 4 4" xfId="9368" xr:uid="{6012EEAE-9327-496E-B3ED-38B36FE8AF0A}"/>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D105F1BA-CDB2-49D1-BA5D-14FB973FB4A6}"/>
    <cellStyle name="Normal 4 2 4 2 5 2 3" xfId="11926" xr:uid="{7152122B-ED1C-4AF5-9684-D1404955E806}"/>
    <cellStyle name="Normal 4 2 4 2 5 3" xfId="5560" xr:uid="{00000000-0005-0000-0000-000071130000}"/>
    <cellStyle name="Normal 4 2 4 2 5 3 2" xfId="13999" xr:uid="{2D0584EE-681B-443F-A89D-65997656A574}"/>
    <cellStyle name="Normal 4 2 4 2 5 4" xfId="9781" xr:uid="{5543EB5A-CC3B-4BDE-98B6-80A705883EAD}"/>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4A1FBE9E-74BF-46F9-8E3D-6F06A01BBB32}"/>
    <cellStyle name="Normal 4 2 4 2 6 2 3" xfId="12339" xr:uid="{8A69EE31-B80A-46BB-B8C6-E4C4CD41A577}"/>
    <cellStyle name="Normal 4 2 4 2 6 3" xfId="5973" xr:uid="{00000000-0005-0000-0000-000075130000}"/>
    <cellStyle name="Normal 4 2 4 2 6 3 2" xfId="14412" xr:uid="{831DB7F9-200B-4E02-91DA-B1DE1EEA4F8B}"/>
    <cellStyle name="Normal 4 2 4 2 6 4" xfId="10194" xr:uid="{3D838E2D-B5CD-4A23-87E3-8BE6D015793F}"/>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83A17F26-B3B3-40C6-8654-AF4812407F83}"/>
    <cellStyle name="Normal 4 2 4 2 7 2 3" xfId="12752" xr:uid="{06632C5D-0681-4D59-B476-689A46FA79CF}"/>
    <cellStyle name="Normal 4 2 4 2 7 3" xfId="6386" xr:uid="{00000000-0005-0000-0000-000079130000}"/>
    <cellStyle name="Normal 4 2 4 2 7 3 2" xfId="14825" xr:uid="{1653CC8C-C9D6-4F67-8081-1DB855010A76}"/>
    <cellStyle name="Normal 4 2 4 2 7 4" xfId="10607" xr:uid="{66D4CCF7-9CE8-4AE0-9506-120F368ED722}"/>
    <cellStyle name="Normal 4 2 4 2 8" xfId="2515" xr:uid="{00000000-0005-0000-0000-00007A130000}"/>
    <cellStyle name="Normal 4 2 4 2 8 2" xfId="6799" xr:uid="{00000000-0005-0000-0000-00007B130000}"/>
    <cellStyle name="Normal 4 2 4 2 8 2 2" xfId="15238" xr:uid="{06E5779A-8320-424E-96CA-C1DA52207DAF}"/>
    <cellStyle name="Normal 4 2 4 2 8 3" xfId="11020" xr:uid="{FE88ADE3-09C3-4BA3-BA9A-F1653758E10B}"/>
    <cellStyle name="Normal 4 2 4 2 9" xfId="4734" xr:uid="{00000000-0005-0000-0000-00007C130000}"/>
    <cellStyle name="Normal 4 2 4 2 9 2" xfId="13173" xr:uid="{9A8806CC-BFCF-4693-9AFF-44F201572952}"/>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34645859-7251-4BFE-9F26-40A677F244F9}"/>
    <cellStyle name="Normal 4 2 4 3 2 2 2 3" xfId="11518" xr:uid="{3E6EC7E3-0C25-47E8-B671-10BFC52913B1}"/>
    <cellStyle name="Normal 4 2 4 3 2 2 3" xfId="5152" xr:uid="{00000000-0005-0000-0000-000082130000}"/>
    <cellStyle name="Normal 4 2 4 3 2 2 3 2" xfId="13591" xr:uid="{3E565CA1-C277-4C5F-99B9-45A613B9229C}"/>
    <cellStyle name="Normal 4 2 4 3 2 2 4" xfId="9373" xr:uid="{7A2B5AD1-5C91-4D99-8244-949B1BBB05B2}"/>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9C0BA1CD-B26D-4980-97C5-D2FAF14983FE}"/>
    <cellStyle name="Normal 4 2 4 3 2 3 2 3" xfId="11931" xr:uid="{A85D7947-E9B0-4505-8B8B-C6FDC88116F6}"/>
    <cellStyle name="Normal 4 2 4 3 2 3 3" xfId="5565" xr:uid="{00000000-0005-0000-0000-000086130000}"/>
    <cellStyle name="Normal 4 2 4 3 2 3 3 2" xfId="14004" xr:uid="{33A7CA77-DAB4-4C07-A486-2F3CC30C3744}"/>
    <cellStyle name="Normal 4 2 4 3 2 3 4" xfId="9786" xr:uid="{9502CDE7-B499-4DC4-9046-1701A171EEA8}"/>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DFEBB354-33FE-4445-B521-880067D15422}"/>
    <cellStyle name="Normal 4 2 4 3 2 4 2 3" xfId="12344" xr:uid="{B3D0FD30-D571-433A-9ABE-444327C0D5B1}"/>
    <cellStyle name="Normal 4 2 4 3 2 4 3" xfId="5978" xr:uid="{00000000-0005-0000-0000-00008A130000}"/>
    <cellStyle name="Normal 4 2 4 3 2 4 3 2" xfId="14417" xr:uid="{6615E274-785C-4884-8001-3F7D96E11050}"/>
    <cellStyle name="Normal 4 2 4 3 2 4 4" xfId="10199" xr:uid="{46631CBE-11D2-414F-9D09-82D433B91249}"/>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0543FDC8-8720-4064-BA0A-33176FC7C5BE}"/>
    <cellStyle name="Normal 4 2 4 3 2 5 2 3" xfId="12757" xr:uid="{C07A3FB8-39FB-45A8-8915-878475E3D8B9}"/>
    <cellStyle name="Normal 4 2 4 3 2 5 3" xfId="6391" xr:uid="{00000000-0005-0000-0000-00008E130000}"/>
    <cellStyle name="Normal 4 2 4 3 2 5 3 2" xfId="14830" xr:uid="{C07132A1-ACF5-4907-8F08-372BDF9AEB82}"/>
    <cellStyle name="Normal 4 2 4 3 2 5 4" xfId="10612" xr:uid="{558238AC-24E1-4860-8AC1-21A950874981}"/>
    <cellStyle name="Normal 4 2 4 3 2 6" xfId="2520" xr:uid="{00000000-0005-0000-0000-00008F130000}"/>
    <cellStyle name="Normal 4 2 4 3 2 6 2" xfId="6804" xr:uid="{00000000-0005-0000-0000-000090130000}"/>
    <cellStyle name="Normal 4 2 4 3 2 6 2 2" xfId="15243" xr:uid="{DC1E0015-F181-493C-BACB-3797C6C1B4CC}"/>
    <cellStyle name="Normal 4 2 4 3 2 6 3" xfId="11025" xr:uid="{57776D98-ED1E-4C5C-AEA0-505E884CB52F}"/>
    <cellStyle name="Normal 4 2 4 3 2 7" xfId="4739" xr:uid="{00000000-0005-0000-0000-000091130000}"/>
    <cellStyle name="Normal 4 2 4 3 2 7 2" xfId="13178" xr:uid="{843D3627-447F-4063-837A-7A86B835A3DD}"/>
    <cellStyle name="Normal 4 2 4 3 2 8" xfId="8960" xr:uid="{AFDDCC1E-0759-4EB5-9E5F-FF509558E63D}"/>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2D88C67F-07FB-4B4F-A42D-377F7D0AD5E8}"/>
    <cellStyle name="Normal 4 2 4 3 3 2 3" xfId="11517" xr:uid="{6AA9D230-C196-44A9-B776-8AAD9391DF19}"/>
    <cellStyle name="Normal 4 2 4 3 3 3" xfId="5151" xr:uid="{00000000-0005-0000-0000-000095130000}"/>
    <cellStyle name="Normal 4 2 4 3 3 3 2" xfId="13590" xr:uid="{5A25B5B4-BF78-493D-99AE-D163114E597E}"/>
    <cellStyle name="Normal 4 2 4 3 3 4" xfId="9372" xr:uid="{C04547E3-13C8-469C-9B73-D0E74021C70A}"/>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3ED84606-8C3B-4F73-A5D0-795146674DF7}"/>
    <cellStyle name="Normal 4 2 4 3 4 2 3" xfId="11930" xr:uid="{915C37B0-0344-451A-972E-77CA746EA703}"/>
    <cellStyle name="Normal 4 2 4 3 4 3" xfId="5564" xr:uid="{00000000-0005-0000-0000-000099130000}"/>
    <cellStyle name="Normal 4 2 4 3 4 3 2" xfId="14003" xr:uid="{BC0C5131-7030-4522-9EE1-6CE1C4DF9EB1}"/>
    <cellStyle name="Normal 4 2 4 3 4 4" xfId="9785" xr:uid="{57D4E063-5744-4904-8FD5-4F2AD8D60C5C}"/>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46C55DD6-60F8-40F5-BBEB-8AE81CDCFA7A}"/>
    <cellStyle name="Normal 4 2 4 3 5 2 3" xfId="12343" xr:uid="{4F3CDCDF-7192-4439-BCFA-3902CF05AB7C}"/>
    <cellStyle name="Normal 4 2 4 3 5 3" xfId="5977" xr:uid="{00000000-0005-0000-0000-00009D130000}"/>
    <cellStyle name="Normal 4 2 4 3 5 3 2" xfId="14416" xr:uid="{C4AF8158-AD61-4926-BCF6-92DE16665ADC}"/>
    <cellStyle name="Normal 4 2 4 3 5 4" xfId="10198" xr:uid="{37A56671-A7E4-46F3-83D2-A5EB7FE64E5A}"/>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8DA1650C-85AD-4333-8D61-6D1E46421DE1}"/>
    <cellStyle name="Normal 4 2 4 3 6 2 3" xfId="12756" xr:uid="{9B3A526D-D8E0-4507-8468-1C0DED6A544E}"/>
    <cellStyle name="Normal 4 2 4 3 6 3" xfId="6390" xr:uid="{00000000-0005-0000-0000-0000A1130000}"/>
    <cellStyle name="Normal 4 2 4 3 6 3 2" xfId="14829" xr:uid="{0F050CB7-7658-4F57-9153-A211E335E2C8}"/>
    <cellStyle name="Normal 4 2 4 3 6 4" xfId="10611" xr:uid="{6ECDB592-311C-41D3-99A0-AAA3D0458B11}"/>
    <cellStyle name="Normal 4 2 4 3 7" xfId="2519" xr:uid="{00000000-0005-0000-0000-0000A2130000}"/>
    <cellStyle name="Normal 4 2 4 3 7 2" xfId="6803" xr:uid="{00000000-0005-0000-0000-0000A3130000}"/>
    <cellStyle name="Normal 4 2 4 3 7 2 2" xfId="15242" xr:uid="{468446E8-579E-4BE9-92FD-5281F365C7C2}"/>
    <cellStyle name="Normal 4 2 4 3 7 3" xfId="11024" xr:uid="{0C28555F-57F2-4E2A-AB23-0A5F6B8FF198}"/>
    <cellStyle name="Normal 4 2 4 3 8" xfId="4738" xr:uid="{00000000-0005-0000-0000-0000A4130000}"/>
    <cellStyle name="Normal 4 2 4 3 8 2" xfId="13177" xr:uid="{E5FB19CC-4600-49F9-9553-1A23EF19C47F}"/>
    <cellStyle name="Normal 4 2 4 3 9" xfId="8959" xr:uid="{BABD8611-51BB-4702-9DA2-EB4190863F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B5554541-1708-4BC6-8994-961B79F8EE42}"/>
    <cellStyle name="Normal 4 2 4 4 2 2 3" xfId="11519" xr:uid="{901FADA1-EAD4-4431-B882-FA04D4A619A1}"/>
    <cellStyle name="Normal 4 2 4 4 2 3" xfId="5153" xr:uid="{00000000-0005-0000-0000-0000A9130000}"/>
    <cellStyle name="Normal 4 2 4 4 2 3 2" xfId="13592" xr:uid="{EAAD5698-E4D7-454E-9D3C-A3FD95F4C9B1}"/>
    <cellStyle name="Normal 4 2 4 4 2 4" xfId="9374" xr:uid="{74B1419F-FC93-4123-978B-A241A2BEB1AE}"/>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7B38D8D3-D134-43B8-9FEF-0D931F17B6B1}"/>
    <cellStyle name="Normal 4 2 4 4 3 2 3" xfId="11932" xr:uid="{FCE5505D-2759-48B2-A7F0-080D4F59AAF0}"/>
    <cellStyle name="Normal 4 2 4 4 3 3" xfId="5566" xr:uid="{00000000-0005-0000-0000-0000AD130000}"/>
    <cellStyle name="Normal 4 2 4 4 3 3 2" xfId="14005" xr:uid="{96D30ADE-122C-4390-B602-0872219D1926}"/>
    <cellStyle name="Normal 4 2 4 4 3 4" xfId="9787" xr:uid="{0FEEC810-DAE0-4C40-ACD7-6EA42A2B2035}"/>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7FFDA278-5915-4B84-929F-A4685C2B2EAC}"/>
    <cellStyle name="Normal 4 2 4 4 4 2 3" xfId="12345" xr:uid="{937DCD0A-4D8A-4795-BA8C-F5A44253501F}"/>
    <cellStyle name="Normal 4 2 4 4 4 3" xfId="5979" xr:uid="{00000000-0005-0000-0000-0000B1130000}"/>
    <cellStyle name="Normal 4 2 4 4 4 3 2" xfId="14418" xr:uid="{68331056-5CAF-4A4F-84E1-5072D2EC02D1}"/>
    <cellStyle name="Normal 4 2 4 4 4 4" xfId="10200" xr:uid="{E80F7967-C4EB-4AA9-A4AD-894F78B08782}"/>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02EB91F0-B4CE-4894-86FE-0E20EA19BE2B}"/>
    <cellStyle name="Normal 4 2 4 4 5 2 3" xfId="12758" xr:uid="{C851C486-010E-4777-9948-D2D1A251BCB1}"/>
    <cellStyle name="Normal 4 2 4 4 5 3" xfId="6392" xr:uid="{00000000-0005-0000-0000-0000B5130000}"/>
    <cellStyle name="Normal 4 2 4 4 5 3 2" xfId="14831" xr:uid="{184C6CE7-451F-43B3-B469-8A5F9F0D17CC}"/>
    <cellStyle name="Normal 4 2 4 4 5 4" xfId="10613" xr:uid="{D5E83F03-D32E-4861-BB7B-A794A731863E}"/>
    <cellStyle name="Normal 4 2 4 4 6" xfId="2521" xr:uid="{00000000-0005-0000-0000-0000B6130000}"/>
    <cellStyle name="Normal 4 2 4 4 6 2" xfId="6805" xr:uid="{00000000-0005-0000-0000-0000B7130000}"/>
    <cellStyle name="Normal 4 2 4 4 6 2 2" xfId="15244" xr:uid="{047F6E78-A0A4-4379-A0EF-1507F7F7499A}"/>
    <cellStyle name="Normal 4 2 4 4 6 3" xfId="11026" xr:uid="{D3220500-CB6A-45E0-9B7E-1AC539643A57}"/>
    <cellStyle name="Normal 4 2 4 4 7" xfId="4740" xr:uid="{00000000-0005-0000-0000-0000B8130000}"/>
    <cellStyle name="Normal 4 2 4 4 7 2" xfId="13179" xr:uid="{FE2BCDCB-D059-4ADE-8AE1-8293E146FE9E}"/>
    <cellStyle name="Normal 4 2 4 4 8" xfId="8961" xr:uid="{BB150556-2E45-42DB-8829-A3FDCA9B84BE}"/>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19CD0394-1BEE-4054-B922-B0C639160B01}"/>
    <cellStyle name="Normal 4 2 4 5 2 3" xfId="11512" xr:uid="{13A9792E-344A-44F4-BBC5-FF2951C75CBC}"/>
    <cellStyle name="Normal 4 2 4 5 3" xfId="5146" xr:uid="{00000000-0005-0000-0000-0000BC130000}"/>
    <cellStyle name="Normal 4 2 4 5 3 2" xfId="13585" xr:uid="{A35CB221-455C-4A62-9FEB-9AF0B43B9244}"/>
    <cellStyle name="Normal 4 2 4 5 4" xfId="9367" xr:uid="{0ABEE85E-5C5F-4FA2-AD06-BBCA0D0178A8}"/>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80D11AD1-18E2-4C76-B2D1-A4B5190DDD0A}"/>
    <cellStyle name="Normal 4 2 4 6 2 3" xfId="11925" xr:uid="{673DF76B-A54B-4A0C-B221-8F727A32FEA5}"/>
    <cellStyle name="Normal 4 2 4 6 3" xfId="5559" xr:uid="{00000000-0005-0000-0000-0000C0130000}"/>
    <cellStyle name="Normal 4 2 4 6 3 2" xfId="13998" xr:uid="{DA89A916-08A6-43E0-A756-E6869E9B9A7A}"/>
    <cellStyle name="Normal 4 2 4 6 4" xfId="9780" xr:uid="{91B587B1-6C67-48EF-AF31-BAA469E66484}"/>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46BD83E2-8856-42EF-9AFD-07B42B4F977F}"/>
    <cellStyle name="Normal 4 2 4 7 2 3" xfId="12338" xr:uid="{18B3A89A-B4E2-458C-992C-1D12D8F5C742}"/>
    <cellStyle name="Normal 4 2 4 7 3" xfId="5972" xr:uid="{00000000-0005-0000-0000-0000C4130000}"/>
    <cellStyle name="Normal 4 2 4 7 3 2" xfId="14411" xr:uid="{DC25F4B2-5B8F-4BF4-81F3-9AAC2E8B66C2}"/>
    <cellStyle name="Normal 4 2 4 7 4" xfId="10193" xr:uid="{8727AA08-1C8C-4F21-B92F-590D4425E657}"/>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AB627427-0F06-4321-A8C5-42C55F75273A}"/>
    <cellStyle name="Normal 4 2 4 8 2 3" xfId="12751" xr:uid="{D72CD079-BD18-41AB-BC9E-3A34C4BA6C0F}"/>
    <cellStyle name="Normal 4 2 4 8 3" xfId="6385" xr:uid="{00000000-0005-0000-0000-0000C8130000}"/>
    <cellStyle name="Normal 4 2 4 8 3 2" xfId="14824" xr:uid="{838EAD43-89E8-4654-9FE3-08716DC942E5}"/>
    <cellStyle name="Normal 4 2 4 8 4" xfId="10606" xr:uid="{F53B13F4-B51A-40FB-B039-48F372ED110D}"/>
    <cellStyle name="Normal 4 2 4 9" xfId="2514" xr:uid="{00000000-0005-0000-0000-0000C9130000}"/>
    <cellStyle name="Normal 4 2 4 9 2" xfId="6798" xr:uid="{00000000-0005-0000-0000-0000CA130000}"/>
    <cellStyle name="Normal 4 2 4 9 2 2" xfId="15237" xr:uid="{C8C6F9D8-ED7A-437B-82F6-3E0F4C065CA1}"/>
    <cellStyle name="Normal 4 2 4 9 3" xfId="11019" xr:uid="{DF5C20EB-119A-4AD6-B1E9-DB4A3CCFFD4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B9AA8112-FAA7-4818-AAFD-746273D6EE22}"/>
    <cellStyle name="Normal 4 2 5 2 2 2 3" xfId="11521" xr:uid="{AE38A92B-2D63-4514-9B13-AB10A23FBD9F}"/>
    <cellStyle name="Normal 4 2 5 2 2 3" xfId="5155" xr:uid="{00000000-0005-0000-0000-0000D0130000}"/>
    <cellStyle name="Normal 4 2 5 2 2 3 2" xfId="13594" xr:uid="{F84B8600-E054-432A-9F12-87C388706ADF}"/>
    <cellStyle name="Normal 4 2 5 2 2 4" xfId="9376" xr:uid="{07AAD9D8-9B4D-42DC-9588-36D5231D2613}"/>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698626E0-76FA-4761-9045-99335C5A09B7}"/>
    <cellStyle name="Normal 4 2 5 2 3 2 3" xfId="11934" xr:uid="{17F45A92-FE1D-4EC2-856E-D54D11D822C0}"/>
    <cellStyle name="Normal 4 2 5 2 3 3" xfId="5568" xr:uid="{00000000-0005-0000-0000-0000D4130000}"/>
    <cellStyle name="Normal 4 2 5 2 3 3 2" xfId="14007" xr:uid="{37D773F3-66DD-4629-A7BC-AA5D140DBF8A}"/>
    <cellStyle name="Normal 4 2 5 2 3 4" xfId="9789" xr:uid="{FE99DF1B-4213-41F2-A182-CEFC9AF3CE72}"/>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B5437742-03E7-4E40-B0AC-D304ABF9E33F}"/>
    <cellStyle name="Normal 4 2 5 2 4 2 3" xfId="12347" xr:uid="{CEF8D99E-5CBF-48CD-810C-82A1D6017610}"/>
    <cellStyle name="Normal 4 2 5 2 4 3" xfId="5981" xr:uid="{00000000-0005-0000-0000-0000D8130000}"/>
    <cellStyle name="Normal 4 2 5 2 4 3 2" xfId="14420" xr:uid="{26C68BF6-DD1C-4826-85A6-DCD4EF6BA886}"/>
    <cellStyle name="Normal 4 2 5 2 4 4" xfId="10202" xr:uid="{92A08973-4008-4C61-AB96-D49EAFFC30B1}"/>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6BA4B87E-64CB-48E0-A0C9-FB7CEE95FA35}"/>
    <cellStyle name="Normal 4 2 5 2 5 2 3" xfId="12760" xr:uid="{9818F987-D7A1-4F9C-BFF4-1B77892B73A2}"/>
    <cellStyle name="Normal 4 2 5 2 5 3" xfId="6394" xr:uid="{00000000-0005-0000-0000-0000DC130000}"/>
    <cellStyle name="Normal 4 2 5 2 5 3 2" xfId="14833" xr:uid="{1F207A6F-6D2D-4437-A296-1C666F17F690}"/>
    <cellStyle name="Normal 4 2 5 2 5 4" xfId="10615" xr:uid="{C3B89697-1136-4FEE-8867-9804079339C4}"/>
    <cellStyle name="Normal 4 2 5 2 6" xfId="2523" xr:uid="{00000000-0005-0000-0000-0000DD130000}"/>
    <cellStyle name="Normal 4 2 5 2 6 2" xfId="6807" xr:uid="{00000000-0005-0000-0000-0000DE130000}"/>
    <cellStyle name="Normal 4 2 5 2 6 2 2" xfId="15246" xr:uid="{2BE0BA54-E748-41E6-848E-3B8EAFE596ED}"/>
    <cellStyle name="Normal 4 2 5 2 6 3" xfId="11028" xr:uid="{D82C9196-8C6F-4FE0-8C17-29357B30B934}"/>
    <cellStyle name="Normal 4 2 5 2 7" xfId="4742" xr:uid="{00000000-0005-0000-0000-0000DF130000}"/>
    <cellStyle name="Normal 4 2 5 2 7 2" xfId="13181" xr:uid="{788BEE60-9FC2-4DD6-9AC0-F36A6D61C312}"/>
    <cellStyle name="Normal 4 2 5 2 8" xfId="8963" xr:uid="{23B925B7-5004-468F-A61F-2CFFCA1A39F8}"/>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E5ED0018-5232-44E5-9932-BDBB394E2E7D}"/>
    <cellStyle name="Normal 4 2 5 3 2 3" xfId="11520" xr:uid="{0744A96C-C9C8-4462-BC49-A01B1696A518}"/>
    <cellStyle name="Normal 4 2 5 3 3" xfId="5154" xr:uid="{00000000-0005-0000-0000-0000E3130000}"/>
    <cellStyle name="Normal 4 2 5 3 3 2" xfId="13593" xr:uid="{8D113DD9-E66C-4B0B-BB70-EA8D11FF22C5}"/>
    <cellStyle name="Normal 4 2 5 3 4" xfId="9375" xr:uid="{AEE7D74D-E170-4D03-8507-79708FEC8C59}"/>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FE7470F0-C9F4-4FEC-A9E7-1A7423A61433}"/>
    <cellStyle name="Normal 4 2 5 4 2 3" xfId="11933" xr:uid="{5A2BA3C9-CFC6-4066-ABD5-4DEE5EAD4F14}"/>
    <cellStyle name="Normal 4 2 5 4 3" xfId="5567" xr:uid="{00000000-0005-0000-0000-0000E7130000}"/>
    <cellStyle name="Normal 4 2 5 4 3 2" xfId="14006" xr:uid="{A564891D-F3EC-4743-8085-E28AEA4DF689}"/>
    <cellStyle name="Normal 4 2 5 4 4" xfId="9788" xr:uid="{D14C256A-2BCF-4C87-B475-6F63B4681BDE}"/>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D5ECE9A3-771C-427D-8A65-5FF4BEA393C4}"/>
    <cellStyle name="Normal 4 2 5 5 2 3" xfId="12346" xr:uid="{E6183E39-4576-4F6E-8957-314C8C39C00B}"/>
    <cellStyle name="Normal 4 2 5 5 3" xfId="5980" xr:uid="{00000000-0005-0000-0000-0000EB130000}"/>
    <cellStyle name="Normal 4 2 5 5 3 2" xfId="14419" xr:uid="{013C14BD-41CB-4BDF-B195-1E62D44A3C05}"/>
    <cellStyle name="Normal 4 2 5 5 4" xfId="10201" xr:uid="{9A620069-7454-44BB-ACF7-73A60E78F2FC}"/>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E0E4628F-9E69-4120-8394-29584E443833}"/>
    <cellStyle name="Normal 4 2 5 6 2 3" xfId="12759" xr:uid="{ABCC48F0-7A5B-4D2E-BB53-1620E9F5F639}"/>
    <cellStyle name="Normal 4 2 5 6 3" xfId="6393" xr:uid="{00000000-0005-0000-0000-0000EF130000}"/>
    <cellStyle name="Normal 4 2 5 6 3 2" xfId="14832" xr:uid="{3F27810C-C9B2-4BB6-B5A6-8DB33703D19B}"/>
    <cellStyle name="Normal 4 2 5 6 4" xfId="10614" xr:uid="{D1FEB631-038D-4083-A4CB-BD9E9F062791}"/>
    <cellStyle name="Normal 4 2 5 7" xfId="2522" xr:uid="{00000000-0005-0000-0000-0000F0130000}"/>
    <cellStyle name="Normal 4 2 5 7 2" xfId="6806" xr:uid="{00000000-0005-0000-0000-0000F1130000}"/>
    <cellStyle name="Normal 4 2 5 7 2 2" xfId="15245" xr:uid="{711CA3F5-7A4E-4C45-9AF9-5DEFE07DB260}"/>
    <cellStyle name="Normal 4 2 5 7 3" xfId="11027" xr:uid="{4459FFB2-7D66-45E1-81BF-917D3ADA87B7}"/>
    <cellStyle name="Normal 4 2 5 8" xfId="4741" xr:uid="{00000000-0005-0000-0000-0000F2130000}"/>
    <cellStyle name="Normal 4 2 5 8 2" xfId="13180" xr:uid="{B07BADE5-407E-4436-B3A5-9C2CC8A26856}"/>
    <cellStyle name="Normal 4 2 5 9" xfId="8962" xr:uid="{A20782AC-ABB4-45A5-BA0F-0090AE53E089}"/>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8127D134-FFEC-4481-AA75-90CC56CF1A38}"/>
    <cellStyle name="Normal 4 2 6 2 2 3" xfId="11522" xr:uid="{79F0D6F0-D652-4018-B566-F2A922515B41}"/>
    <cellStyle name="Normal 4 2 6 2 3" xfId="5156" xr:uid="{00000000-0005-0000-0000-0000F7130000}"/>
    <cellStyle name="Normal 4 2 6 2 3 2" xfId="13595" xr:uid="{7953C9BE-CDCD-4742-9219-852102C38A5D}"/>
    <cellStyle name="Normal 4 2 6 2 4" xfId="9377" xr:uid="{2940EA5F-1338-4E80-8DA6-9664C8913A35}"/>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352A0F55-4A61-4AF4-8EF6-A6A8B2BF4D27}"/>
    <cellStyle name="Normal 4 2 6 3 2 3" xfId="11935" xr:uid="{93004FB6-B959-490C-AA07-D6C95AEFDA73}"/>
    <cellStyle name="Normal 4 2 6 3 3" xfId="5569" xr:uid="{00000000-0005-0000-0000-0000FB130000}"/>
    <cellStyle name="Normal 4 2 6 3 3 2" xfId="14008" xr:uid="{D86510C3-5A07-4853-8E86-473A09354DE8}"/>
    <cellStyle name="Normal 4 2 6 3 4" xfId="9790" xr:uid="{1F912F5D-CC81-4F32-A025-35FF7AA6B025}"/>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B269F111-EF2B-43F0-9EEE-3501287EFF3F}"/>
    <cellStyle name="Normal 4 2 6 4 2 3" xfId="12348" xr:uid="{DB1D3F11-FCDA-40DD-BB63-8614BAE355D5}"/>
    <cellStyle name="Normal 4 2 6 4 3" xfId="5982" xr:uid="{00000000-0005-0000-0000-0000FF130000}"/>
    <cellStyle name="Normal 4 2 6 4 3 2" xfId="14421" xr:uid="{800DD137-69FE-4805-BA02-E2286A420856}"/>
    <cellStyle name="Normal 4 2 6 4 4" xfId="10203" xr:uid="{400CEECE-949A-454E-96C4-4C5300E951D7}"/>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5B8145E7-2562-4FC5-BC3E-6FFFB334328C}"/>
    <cellStyle name="Normal 4 2 6 5 2 3" xfId="12761" xr:uid="{69302507-1A1C-492F-8333-AC2A1C594B10}"/>
    <cellStyle name="Normal 4 2 6 5 3" xfId="6395" xr:uid="{00000000-0005-0000-0000-000003140000}"/>
    <cellStyle name="Normal 4 2 6 5 3 2" xfId="14834" xr:uid="{03A88D22-7FC6-48D9-81F6-2E3D48D47DD9}"/>
    <cellStyle name="Normal 4 2 6 5 4" xfId="10616" xr:uid="{8766BD99-7F56-4C07-80CD-3D1F932C3DB6}"/>
    <cellStyle name="Normal 4 2 6 6" xfId="2524" xr:uid="{00000000-0005-0000-0000-000004140000}"/>
    <cellStyle name="Normal 4 2 6 6 2" xfId="6808" xr:uid="{00000000-0005-0000-0000-000005140000}"/>
    <cellStyle name="Normal 4 2 6 6 2 2" xfId="15247" xr:uid="{A5C072E8-91C6-430A-B0A6-AFA78423A02B}"/>
    <cellStyle name="Normal 4 2 6 6 3" xfId="11029" xr:uid="{38B029E2-24B1-41EB-AC37-A66006D3377B}"/>
    <cellStyle name="Normal 4 2 6 7" xfId="4743" xr:uid="{00000000-0005-0000-0000-000006140000}"/>
    <cellStyle name="Normal 4 2 6 7 2" xfId="13182" xr:uid="{4C0D8229-9AA8-4C83-83C4-D199DCE2DEA4}"/>
    <cellStyle name="Normal 4 2 6 8" xfId="8964" xr:uid="{7DD6BD06-E5E3-40CC-8C31-14D234AEBF28}"/>
    <cellStyle name="Normal 4 3" xfId="366" xr:uid="{00000000-0005-0000-0000-000007140000}"/>
    <cellStyle name="Normal 4 3 10" xfId="8965" xr:uid="{420CA96E-E88B-4F36-B4A4-B22DE1130F7E}"/>
    <cellStyle name="Normal 4 3 2" xfId="367" xr:uid="{00000000-0005-0000-0000-000008140000}"/>
    <cellStyle name="Normal 4 3 2 2" xfId="368" xr:uid="{00000000-0005-0000-0000-000009140000}"/>
    <cellStyle name="Normal 4 3 2 2 2" xfId="369" xr:uid="{00000000-0005-0000-0000-00000A140000}"/>
    <cellStyle name="Normal 4 3 2 2 2 10" xfId="8966" xr:uid="{A8C04874-9D22-4486-A397-BACFBD15196B}"/>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40224DAA-C55E-47D9-B5B7-3CA816B2A89F}"/>
    <cellStyle name="Normal 4 3 2 2 2 2 2 2 2 3" xfId="11526" xr:uid="{71BEB600-6CFD-45C3-B9D4-33D9C0F985CF}"/>
    <cellStyle name="Normal 4 3 2 2 2 2 2 2 3" xfId="5160" xr:uid="{00000000-0005-0000-0000-000010140000}"/>
    <cellStyle name="Normal 4 3 2 2 2 2 2 2 3 2" xfId="13599" xr:uid="{E20221AE-4B80-491B-8C73-E90D289B2686}"/>
    <cellStyle name="Normal 4 3 2 2 2 2 2 2 4" xfId="9381" xr:uid="{0368CCCB-1BCB-4ED9-A6DE-6B221786D7F7}"/>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08A2B2A4-8A85-4408-9EEA-C517E5A4CCD7}"/>
    <cellStyle name="Normal 4 3 2 2 2 2 2 3 2 3" xfId="11939" xr:uid="{3ACD4FE3-216B-48A0-9354-EEF5F8EF3E87}"/>
    <cellStyle name="Normal 4 3 2 2 2 2 2 3 3" xfId="5573" xr:uid="{00000000-0005-0000-0000-000014140000}"/>
    <cellStyle name="Normal 4 3 2 2 2 2 2 3 3 2" xfId="14012" xr:uid="{FED0075B-2C9B-409A-AA26-391AA5464F27}"/>
    <cellStyle name="Normal 4 3 2 2 2 2 2 3 4" xfId="9794" xr:uid="{FC41E6DD-5AF1-4E9A-91C0-10D59A0E3DFB}"/>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5BFBF55D-5C17-4376-8C94-565EC3E34A46}"/>
    <cellStyle name="Normal 4 3 2 2 2 2 2 4 2 3" xfId="12352" xr:uid="{5E37C1B9-08FA-43AE-A56E-99FA9D260EB3}"/>
    <cellStyle name="Normal 4 3 2 2 2 2 2 4 3" xfId="5986" xr:uid="{00000000-0005-0000-0000-000018140000}"/>
    <cellStyle name="Normal 4 3 2 2 2 2 2 4 3 2" xfId="14425" xr:uid="{0612F26F-D20A-4F80-8B4B-E88F5FCFCA15}"/>
    <cellStyle name="Normal 4 3 2 2 2 2 2 4 4" xfId="10207" xr:uid="{E708872D-EE48-4639-A643-472D94939E27}"/>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9DCD6D3F-5A8D-40CA-84FF-505055E2B999}"/>
    <cellStyle name="Normal 4 3 2 2 2 2 2 5 2 3" xfId="12765" xr:uid="{830AB34A-EEA1-4265-B890-04CE3F2F3C49}"/>
    <cellStyle name="Normal 4 3 2 2 2 2 2 5 3" xfId="6399" xr:uid="{00000000-0005-0000-0000-00001C140000}"/>
    <cellStyle name="Normal 4 3 2 2 2 2 2 5 3 2" xfId="14838" xr:uid="{25F32D04-7021-423B-86C5-926C8C8A3875}"/>
    <cellStyle name="Normal 4 3 2 2 2 2 2 5 4" xfId="10620" xr:uid="{C8E6B8BE-3DF1-4741-99A0-355689181654}"/>
    <cellStyle name="Normal 4 3 2 2 2 2 2 6" xfId="2528" xr:uid="{00000000-0005-0000-0000-00001D140000}"/>
    <cellStyle name="Normal 4 3 2 2 2 2 2 6 2" xfId="6812" xr:uid="{00000000-0005-0000-0000-00001E140000}"/>
    <cellStyle name="Normal 4 3 2 2 2 2 2 6 2 2" xfId="15251" xr:uid="{896AB41F-7214-4639-B23B-010DF9EDE6D6}"/>
    <cellStyle name="Normal 4 3 2 2 2 2 2 6 3" xfId="11033" xr:uid="{C9FE3107-D1D9-4765-8A18-0439BA357544}"/>
    <cellStyle name="Normal 4 3 2 2 2 2 2 7" xfId="4747" xr:uid="{00000000-0005-0000-0000-00001F140000}"/>
    <cellStyle name="Normal 4 3 2 2 2 2 2 7 2" xfId="13186" xr:uid="{2ACC92F5-7D87-4049-9452-BD99C342CDCD}"/>
    <cellStyle name="Normal 4 3 2 2 2 2 2 8" xfId="8968" xr:uid="{D843E31A-E459-4BD4-B0C9-8EB1CF55AFF8}"/>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289450AC-F28E-47A0-9415-611356285D0C}"/>
    <cellStyle name="Normal 4 3 2 2 2 2 3 2 3" xfId="11525" xr:uid="{CAE91075-FF41-4E7C-8758-66696E76D4A3}"/>
    <cellStyle name="Normal 4 3 2 2 2 2 3 3" xfId="5159" xr:uid="{00000000-0005-0000-0000-000023140000}"/>
    <cellStyle name="Normal 4 3 2 2 2 2 3 3 2" xfId="13598" xr:uid="{D593AEFC-F056-452B-957F-795601422E7E}"/>
    <cellStyle name="Normal 4 3 2 2 2 2 3 4" xfId="9380" xr:uid="{F639A66D-AF71-42F4-B7E7-772253FB4E0F}"/>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FAB72222-8CD3-4ADB-A07E-4FD88055A66C}"/>
    <cellStyle name="Normal 4 3 2 2 2 2 4 2 3" xfId="11938" xr:uid="{4D3E834F-A3F4-4071-A8C8-00F8E7B0F5A0}"/>
    <cellStyle name="Normal 4 3 2 2 2 2 4 3" xfId="5572" xr:uid="{00000000-0005-0000-0000-000027140000}"/>
    <cellStyle name="Normal 4 3 2 2 2 2 4 3 2" xfId="14011" xr:uid="{190423A6-BDAB-4C4B-B531-48DDC35ABE04}"/>
    <cellStyle name="Normal 4 3 2 2 2 2 4 4" xfId="9793" xr:uid="{63C96E3F-DD74-4FF4-ACB6-752665E07B8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7BEFFC45-1EA5-4CF0-9742-7B967C12230A}"/>
    <cellStyle name="Normal 4 3 2 2 2 2 5 2 3" xfId="12351" xr:uid="{23F7C263-3F77-4CD8-8278-8C88108ACD96}"/>
    <cellStyle name="Normal 4 3 2 2 2 2 5 3" xfId="5985" xr:uid="{00000000-0005-0000-0000-00002B140000}"/>
    <cellStyle name="Normal 4 3 2 2 2 2 5 3 2" xfId="14424" xr:uid="{2484D0FC-36F8-4CB9-AE3A-BA197882422A}"/>
    <cellStyle name="Normal 4 3 2 2 2 2 5 4" xfId="10206" xr:uid="{538251D3-6EC5-435D-B400-FB98DAE3EE5F}"/>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1775F970-C3FD-43C1-A585-B3A2F5098689}"/>
    <cellStyle name="Normal 4 3 2 2 2 2 6 2 3" xfId="12764" xr:uid="{33A3C6B0-3828-4C5C-B92C-FBDFD636D3B1}"/>
    <cellStyle name="Normal 4 3 2 2 2 2 6 3" xfId="6398" xr:uid="{00000000-0005-0000-0000-00002F140000}"/>
    <cellStyle name="Normal 4 3 2 2 2 2 6 3 2" xfId="14837" xr:uid="{B603AFE0-32ED-45A9-BE44-C654400E2FDC}"/>
    <cellStyle name="Normal 4 3 2 2 2 2 6 4" xfId="10619" xr:uid="{77C60D1E-9BAD-4CB4-A834-4E8716B6A6C2}"/>
    <cellStyle name="Normal 4 3 2 2 2 2 7" xfId="2527" xr:uid="{00000000-0005-0000-0000-000030140000}"/>
    <cellStyle name="Normal 4 3 2 2 2 2 7 2" xfId="6811" xr:uid="{00000000-0005-0000-0000-000031140000}"/>
    <cellStyle name="Normal 4 3 2 2 2 2 7 2 2" xfId="15250" xr:uid="{673D984A-F414-4B54-ABFC-421087D96724}"/>
    <cellStyle name="Normal 4 3 2 2 2 2 7 3" xfId="11032" xr:uid="{E8CECF23-EA3D-4C81-AFEA-BC72E2D06B1D}"/>
    <cellStyle name="Normal 4 3 2 2 2 2 8" xfId="4746" xr:uid="{00000000-0005-0000-0000-000032140000}"/>
    <cellStyle name="Normal 4 3 2 2 2 2 8 2" xfId="13185" xr:uid="{3A1ADDBF-9E3C-4AE6-B6E1-DA8A46E50DB2}"/>
    <cellStyle name="Normal 4 3 2 2 2 2 9" xfId="8967" xr:uid="{7A855D69-F235-43BC-A105-BB4FE3E3101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AC65CB1E-F6C1-44A4-AAB7-A87C0FDC24A9}"/>
    <cellStyle name="Normal 4 3 2 2 2 3 2 2 3" xfId="11527" xr:uid="{03278F51-D228-43B4-8962-F96A6975DD57}"/>
    <cellStyle name="Normal 4 3 2 2 2 3 2 3" xfId="5161" xr:uid="{00000000-0005-0000-0000-000037140000}"/>
    <cellStyle name="Normal 4 3 2 2 2 3 2 3 2" xfId="13600" xr:uid="{98508892-8E08-4E24-A859-5FA4CCE173EF}"/>
    <cellStyle name="Normal 4 3 2 2 2 3 2 4" xfId="9382" xr:uid="{A05F6945-C87D-48EA-A469-1161C7C9638B}"/>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29739484-46B2-4169-9632-E1A952ED2503}"/>
    <cellStyle name="Normal 4 3 2 2 2 3 3 2 3" xfId="11940" xr:uid="{4FE7558C-53EB-4CDF-8B38-E8D7A644492C}"/>
    <cellStyle name="Normal 4 3 2 2 2 3 3 3" xfId="5574" xr:uid="{00000000-0005-0000-0000-00003B140000}"/>
    <cellStyle name="Normal 4 3 2 2 2 3 3 3 2" xfId="14013" xr:uid="{015C3D80-875C-4F95-9F7E-A8ADBF80EFC1}"/>
    <cellStyle name="Normal 4 3 2 2 2 3 3 4" xfId="9795" xr:uid="{DFBE77EF-EC0D-4AFE-B38D-815C9D41D14C}"/>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83916B06-588E-4285-8B5A-BDE13986D826}"/>
    <cellStyle name="Normal 4 3 2 2 2 3 4 2 3" xfId="12353" xr:uid="{A7F286CA-445B-486D-9AE8-4E5D4F8E467C}"/>
    <cellStyle name="Normal 4 3 2 2 2 3 4 3" xfId="5987" xr:uid="{00000000-0005-0000-0000-00003F140000}"/>
    <cellStyle name="Normal 4 3 2 2 2 3 4 3 2" xfId="14426" xr:uid="{8A0819CA-7208-436B-B7F3-6DA2B255A97B}"/>
    <cellStyle name="Normal 4 3 2 2 2 3 4 4" xfId="10208" xr:uid="{E123D219-CD4D-4379-966C-97FF1C1C1F02}"/>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7FD6A39B-1A0E-4A57-BBF2-A1A96F3B3789}"/>
    <cellStyle name="Normal 4 3 2 2 2 3 5 2 3" xfId="12766" xr:uid="{85C81D60-FF89-4752-8FCE-E499675314F5}"/>
    <cellStyle name="Normal 4 3 2 2 2 3 5 3" xfId="6400" xr:uid="{00000000-0005-0000-0000-000043140000}"/>
    <cellStyle name="Normal 4 3 2 2 2 3 5 3 2" xfId="14839" xr:uid="{BAA46543-8A53-461C-8417-6E2EDB947823}"/>
    <cellStyle name="Normal 4 3 2 2 2 3 5 4" xfId="10621" xr:uid="{8EB64600-C608-462C-AAA8-E81BB0A13C32}"/>
    <cellStyle name="Normal 4 3 2 2 2 3 6" xfId="2529" xr:uid="{00000000-0005-0000-0000-000044140000}"/>
    <cellStyle name="Normal 4 3 2 2 2 3 6 2" xfId="6813" xr:uid="{00000000-0005-0000-0000-000045140000}"/>
    <cellStyle name="Normal 4 3 2 2 2 3 6 2 2" xfId="15252" xr:uid="{9AA30AA2-2A5C-46EA-AB20-A1AD0E238BA6}"/>
    <cellStyle name="Normal 4 3 2 2 2 3 6 3" xfId="11034" xr:uid="{D7137C7B-DF77-4749-82CA-47FB27619FC7}"/>
    <cellStyle name="Normal 4 3 2 2 2 3 7" xfId="4748" xr:uid="{00000000-0005-0000-0000-000046140000}"/>
    <cellStyle name="Normal 4 3 2 2 2 3 7 2" xfId="13187" xr:uid="{1DEA4F9D-B2E7-401C-9420-BB227CF30D63}"/>
    <cellStyle name="Normal 4 3 2 2 2 3 8" xfId="8969" xr:uid="{E7C05D5B-16FA-4C93-B122-7CFDD0FCCC7C}"/>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FC9F115E-7A3F-4A9C-9884-0A1C9FF349C9}"/>
    <cellStyle name="Normal 4 3 2 2 2 4 2 3" xfId="11524" xr:uid="{023CC2FF-F119-4709-8E6A-CA0DF0D6081B}"/>
    <cellStyle name="Normal 4 3 2 2 2 4 3" xfId="5158" xr:uid="{00000000-0005-0000-0000-00004A140000}"/>
    <cellStyle name="Normal 4 3 2 2 2 4 3 2" xfId="13597" xr:uid="{A80DF973-2B32-4CB7-B7D1-D72487DC3119}"/>
    <cellStyle name="Normal 4 3 2 2 2 4 4" xfId="9379" xr:uid="{5683F3B3-6E2F-4AA2-B27E-7E0C8BBFA3A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F93A42EB-04CD-4E61-8CE7-C32383649928}"/>
    <cellStyle name="Normal 4 3 2 2 2 5 2 3" xfId="11937" xr:uid="{0ECBE98B-BDE6-49BE-A561-55546FD54CED}"/>
    <cellStyle name="Normal 4 3 2 2 2 5 3" xfId="5571" xr:uid="{00000000-0005-0000-0000-00004E140000}"/>
    <cellStyle name="Normal 4 3 2 2 2 5 3 2" xfId="14010" xr:uid="{1170294E-FEDA-4176-ABF3-DF6DDAC7A978}"/>
    <cellStyle name="Normal 4 3 2 2 2 5 4" xfId="9792" xr:uid="{91A70891-9E05-4B6C-AD96-6CC6679D7568}"/>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4D9A277E-CCFE-466E-A3A7-4F130D875953}"/>
    <cellStyle name="Normal 4 3 2 2 2 6 2 3" xfId="12350" xr:uid="{7F2318AE-4666-4137-952E-9064A56B5A83}"/>
    <cellStyle name="Normal 4 3 2 2 2 6 3" xfId="5984" xr:uid="{00000000-0005-0000-0000-000052140000}"/>
    <cellStyle name="Normal 4 3 2 2 2 6 3 2" xfId="14423" xr:uid="{A05A7B1E-78E3-4430-BAB1-13D709A8CBCC}"/>
    <cellStyle name="Normal 4 3 2 2 2 6 4" xfId="10205" xr:uid="{A42FDCCC-6D73-411F-8401-481BB2408469}"/>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E9453361-7A9C-4836-95FF-33E198FD5353}"/>
    <cellStyle name="Normal 4 3 2 2 2 7 2 3" xfId="12763" xr:uid="{EC25CE72-9FD2-46AC-BC24-F03F7E4FE54C}"/>
    <cellStyle name="Normal 4 3 2 2 2 7 3" xfId="6397" xr:uid="{00000000-0005-0000-0000-000056140000}"/>
    <cellStyle name="Normal 4 3 2 2 2 7 3 2" xfId="14836" xr:uid="{D5260CF4-AE77-4EC7-8F61-F31DD98199F0}"/>
    <cellStyle name="Normal 4 3 2 2 2 7 4" xfId="10618" xr:uid="{5007C95B-8FB1-4221-8105-B9277F9C39C1}"/>
    <cellStyle name="Normal 4 3 2 2 2 8" xfId="2526" xr:uid="{00000000-0005-0000-0000-000057140000}"/>
    <cellStyle name="Normal 4 3 2 2 2 8 2" xfId="6810" xr:uid="{00000000-0005-0000-0000-000058140000}"/>
    <cellStyle name="Normal 4 3 2 2 2 8 2 2" xfId="15249" xr:uid="{0E96BE28-8E85-476B-B68E-24F0942A1008}"/>
    <cellStyle name="Normal 4 3 2 2 2 8 3" xfId="11031" xr:uid="{D036AD5E-FED5-4BEA-9C50-9CB820903E0D}"/>
    <cellStyle name="Normal 4 3 2 2 2 9" xfId="4745" xr:uid="{00000000-0005-0000-0000-000059140000}"/>
    <cellStyle name="Normal 4 3 2 2 2 9 2" xfId="13184" xr:uid="{9B9EE710-6FC2-43E0-A8CA-AE3E7EA65E49}"/>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4B9C32BD-C56B-4653-B77F-1ABF693601B7}"/>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2F88C17E-65FB-47AF-997B-D92BFCF704A0}"/>
    <cellStyle name="Normal 4 3 3 2 2 2 2 3" xfId="11530" xr:uid="{79940290-1808-4F51-A11F-BC71CA0FC55E}"/>
    <cellStyle name="Normal 4 3 3 2 2 2 3" xfId="5164" xr:uid="{00000000-0005-0000-0000-000063140000}"/>
    <cellStyle name="Normal 4 3 3 2 2 2 3 2" xfId="13603" xr:uid="{D2E4EC35-7380-4C8D-B3C6-CE88D4B7619A}"/>
    <cellStyle name="Normal 4 3 3 2 2 2 4" xfId="9385" xr:uid="{7724D13B-CF32-4CDD-ACB9-3973330AF8A8}"/>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348CD9A1-86E5-4B24-8401-CF0ED0D52796}"/>
    <cellStyle name="Normal 4 3 3 2 2 3 2 3" xfId="11943" xr:uid="{996F2F5A-E618-41D7-9469-4DD88459C709}"/>
    <cellStyle name="Normal 4 3 3 2 2 3 3" xfId="5577" xr:uid="{00000000-0005-0000-0000-000067140000}"/>
    <cellStyle name="Normal 4 3 3 2 2 3 3 2" xfId="14016" xr:uid="{2874201E-8750-4BA4-9B7D-C00C8850F5C9}"/>
    <cellStyle name="Normal 4 3 3 2 2 3 4" xfId="9798" xr:uid="{A3705688-C8A7-4561-8CC4-A2F6B66760B6}"/>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89655D78-388F-40B5-98AA-991A449DFF76}"/>
    <cellStyle name="Normal 4 3 3 2 2 4 2 3" xfId="12356" xr:uid="{53ED0476-AF02-473C-A7EF-611C8E304C42}"/>
    <cellStyle name="Normal 4 3 3 2 2 4 3" xfId="5990" xr:uid="{00000000-0005-0000-0000-00006B140000}"/>
    <cellStyle name="Normal 4 3 3 2 2 4 3 2" xfId="14429" xr:uid="{6EE7F560-85F3-4B99-9DF2-9B0DC665A214}"/>
    <cellStyle name="Normal 4 3 3 2 2 4 4" xfId="10211" xr:uid="{2ECC9988-1DBB-4FE9-B1F3-7C3C0B84E216}"/>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595C3F3E-A0C7-4413-8B2C-8D268DA347DC}"/>
    <cellStyle name="Normal 4 3 3 2 2 5 2 3" xfId="12769" xr:uid="{16F0F88E-96EA-487D-BA50-A8C79091AAED}"/>
    <cellStyle name="Normal 4 3 3 2 2 5 3" xfId="6403" xr:uid="{00000000-0005-0000-0000-00006F140000}"/>
    <cellStyle name="Normal 4 3 3 2 2 5 3 2" xfId="14842" xr:uid="{CF085817-2FA3-456D-8C33-1A6B6E2AB5C0}"/>
    <cellStyle name="Normal 4 3 3 2 2 5 4" xfId="10624" xr:uid="{49F758FF-2DC4-4B33-BE80-D62C863ABF38}"/>
    <cellStyle name="Normal 4 3 3 2 2 6" xfId="2532" xr:uid="{00000000-0005-0000-0000-000070140000}"/>
    <cellStyle name="Normal 4 3 3 2 2 6 2" xfId="6816" xr:uid="{00000000-0005-0000-0000-000071140000}"/>
    <cellStyle name="Normal 4 3 3 2 2 6 2 2" xfId="15255" xr:uid="{14F5840C-A36A-4B93-8E82-E5DEF2869E64}"/>
    <cellStyle name="Normal 4 3 3 2 2 6 3" xfId="11037" xr:uid="{10BF1FFE-7F77-4797-8E44-B673168CF53C}"/>
    <cellStyle name="Normal 4 3 3 2 2 7" xfId="4751" xr:uid="{00000000-0005-0000-0000-000072140000}"/>
    <cellStyle name="Normal 4 3 3 2 2 7 2" xfId="13190" xr:uid="{CDAB813F-B3D1-43DD-836E-9F0C752AF53B}"/>
    <cellStyle name="Normal 4 3 3 2 2 8" xfId="8972" xr:uid="{611D20FA-CF95-4D60-8C71-20F651F1C4F4}"/>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5F8DAC6F-6A02-4494-870C-02A669C7E2D4}"/>
    <cellStyle name="Normal 4 3 3 2 3 2 3" xfId="11529" xr:uid="{FB4136BC-85D1-457C-A1BD-0264B92164AF}"/>
    <cellStyle name="Normal 4 3 3 2 3 3" xfId="5163" xr:uid="{00000000-0005-0000-0000-000076140000}"/>
    <cellStyle name="Normal 4 3 3 2 3 3 2" xfId="13602" xr:uid="{5B7A6545-9075-4DCB-ADE7-D1027446D9D2}"/>
    <cellStyle name="Normal 4 3 3 2 3 4" xfId="9384" xr:uid="{C7E38401-88B5-463C-8760-532AE5A18203}"/>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2F3F3975-1E6F-4B31-93DC-12FD5C2E89E7}"/>
    <cellStyle name="Normal 4 3 3 2 4 2 3" xfId="11942" xr:uid="{69C143A8-5C83-486A-8C73-7BD065AA8BDC}"/>
    <cellStyle name="Normal 4 3 3 2 4 3" xfId="5576" xr:uid="{00000000-0005-0000-0000-00007A140000}"/>
    <cellStyle name="Normal 4 3 3 2 4 3 2" xfId="14015" xr:uid="{CEB051E0-E360-4B23-94CE-888C7C85F3AC}"/>
    <cellStyle name="Normal 4 3 3 2 4 4" xfId="9797" xr:uid="{175AD292-B3A9-4299-B049-376B81B076A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C06C0D37-D5D2-44CB-8FBA-CB6708E8D503}"/>
    <cellStyle name="Normal 4 3 3 2 5 2 3" xfId="12355" xr:uid="{75B85FB2-C61D-49D7-B9A8-255B4E4ABD57}"/>
    <cellStyle name="Normal 4 3 3 2 5 3" xfId="5989" xr:uid="{00000000-0005-0000-0000-00007E140000}"/>
    <cellStyle name="Normal 4 3 3 2 5 3 2" xfId="14428" xr:uid="{408DE6F5-9BC1-4FAD-87BF-5CF2AB812630}"/>
    <cellStyle name="Normal 4 3 3 2 5 4" xfId="10210" xr:uid="{30BF8132-22AF-4619-B147-E51FC34CBEB6}"/>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A9892B8B-740E-427D-B35D-4B67595486C9}"/>
    <cellStyle name="Normal 4 3 3 2 6 2 3" xfId="12768" xr:uid="{DC67D3B5-FF20-4067-97FF-16D104AAA729}"/>
    <cellStyle name="Normal 4 3 3 2 6 3" xfId="6402" xr:uid="{00000000-0005-0000-0000-000082140000}"/>
    <cellStyle name="Normal 4 3 3 2 6 3 2" xfId="14841" xr:uid="{B35C8878-BF90-466B-B294-E544D10CAB2F}"/>
    <cellStyle name="Normal 4 3 3 2 6 4" xfId="10623" xr:uid="{1E2AB3FF-A12A-4B28-87E1-1D481E2E293D}"/>
    <cellStyle name="Normal 4 3 3 2 7" xfId="2531" xr:uid="{00000000-0005-0000-0000-000083140000}"/>
    <cellStyle name="Normal 4 3 3 2 7 2" xfId="6815" xr:uid="{00000000-0005-0000-0000-000084140000}"/>
    <cellStyle name="Normal 4 3 3 2 7 2 2" xfId="15254" xr:uid="{95B21439-7302-4347-BB9C-F5E73F08FBE8}"/>
    <cellStyle name="Normal 4 3 3 2 7 3" xfId="11036" xr:uid="{2B62A883-08BA-4A42-9AF3-A03AE899E8D5}"/>
    <cellStyle name="Normal 4 3 3 2 8" xfId="4750" xr:uid="{00000000-0005-0000-0000-000085140000}"/>
    <cellStyle name="Normal 4 3 3 2 8 2" xfId="13189" xr:uid="{0C45AB10-E930-4999-889D-6B9497BC9145}"/>
    <cellStyle name="Normal 4 3 3 2 9" xfId="8971" xr:uid="{9D49D758-AED5-4118-BE42-F18CF709764C}"/>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742C4209-4BFA-41A2-A95F-606BC82E7E3A}"/>
    <cellStyle name="Normal 4 3 3 3 2 2 3" xfId="11531" xr:uid="{E991FD36-7BE1-4E95-9E8D-31DFA0EFBB34}"/>
    <cellStyle name="Normal 4 3 3 3 2 3" xfId="5165" xr:uid="{00000000-0005-0000-0000-00008A140000}"/>
    <cellStyle name="Normal 4 3 3 3 2 3 2" xfId="13604" xr:uid="{E375E0A8-16E8-4D50-AFFC-D2B3EFA9BAFE}"/>
    <cellStyle name="Normal 4 3 3 3 2 4" xfId="9386" xr:uid="{D17D145C-717C-47B3-9E2E-43D7029AF414}"/>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66D4770C-5D57-44A6-8CC2-7508C172C322}"/>
    <cellStyle name="Normal 4 3 3 3 3 2 3" xfId="11944" xr:uid="{DEAFF8B3-025A-42FE-9205-4DAAD25D33BB}"/>
    <cellStyle name="Normal 4 3 3 3 3 3" xfId="5578" xr:uid="{00000000-0005-0000-0000-00008E140000}"/>
    <cellStyle name="Normal 4 3 3 3 3 3 2" xfId="14017" xr:uid="{65AD4525-CBAA-495A-BC0F-D9A6143FF6E9}"/>
    <cellStyle name="Normal 4 3 3 3 3 4" xfId="9799" xr:uid="{88247F49-ACC8-43E4-B30B-57489194AE34}"/>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1B2E36B9-80E9-46DC-A8BE-3B3F21AF538E}"/>
    <cellStyle name="Normal 4 3 3 3 4 2 3" xfId="12357" xr:uid="{5CA7AFFB-7025-440B-8F1B-0D235662E278}"/>
    <cellStyle name="Normal 4 3 3 3 4 3" xfId="5991" xr:uid="{00000000-0005-0000-0000-000092140000}"/>
    <cellStyle name="Normal 4 3 3 3 4 3 2" xfId="14430" xr:uid="{008C555F-0963-4592-8D04-60FFAEF842C3}"/>
    <cellStyle name="Normal 4 3 3 3 4 4" xfId="10212" xr:uid="{DF899CA6-CAEA-4EEB-A1A6-6B56F2C994C4}"/>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7448B228-1034-4B32-BCC1-3AE81A2B8B81}"/>
    <cellStyle name="Normal 4 3 3 3 5 2 3" xfId="12770" xr:uid="{4C34C196-FF7E-4ADE-B82F-D74F491515B3}"/>
    <cellStyle name="Normal 4 3 3 3 5 3" xfId="6404" xr:uid="{00000000-0005-0000-0000-000096140000}"/>
    <cellStyle name="Normal 4 3 3 3 5 3 2" xfId="14843" xr:uid="{6125C37E-F426-422B-AD22-23B5350ED072}"/>
    <cellStyle name="Normal 4 3 3 3 5 4" xfId="10625" xr:uid="{F158DBD8-24FB-4F5E-8AB0-081995CC1029}"/>
    <cellStyle name="Normal 4 3 3 3 6" xfId="2533" xr:uid="{00000000-0005-0000-0000-000097140000}"/>
    <cellStyle name="Normal 4 3 3 3 6 2" xfId="6817" xr:uid="{00000000-0005-0000-0000-000098140000}"/>
    <cellStyle name="Normal 4 3 3 3 6 2 2" xfId="15256" xr:uid="{8901E8F4-1981-41ED-AEBE-B94B64C63B8B}"/>
    <cellStyle name="Normal 4 3 3 3 6 3" xfId="11038" xr:uid="{0D0F9E2B-4716-46DB-AA4C-81570C26A0D2}"/>
    <cellStyle name="Normal 4 3 3 3 7" xfId="4752" xr:uid="{00000000-0005-0000-0000-000099140000}"/>
    <cellStyle name="Normal 4 3 3 3 7 2" xfId="13191" xr:uid="{046FCB2E-A1B3-4815-8A82-821FF55CD12A}"/>
    <cellStyle name="Normal 4 3 3 3 8" xfId="8973" xr:uid="{8EEFBEDE-4F68-42BD-8924-81FDF6D20885}"/>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946B0A83-9E40-48A3-98DD-E7DDB9EEEBDF}"/>
    <cellStyle name="Normal 4 3 3 4 2 3" xfId="11528" xr:uid="{165F2D03-9702-4595-8C50-E00FEA7B7315}"/>
    <cellStyle name="Normal 4 3 3 4 3" xfId="5162" xr:uid="{00000000-0005-0000-0000-00009D140000}"/>
    <cellStyle name="Normal 4 3 3 4 3 2" xfId="13601" xr:uid="{1E7BEEFB-AD33-4FD5-9DFA-0F0482BCF560}"/>
    <cellStyle name="Normal 4 3 3 4 4" xfId="9383" xr:uid="{1451016A-E7F5-41ED-8E3D-BD94B98E3F77}"/>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8822B4E1-A446-4423-AC23-9536B0BD3261}"/>
    <cellStyle name="Normal 4 3 3 5 2 3" xfId="11941" xr:uid="{C8A52092-9C55-4864-83A5-A9A1FBAC968B}"/>
    <cellStyle name="Normal 4 3 3 5 3" xfId="5575" xr:uid="{00000000-0005-0000-0000-0000A1140000}"/>
    <cellStyle name="Normal 4 3 3 5 3 2" xfId="14014" xr:uid="{372C13A2-5D44-4CB6-96AD-CB4E52997EE8}"/>
    <cellStyle name="Normal 4 3 3 5 4" xfId="9796" xr:uid="{1A79254A-A892-4606-B0AB-730BE68FABA8}"/>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008C22C9-4B61-4117-98FB-7B3FE3534016}"/>
    <cellStyle name="Normal 4 3 3 6 2 3" xfId="12354" xr:uid="{D05125D5-F068-4AA7-A670-ECB43E306A4D}"/>
    <cellStyle name="Normal 4 3 3 6 3" xfId="5988" xr:uid="{00000000-0005-0000-0000-0000A5140000}"/>
    <cellStyle name="Normal 4 3 3 6 3 2" xfId="14427" xr:uid="{B021F4B2-CFF8-47B2-B6F3-2803492DAC01}"/>
    <cellStyle name="Normal 4 3 3 6 4" xfId="10209" xr:uid="{984BAB4B-7FD3-4792-BF2E-78C3D0C24B23}"/>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CE359EB7-E701-4C09-99E7-5CF900CDB3F6}"/>
    <cellStyle name="Normal 4 3 3 7 2 3" xfId="12767" xr:uid="{4F24AF7E-8542-4C9F-A980-94782EF579BB}"/>
    <cellStyle name="Normal 4 3 3 7 3" xfId="6401" xr:uid="{00000000-0005-0000-0000-0000A9140000}"/>
    <cellStyle name="Normal 4 3 3 7 3 2" xfId="14840" xr:uid="{76128D7F-8D81-453B-AFC7-E4362C60E699}"/>
    <cellStyle name="Normal 4 3 3 7 4" xfId="10622" xr:uid="{151C851C-0C00-419B-8506-3BF365D6E720}"/>
    <cellStyle name="Normal 4 3 3 8" xfId="2530" xr:uid="{00000000-0005-0000-0000-0000AA140000}"/>
    <cellStyle name="Normal 4 3 3 8 2" xfId="6814" xr:uid="{00000000-0005-0000-0000-0000AB140000}"/>
    <cellStyle name="Normal 4 3 3 8 2 2" xfId="15253" xr:uid="{4572106B-A9A2-4D48-8A3E-988416E2E60A}"/>
    <cellStyle name="Normal 4 3 3 8 3" xfId="11035" xr:uid="{3F0F7BA0-49D8-4FE3-AAF5-18BA63EE3DA9}"/>
    <cellStyle name="Normal 4 3 3 9" xfId="4749" xr:uid="{00000000-0005-0000-0000-0000AC140000}"/>
    <cellStyle name="Normal 4 3 3 9 2" xfId="13188" xr:uid="{E8030882-1FE5-497B-97DC-02A587EADB58}"/>
    <cellStyle name="Normal 4 3 4" xfId="842" xr:uid="{00000000-0005-0000-0000-0000AD140000}"/>
    <cellStyle name="Normal 4 3 4 2" xfId="3079" xr:uid="{00000000-0005-0000-0000-0000AE140000}"/>
    <cellStyle name="Normal 4 3 4 2 2" xfId="7302" xr:uid="{00000000-0005-0000-0000-0000AF140000}"/>
    <cellStyle name="Normal 4 3 4 2 2 2" xfId="15741" xr:uid="{827FD30C-DB7F-4DEF-AFCE-7D36CC973292}"/>
    <cellStyle name="Normal 4 3 4 2 3" xfId="11523" xr:uid="{53AF93B1-5415-4079-88B8-4DCEDB87E0E8}"/>
    <cellStyle name="Normal 4 3 4 3" xfId="5157" xr:uid="{00000000-0005-0000-0000-0000B0140000}"/>
    <cellStyle name="Normal 4 3 4 3 2" xfId="13596" xr:uid="{A777392D-C098-4441-9BE5-C5FAF6F58EF4}"/>
    <cellStyle name="Normal 4 3 4 4" xfId="9378" xr:uid="{45EF4118-260A-4142-B4CE-7F25C6F2B232}"/>
    <cellStyle name="Normal 4 3 5" xfId="1262" xr:uid="{00000000-0005-0000-0000-0000B1140000}"/>
    <cellStyle name="Normal 4 3 5 2" xfId="3492" xr:uid="{00000000-0005-0000-0000-0000B2140000}"/>
    <cellStyle name="Normal 4 3 5 2 2" xfId="7715" xr:uid="{00000000-0005-0000-0000-0000B3140000}"/>
    <cellStyle name="Normal 4 3 5 2 2 2" xfId="16154" xr:uid="{07C07D4C-B684-4043-9A2C-7FDBE841D89D}"/>
    <cellStyle name="Normal 4 3 5 2 3" xfId="11936" xr:uid="{45729E50-2CFC-4A89-A4F7-951999A2B186}"/>
    <cellStyle name="Normal 4 3 5 3" xfId="5570" xr:uid="{00000000-0005-0000-0000-0000B4140000}"/>
    <cellStyle name="Normal 4 3 5 3 2" xfId="14009" xr:uid="{54AD62FE-FBA0-41C6-9883-E7A6C756CE37}"/>
    <cellStyle name="Normal 4 3 5 4" xfId="9791" xr:uid="{003DDA58-DC4F-4C6A-B4EB-CA1295AF1A2B}"/>
    <cellStyle name="Normal 4 3 6" xfId="1675" xr:uid="{00000000-0005-0000-0000-0000B5140000}"/>
    <cellStyle name="Normal 4 3 6 2" xfId="3905" xr:uid="{00000000-0005-0000-0000-0000B6140000}"/>
    <cellStyle name="Normal 4 3 6 2 2" xfId="8128" xr:uid="{00000000-0005-0000-0000-0000B7140000}"/>
    <cellStyle name="Normal 4 3 6 2 2 2" xfId="16567" xr:uid="{35F98746-F82D-41D6-86E7-B20F759F31D7}"/>
    <cellStyle name="Normal 4 3 6 2 3" xfId="12349" xr:uid="{FCE063F2-7709-47C0-A1E8-7A9051E0CCC3}"/>
    <cellStyle name="Normal 4 3 6 3" xfId="5983" xr:uid="{00000000-0005-0000-0000-0000B8140000}"/>
    <cellStyle name="Normal 4 3 6 3 2" xfId="14422" xr:uid="{A477AA42-E1D0-4846-9912-C7E64CAE264A}"/>
    <cellStyle name="Normal 4 3 6 4" xfId="10204" xr:uid="{FFC4221B-991F-4979-82EE-0696EC571F30}"/>
    <cellStyle name="Normal 4 3 7" xfId="2089" xr:uid="{00000000-0005-0000-0000-0000B9140000}"/>
    <cellStyle name="Normal 4 3 7 2" xfId="4318" xr:uid="{00000000-0005-0000-0000-0000BA140000}"/>
    <cellStyle name="Normal 4 3 7 2 2" xfId="8541" xr:uid="{00000000-0005-0000-0000-0000BB140000}"/>
    <cellStyle name="Normal 4 3 7 2 2 2" xfId="16980" xr:uid="{0A32D779-7630-45DE-BAE6-0518DFE575BD}"/>
    <cellStyle name="Normal 4 3 7 2 3" xfId="12762" xr:uid="{88680B9E-C88D-4A94-9D61-51075CCC5133}"/>
    <cellStyle name="Normal 4 3 7 3" xfId="6396" xr:uid="{00000000-0005-0000-0000-0000BC140000}"/>
    <cellStyle name="Normal 4 3 7 3 2" xfId="14835" xr:uid="{20DE8B04-82FD-483A-A79A-9594E6840B0A}"/>
    <cellStyle name="Normal 4 3 7 4" xfId="10617" xr:uid="{EF948CBA-4EB0-43F5-A8CE-42F93A344F88}"/>
    <cellStyle name="Normal 4 3 8" xfId="2525" xr:uid="{00000000-0005-0000-0000-0000BD140000}"/>
    <cellStyle name="Normal 4 3 8 2" xfId="6809" xr:uid="{00000000-0005-0000-0000-0000BE140000}"/>
    <cellStyle name="Normal 4 3 8 2 2" xfId="15248" xr:uid="{410FDE72-BAE2-45B7-9CB7-E54C10CF246F}"/>
    <cellStyle name="Normal 4 3 8 3" xfId="11030" xr:uid="{9A314E4B-771A-41C2-B905-18626638A08E}"/>
    <cellStyle name="Normal 4 3 9" xfId="4744" xr:uid="{00000000-0005-0000-0000-0000BF140000}"/>
    <cellStyle name="Normal 4 3 9 2" xfId="13183" xr:uid="{6D1C452F-2B35-448E-A2ED-E6209D0B1F47}"/>
    <cellStyle name="Normal 4 4" xfId="378" xr:uid="{00000000-0005-0000-0000-0000C0140000}"/>
    <cellStyle name="Normal 4 4 10" xfId="2534" xr:uid="{00000000-0005-0000-0000-0000C1140000}"/>
    <cellStyle name="Normal 4 4 10 2" xfId="6818" xr:uid="{00000000-0005-0000-0000-0000C2140000}"/>
    <cellStyle name="Normal 4 4 10 2 2" xfId="15257" xr:uid="{3A5FBEF5-B551-438A-9630-91C463B2D5D3}"/>
    <cellStyle name="Normal 4 4 10 3" xfId="11039" xr:uid="{82428B4F-252E-47A0-8B21-506D903A2D2A}"/>
    <cellStyle name="Normal 4 4 11" xfId="4753" xr:uid="{00000000-0005-0000-0000-0000C3140000}"/>
    <cellStyle name="Normal 4 4 11 2" xfId="13192" xr:uid="{F10CF5A7-6930-4287-A88E-3B6DAC1C4CBD}"/>
    <cellStyle name="Normal 4 4 12" xfId="8974" xr:uid="{43508DDC-1350-4AF8-840B-7C167AE8AF2F}"/>
    <cellStyle name="Normal 4 4 2" xfId="379" xr:uid="{00000000-0005-0000-0000-0000C4140000}"/>
    <cellStyle name="Normal 4 4 2 10" xfId="4754" xr:uid="{00000000-0005-0000-0000-0000C5140000}"/>
    <cellStyle name="Normal 4 4 2 10 2" xfId="13193" xr:uid="{0E97321B-550C-4C25-AEAF-2FE4A65ED9C5}"/>
    <cellStyle name="Normal 4 4 2 11" xfId="8975" xr:uid="{5F168B59-59A0-472A-8AE2-6741ADA3B3FB}"/>
    <cellStyle name="Normal 4 4 2 2" xfId="380" xr:uid="{00000000-0005-0000-0000-0000C6140000}"/>
    <cellStyle name="Normal 4 4 2 2 10" xfId="8976" xr:uid="{60F0BC81-2CB7-4287-9799-5F0724B8E2E5}"/>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77DA7292-2A16-4ABF-8BDA-73836A558382}"/>
    <cellStyle name="Normal 4 4 2 2 2 2 2 2 3" xfId="11536" xr:uid="{ECEE362C-7BE1-4599-A456-17063356D1D0}"/>
    <cellStyle name="Normal 4 4 2 2 2 2 2 3" xfId="5170" xr:uid="{00000000-0005-0000-0000-0000CC140000}"/>
    <cellStyle name="Normal 4 4 2 2 2 2 2 3 2" xfId="13609" xr:uid="{22B892FE-373F-4755-B8B5-AB1CC6BB0B16}"/>
    <cellStyle name="Normal 4 4 2 2 2 2 2 4" xfId="9391" xr:uid="{BA2891C1-1268-4C43-99A1-D4BE18F660EB}"/>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FCCB4D45-455A-4A5B-BE23-2EF69EA61893}"/>
    <cellStyle name="Normal 4 4 2 2 2 2 3 2 3" xfId="11949" xr:uid="{52804592-9869-43C3-A174-8E471350F66A}"/>
    <cellStyle name="Normal 4 4 2 2 2 2 3 3" xfId="5583" xr:uid="{00000000-0005-0000-0000-0000D0140000}"/>
    <cellStyle name="Normal 4 4 2 2 2 2 3 3 2" xfId="14022" xr:uid="{E6D123DE-580A-4F96-A4D4-446055E3A2EF}"/>
    <cellStyle name="Normal 4 4 2 2 2 2 3 4" xfId="9804" xr:uid="{9146FF77-1920-4863-8EC1-F68A0A03A7E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D014D273-CD64-4967-9B4A-AA9F5CADBE79}"/>
    <cellStyle name="Normal 4 4 2 2 2 2 4 2 3" xfId="12362" xr:uid="{2C30ACD3-52A3-41BC-A606-B22557B69766}"/>
    <cellStyle name="Normal 4 4 2 2 2 2 4 3" xfId="5996" xr:uid="{00000000-0005-0000-0000-0000D4140000}"/>
    <cellStyle name="Normal 4 4 2 2 2 2 4 3 2" xfId="14435" xr:uid="{5DCBC450-BD93-4F93-B864-E46BEE6BCA22}"/>
    <cellStyle name="Normal 4 4 2 2 2 2 4 4" xfId="10217" xr:uid="{8280680E-F57D-4D7E-8175-8C8A2A048828}"/>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7BAF555F-4724-469F-A2ED-AE309942CCCA}"/>
    <cellStyle name="Normal 4 4 2 2 2 2 5 2 3" xfId="12775" xr:uid="{39D42754-9DF2-43A1-8E5F-6151EEE79BA6}"/>
    <cellStyle name="Normal 4 4 2 2 2 2 5 3" xfId="6409" xr:uid="{00000000-0005-0000-0000-0000D8140000}"/>
    <cellStyle name="Normal 4 4 2 2 2 2 5 3 2" xfId="14848" xr:uid="{3B07A37B-9275-48A9-BB3C-99D926B81099}"/>
    <cellStyle name="Normal 4 4 2 2 2 2 5 4" xfId="10630" xr:uid="{9A25570F-2D2A-4598-8D16-FBEC6381F312}"/>
    <cellStyle name="Normal 4 4 2 2 2 2 6" xfId="2538" xr:uid="{00000000-0005-0000-0000-0000D9140000}"/>
    <cellStyle name="Normal 4 4 2 2 2 2 6 2" xfId="6822" xr:uid="{00000000-0005-0000-0000-0000DA140000}"/>
    <cellStyle name="Normal 4 4 2 2 2 2 6 2 2" xfId="15261" xr:uid="{A43A4B59-06FE-4F40-ABC1-64D774E09B08}"/>
    <cellStyle name="Normal 4 4 2 2 2 2 6 3" xfId="11043" xr:uid="{C14FE89F-4B8D-406F-94EF-6CEA4DE549C4}"/>
    <cellStyle name="Normal 4 4 2 2 2 2 7" xfId="4757" xr:uid="{00000000-0005-0000-0000-0000DB140000}"/>
    <cellStyle name="Normal 4 4 2 2 2 2 7 2" xfId="13196" xr:uid="{A214A326-9E4A-4CC6-A412-8885F0F2DA93}"/>
    <cellStyle name="Normal 4 4 2 2 2 2 8" xfId="8978" xr:uid="{D2C68889-90EE-407B-BA56-5B1819788AD9}"/>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D22E4A58-BA82-49FF-A360-4E7F50EFBCFD}"/>
    <cellStyle name="Normal 4 4 2 2 2 3 2 3" xfId="11535" xr:uid="{4C131E69-BE2C-4828-961E-5E00E8A1CEDD}"/>
    <cellStyle name="Normal 4 4 2 2 2 3 3" xfId="5169" xr:uid="{00000000-0005-0000-0000-0000DF140000}"/>
    <cellStyle name="Normal 4 4 2 2 2 3 3 2" xfId="13608" xr:uid="{8E2F624C-3FDA-46FC-B626-284082FA6ED4}"/>
    <cellStyle name="Normal 4 4 2 2 2 3 4" xfId="9390" xr:uid="{BE35876F-6D2C-4174-BDC4-9D5B4D5481B5}"/>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1111166B-61D7-4F9D-AC45-B41239181268}"/>
    <cellStyle name="Normal 4 4 2 2 2 4 2 3" xfId="11948" xr:uid="{F9478CA3-63D2-4A00-A4DB-BAE942D071F9}"/>
    <cellStyle name="Normal 4 4 2 2 2 4 3" xfId="5582" xr:uid="{00000000-0005-0000-0000-0000E3140000}"/>
    <cellStyle name="Normal 4 4 2 2 2 4 3 2" xfId="14021" xr:uid="{AFE5B923-F74A-4B79-B0A8-76191D9D737A}"/>
    <cellStyle name="Normal 4 4 2 2 2 4 4" xfId="9803" xr:uid="{4559D43D-63A3-44C7-B70F-09DCDDADF1C3}"/>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C2B46CAC-0941-4987-9785-D8F870812FFB}"/>
    <cellStyle name="Normal 4 4 2 2 2 5 2 3" xfId="12361" xr:uid="{7C63CA55-EE79-484D-9E5E-6A0EB3640678}"/>
    <cellStyle name="Normal 4 4 2 2 2 5 3" xfId="5995" xr:uid="{00000000-0005-0000-0000-0000E7140000}"/>
    <cellStyle name="Normal 4 4 2 2 2 5 3 2" xfId="14434" xr:uid="{DE676D4B-E38F-4DEA-8C48-81007E4E501A}"/>
    <cellStyle name="Normal 4 4 2 2 2 5 4" xfId="10216" xr:uid="{9A739C8D-E045-423E-A4F9-1D9B6959FCFA}"/>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56337843-9C59-4319-BDFB-98466C357630}"/>
    <cellStyle name="Normal 4 4 2 2 2 6 2 3" xfId="12774" xr:uid="{210F6302-031F-4878-B5E6-350CEEAD3C0E}"/>
    <cellStyle name="Normal 4 4 2 2 2 6 3" xfId="6408" xr:uid="{00000000-0005-0000-0000-0000EB140000}"/>
    <cellStyle name="Normal 4 4 2 2 2 6 3 2" xfId="14847" xr:uid="{1C4E510F-C865-4D1D-88D3-EE73C8BF979A}"/>
    <cellStyle name="Normal 4 4 2 2 2 6 4" xfId="10629" xr:uid="{CAB41BD4-FD29-4B95-A23E-F0AEB42F00BF}"/>
    <cellStyle name="Normal 4 4 2 2 2 7" xfId="2537" xr:uid="{00000000-0005-0000-0000-0000EC140000}"/>
    <cellStyle name="Normal 4 4 2 2 2 7 2" xfId="6821" xr:uid="{00000000-0005-0000-0000-0000ED140000}"/>
    <cellStyle name="Normal 4 4 2 2 2 7 2 2" xfId="15260" xr:uid="{56A3CB90-80E3-4132-865B-8F123D428F8D}"/>
    <cellStyle name="Normal 4 4 2 2 2 7 3" xfId="11042" xr:uid="{DD18AC41-6EDC-426F-88E9-F91E15B3DD05}"/>
    <cellStyle name="Normal 4 4 2 2 2 8" xfId="4756" xr:uid="{00000000-0005-0000-0000-0000EE140000}"/>
    <cellStyle name="Normal 4 4 2 2 2 8 2" xfId="13195" xr:uid="{3FE07602-0F3A-453F-B4A3-397ADFF34895}"/>
    <cellStyle name="Normal 4 4 2 2 2 9" xfId="8977" xr:uid="{BBE597FF-DBE5-4D70-921B-CDC92A71F0E5}"/>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BD40EF3B-FF1B-4A32-95AC-B03ACEF54C02}"/>
    <cellStyle name="Normal 4 4 2 2 3 2 2 3" xfId="11537" xr:uid="{81904CAB-0FAD-4382-9B80-C80824049080}"/>
    <cellStyle name="Normal 4 4 2 2 3 2 3" xfId="5171" xr:uid="{00000000-0005-0000-0000-0000F3140000}"/>
    <cellStyle name="Normal 4 4 2 2 3 2 3 2" xfId="13610" xr:uid="{CAFACFB7-68B5-42FD-8BD1-C69D3713F770}"/>
    <cellStyle name="Normal 4 4 2 2 3 2 4" xfId="9392" xr:uid="{3E1794F2-012F-492D-A083-955171C7641C}"/>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10D47EDC-6C46-4632-A1CB-F8C2A6356F8A}"/>
    <cellStyle name="Normal 4 4 2 2 3 3 2 3" xfId="11950" xr:uid="{F517758C-A069-4276-98AE-8D32677FCCB8}"/>
    <cellStyle name="Normal 4 4 2 2 3 3 3" xfId="5584" xr:uid="{00000000-0005-0000-0000-0000F7140000}"/>
    <cellStyle name="Normal 4 4 2 2 3 3 3 2" xfId="14023" xr:uid="{A16DE2B8-D01B-4FF0-B599-062776431947}"/>
    <cellStyle name="Normal 4 4 2 2 3 3 4" xfId="9805" xr:uid="{7384E4BC-AF1B-4E24-A964-49B6E1EC3984}"/>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FA0D534E-66BD-4781-B02B-65DCADD1F4CF}"/>
    <cellStyle name="Normal 4 4 2 2 3 4 2 3" xfId="12363" xr:uid="{86FDAB9C-039E-4640-B788-5D558116877C}"/>
    <cellStyle name="Normal 4 4 2 2 3 4 3" xfId="5997" xr:uid="{00000000-0005-0000-0000-0000FB140000}"/>
    <cellStyle name="Normal 4 4 2 2 3 4 3 2" xfId="14436" xr:uid="{BE55F907-D544-4909-8D4E-1A9472A07E3F}"/>
    <cellStyle name="Normal 4 4 2 2 3 4 4" xfId="10218" xr:uid="{0BB5A930-E5FF-48E8-9FBB-2A8689500AA8}"/>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279D50C4-4F00-478F-BD39-9160CBE51877}"/>
    <cellStyle name="Normal 4 4 2 2 3 5 2 3" xfId="12776" xr:uid="{798EFADD-25C9-4D35-8863-4D122D3027BE}"/>
    <cellStyle name="Normal 4 4 2 2 3 5 3" xfId="6410" xr:uid="{00000000-0005-0000-0000-0000FF140000}"/>
    <cellStyle name="Normal 4 4 2 2 3 5 3 2" xfId="14849" xr:uid="{7C41B379-AB74-4FA0-90C8-C326B9F03988}"/>
    <cellStyle name="Normal 4 4 2 2 3 5 4" xfId="10631" xr:uid="{FE1BDBDD-03FE-4D82-80B7-405FCC7B8EE8}"/>
    <cellStyle name="Normal 4 4 2 2 3 6" xfId="2539" xr:uid="{00000000-0005-0000-0000-000000150000}"/>
    <cellStyle name="Normal 4 4 2 2 3 6 2" xfId="6823" xr:uid="{00000000-0005-0000-0000-000001150000}"/>
    <cellStyle name="Normal 4 4 2 2 3 6 2 2" xfId="15262" xr:uid="{CE0768D9-9381-4F41-B23B-236E1F6E6F27}"/>
    <cellStyle name="Normal 4 4 2 2 3 6 3" xfId="11044" xr:uid="{653E4856-46D3-419A-BCD6-2BBB2B249656}"/>
    <cellStyle name="Normal 4 4 2 2 3 7" xfId="4758" xr:uid="{00000000-0005-0000-0000-000002150000}"/>
    <cellStyle name="Normal 4 4 2 2 3 7 2" xfId="13197" xr:uid="{7419E6DC-8812-4494-944F-1E91BA17EA7C}"/>
    <cellStyle name="Normal 4 4 2 2 3 8" xfId="8979" xr:uid="{17622FCD-7036-4A50-8C5E-8464BB290991}"/>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E7DDA0DA-7A7C-4F38-883D-5A90402C1951}"/>
    <cellStyle name="Normal 4 4 2 2 4 2 3" xfId="11534" xr:uid="{7F0B50E0-F3FC-4668-A270-27AD28CC3C8C}"/>
    <cellStyle name="Normal 4 4 2 2 4 3" xfId="5168" xr:uid="{00000000-0005-0000-0000-000006150000}"/>
    <cellStyle name="Normal 4 4 2 2 4 3 2" xfId="13607" xr:uid="{52228A34-AEA9-4B44-BDE8-56FF91DE2320}"/>
    <cellStyle name="Normal 4 4 2 2 4 4" xfId="9389" xr:uid="{4A93E730-EBBE-41B8-9D71-F3B597DE0309}"/>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1C88BA41-EE57-4755-8D3F-D7FA989BB5A1}"/>
    <cellStyle name="Normal 4 4 2 2 5 2 3" xfId="11947" xr:uid="{4EB4915A-7889-48E8-A134-AA9603D9D946}"/>
    <cellStyle name="Normal 4 4 2 2 5 3" xfId="5581" xr:uid="{00000000-0005-0000-0000-00000A150000}"/>
    <cellStyle name="Normal 4 4 2 2 5 3 2" xfId="14020" xr:uid="{6A5F4018-8570-4ECA-AD00-16ABF958D828}"/>
    <cellStyle name="Normal 4 4 2 2 5 4" xfId="9802" xr:uid="{5FFF5C05-DADD-4581-9B11-D3B78133D8DC}"/>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EA5FF5C9-8073-499D-8F55-FED5A17E6B83}"/>
    <cellStyle name="Normal 4 4 2 2 6 2 3" xfId="12360" xr:uid="{BF50DD39-23AA-4719-9FD2-FD2473719AD3}"/>
    <cellStyle name="Normal 4 4 2 2 6 3" xfId="5994" xr:uid="{00000000-0005-0000-0000-00000E150000}"/>
    <cellStyle name="Normal 4 4 2 2 6 3 2" xfId="14433" xr:uid="{4397B33F-C6C3-48FB-AE90-53C43A471117}"/>
    <cellStyle name="Normal 4 4 2 2 6 4" xfId="10215" xr:uid="{604E6A4F-BFCF-4D3C-8A73-76859C43C68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AD2FEAD0-B53D-4039-A810-A1C535D2D451}"/>
    <cellStyle name="Normal 4 4 2 2 7 2 3" xfId="12773" xr:uid="{F038E30F-CCF2-41A8-81BC-F0EAD0C6BBD1}"/>
    <cellStyle name="Normal 4 4 2 2 7 3" xfId="6407" xr:uid="{00000000-0005-0000-0000-000012150000}"/>
    <cellStyle name="Normal 4 4 2 2 7 3 2" xfId="14846" xr:uid="{33C43257-C956-4D37-A1E5-5E5D895E0937}"/>
    <cellStyle name="Normal 4 4 2 2 7 4" xfId="10628" xr:uid="{ACF3651F-837B-4326-9C0D-A2A28ACCD8F8}"/>
    <cellStyle name="Normal 4 4 2 2 8" xfId="2536" xr:uid="{00000000-0005-0000-0000-000013150000}"/>
    <cellStyle name="Normal 4 4 2 2 8 2" xfId="6820" xr:uid="{00000000-0005-0000-0000-000014150000}"/>
    <cellStyle name="Normal 4 4 2 2 8 2 2" xfId="15259" xr:uid="{2FC452F8-3D7F-48F4-BEC9-1F653C5E2D73}"/>
    <cellStyle name="Normal 4 4 2 2 8 3" xfId="11041" xr:uid="{2586ADFE-8B95-442A-8228-A0BC2C74225E}"/>
    <cellStyle name="Normal 4 4 2 2 9" xfId="4755" xr:uid="{00000000-0005-0000-0000-000015150000}"/>
    <cellStyle name="Normal 4 4 2 2 9 2" xfId="13194" xr:uid="{906E3004-6D88-424A-9CBF-01FD6289DB53}"/>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1C8867C3-F7B4-4C58-B88A-25F94433A50E}"/>
    <cellStyle name="Normal 4 4 2 3 2 2 2 3" xfId="11539" xr:uid="{3F9B1E38-E9F2-438E-8A7F-8F150CFC872A}"/>
    <cellStyle name="Normal 4 4 2 3 2 2 3" xfId="5173" xr:uid="{00000000-0005-0000-0000-00001B150000}"/>
    <cellStyle name="Normal 4 4 2 3 2 2 3 2" xfId="13612" xr:uid="{E5DC32E8-F5CF-476E-B23D-8F4CAA240BD4}"/>
    <cellStyle name="Normal 4 4 2 3 2 2 4" xfId="9394" xr:uid="{42B00752-2080-462D-A247-860C1815AE46}"/>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87D928D1-C224-4135-977F-45F42E6DD810}"/>
    <cellStyle name="Normal 4 4 2 3 2 3 2 3" xfId="11952" xr:uid="{BFAD843E-976B-4F58-A4DD-8806F7314C1F}"/>
    <cellStyle name="Normal 4 4 2 3 2 3 3" xfId="5586" xr:uid="{00000000-0005-0000-0000-00001F150000}"/>
    <cellStyle name="Normal 4 4 2 3 2 3 3 2" xfId="14025" xr:uid="{A53E995B-6941-4E54-9151-B83D2E96E670}"/>
    <cellStyle name="Normal 4 4 2 3 2 3 4" xfId="9807" xr:uid="{CFD5C6EE-6284-4963-8A44-DD961BF82437}"/>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AE5C4FC5-66B6-44E1-954F-9416EDDEE75B}"/>
    <cellStyle name="Normal 4 4 2 3 2 4 2 3" xfId="12365" xr:uid="{FEA80A06-BE82-4FE1-A151-121A36572F70}"/>
    <cellStyle name="Normal 4 4 2 3 2 4 3" xfId="5999" xr:uid="{00000000-0005-0000-0000-000023150000}"/>
    <cellStyle name="Normal 4 4 2 3 2 4 3 2" xfId="14438" xr:uid="{87C429D2-9DD3-4811-AE59-48B8A3057C29}"/>
    <cellStyle name="Normal 4 4 2 3 2 4 4" xfId="10220" xr:uid="{BE9481CC-B8D3-41F2-B37A-1136D886F255}"/>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F3E23AEC-B03B-4065-8C20-7FDA90215DA3}"/>
    <cellStyle name="Normal 4 4 2 3 2 5 2 3" xfId="12778" xr:uid="{DF6DD9A0-FF4E-4FB1-A5D8-CEF431847CE0}"/>
    <cellStyle name="Normal 4 4 2 3 2 5 3" xfId="6412" xr:uid="{00000000-0005-0000-0000-000027150000}"/>
    <cellStyle name="Normal 4 4 2 3 2 5 3 2" xfId="14851" xr:uid="{400C43A5-182F-4AB6-90BA-3012318EFFF9}"/>
    <cellStyle name="Normal 4 4 2 3 2 5 4" xfId="10633" xr:uid="{41B73791-644A-4478-AFC1-A84836721C52}"/>
    <cellStyle name="Normal 4 4 2 3 2 6" xfId="2541" xr:uid="{00000000-0005-0000-0000-000028150000}"/>
    <cellStyle name="Normal 4 4 2 3 2 6 2" xfId="6825" xr:uid="{00000000-0005-0000-0000-000029150000}"/>
    <cellStyle name="Normal 4 4 2 3 2 6 2 2" xfId="15264" xr:uid="{76F1C925-EC7B-4B6F-B54D-6FB6BE988AFA}"/>
    <cellStyle name="Normal 4 4 2 3 2 6 3" xfId="11046" xr:uid="{D19FA263-212E-48CA-A818-A40826CC6425}"/>
    <cellStyle name="Normal 4 4 2 3 2 7" xfId="4760" xr:uid="{00000000-0005-0000-0000-00002A150000}"/>
    <cellStyle name="Normal 4 4 2 3 2 7 2" xfId="13199" xr:uid="{B92957B4-3B54-4155-ACE8-D88EF82482BB}"/>
    <cellStyle name="Normal 4 4 2 3 2 8" xfId="8981" xr:uid="{554A4129-2425-4287-AFA2-866F42D3E71B}"/>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CFACCB03-3372-46CD-B33C-ACDA9066A567}"/>
    <cellStyle name="Normal 4 4 2 3 3 2 3" xfId="11538" xr:uid="{D3D43A9C-3F1C-4422-B934-E6EDFD69965A}"/>
    <cellStyle name="Normal 4 4 2 3 3 3" xfId="5172" xr:uid="{00000000-0005-0000-0000-00002E150000}"/>
    <cellStyle name="Normal 4 4 2 3 3 3 2" xfId="13611" xr:uid="{B7CBB95F-9BE0-408C-B0C1-3E6EFD6E3D81}"/>
    <cellStyle name="Normal 4 4 2 3 3 4" xfId="9393" xr:uid="{0B1D0336-CFE4-484A-8E96-1E2316E572F2}"/>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0EC2DFF8-443A-4A4E-8FAC-0B5056E3EDFA}"/>
    <cellStyle name="Normal 4 4 2 3 4 2 3" xfId="11951" xr:uid="{AD15A797-4294-421F-AA66-7CA8B04041A6}"/>
    <cellStyle name="Normal 4 4 2 3 4 3" xfId="5585" xr:uid="{00000000-0005-0000-0000-000032150000}"/>
    <cellStyle name="Normal 4 4 2 3 4 3 2" xfId="14024" xr:uid="{109616FF-FFF7-4C66-8002-0D4C467361E5}"/>
    <cellStyle name="Normal 4 4 2 3 4 4" xfId="9806" xr:uid="{E3BE0F6F-2BA9-43D7-BF51-B1BE34904247}"/>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E1A0A4D0-5B3D-4A2E-89D3-3536D3EB9E39}"/>
    <cellStyle name="Normal 4 4 2 3 5 2 3" xfId="12364" xr:uid="{669C7023-3642-4CAD-A3D5-DDBFB7380647}"/>
    <cellStyle name="Normal 4 4 2 3 5 3" xfId="5998" xr:uid="{00000000-0005-0000-0000-000036150000}"/>
    <cellStyle name="Normal 4 4 2 3 5 3 2" xfId="14437" xr:uid="{2E93F854-34ED-4D79-A783-A68DBA02F7D7}"/>
    <cellStyle name="Normal 4 4 2 3 5 4" xfId="10219" xr:uid="{D1DD3FA2-A2BC-47DA-A641-9973DF284BAF}"/>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4D1133FD-70AE-4848-836A-3DFB98009B04}"/>
    <cellStyle name="Normal 4 4 2 3 6 2 3" xfId="12777" xr:uid="{983A9BED-4247-4F2E-BC4B-AC4CA5710F68}"/>
    <cellStyle name="Normal 4 4 2 3 6 3" xfId="6411" xr:uid="{00000000-0005-0000-0000-00003A150000}"/>
    <cellStyle name="Normal 4 4 2 3 6 3 2" xfId="14850" xr:uid="{65F15526-ABD0-4FD7-8E6E-ECD74A986114}"/>
    <cellStyle name="Normal 4 4 2 3 6 4" xfId="10632" xr:uid="{28BBC5D1-D651-4D22-972F-D44C2F61428F}"/>
    <cellStyle name="Normal 4 4 2 3 7" xfId="2540" xr:uid="{00000000-0005-0000-0000-00003B150000}"/>
    <cellStyle name="Normal 4 4 2 3 7 2" xfId="6824" xr:uid="{00000000-0005-0000-0000-00003C150000}"/>
    <cellStyle name="Normal 4 4 2 3 7 2 2" xfId="15263" xr:uid="{BB7FD37B-5286-4814-A065-CEC9F20795E4}"/>
    <cellStyle name="Normal 4 4 2 3 7 3" xfId="11045" xr:uid="{4C5AE91D-D013-4CCF-BC8D-C577104468B8}"/>
    <cellStyle name="Normal 4 4 2 3 8" xfId="4759" xr:uid="{00000000-0005-0000-0000-00003D150000}"/>
    <cellStyle name="Normal 4 4 2 3 8 2" xfId="13198" xr:uid="{622C24B7-5262-4BE8-8DB0-9BE8E57F1737}"/>
    <cellStyle name="Normal 4 4 2 3 9" xfId="8980" xr:uid="{885751E3-72CD-4FDC-9679-E0BA9E9DCE5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8EFDC9A0-255F-4798-AB6D-5CF4BAFAB552}"/>
    <cellStyle name="Normal 4 4 2 4 2 2 3" xfId="11540" xr:uid="{B641CED7-E3A7-4FD4-B630-4B8B7AEABA6B}"/>
    <cellStyle name="Normal 4 4 2 4 2 3" xfId="5174" xr:uid="{00000000-0005-0000-0000-000042150000}"/>
    <cellStyle name="Normal 4 4 2 4 2 3 2" xfId="13613" xr:uid="{2CD29892-CFE0-4E65-89BA-BDF363CA65C4}"/>
    <cellStyle name="Normal 4 4 2 4 2 4" xfId="9395" xr:uid="{38184CBD-BF20-4455-ACAA-A38ECFF04B2C}"/>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FB59C28D-1F9F-47C5-98AB-F9B0FDE85A58}"/>
    <cellStyle name="Normal 4 4 2 4 3 2 3" xfId="11953" xr:uid="{409E4D2F-F1F9-4CEB-AAA1-FC39E2E0306F}"/>
    <cellStyle name="Normal 4 4 2 4 3 3" xfId="5587" xr:uid="{00000000-0005-0000-0000-000046150000}"/>
    <cellStyle name="Normal 4 4 2 4 3 3 2" xfId="14026" xr:uid="{71A012D0-ED2C-4109-B5D1-3685753F3C0E}"/>
    <cellStyle name="Normal 4 4 2 4 3 4" xfId="9808" xr:uid="{58562FC1-2441-4071-858D-010282EBBB68}"/>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7C2B4EAB-50E0-40A2-B6C0-7E5366D847C5}"/>
    <cellStyle name="Normal 4 4 2 4 4 2 3" xfId="12366" xr:uid="{91F02FC7-8A77-4E97-874B-60FC38BDBE90}"/>
    <cellStyle name="Normal 4 4 2 4 4 3" xfId="6000" xr:uid="{00000000-0005-0000-0000-00004A150000}"/>
    <cellStyle name="Normal 4 4 2 4 4 3 2" xfId="14439" xr:uid="{C53C9675-62C1-4B9C-98D0-FB73F4DB1A17}"/>
    <cellStyle name="Normal 4 4 2 4 4 4" xfId="10221" xr:uid="{CCC429AF-7833-4C72-89A6-2F4F55505DE7}"/>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273CC411-59A5-408D-A824-132659F1F919}"/>
    <cellStyle name="Normal 4 4 2 4 5 2 3" xfId="12779" xr:uid="{B93B88AF-BD70-434F-AC6E-DF678C4DB240}"/>
    <cellStyle name="Normal 4 4 2 4 5 3" xfId="6413" xr:uid="{00000000-0005-0000-0000-00004E150000}"/>
    <cellStyle name="Normal 4 4 2 4 5 3 2" xfId="14852" xr:uid="{282A0106-E77C-481A-934F-A85F15E83CAE}"/>
    <cellStyle name="Normal 4 4 2 4 5 4" xfId="10634" xr:uid="{5B74EF6B-F0AA-4380-A990-A9D8054DEC56}"/>
    <cellStyle name="Normal 4 4 2 4 6" xfId="2542" xr:uid="{00000000-0005-0000-0000-00004F150000}"/>
    <cellStyle name="Normal 4 4 2 4 6 2" xfId="6826" xr:uid="{00000000-0005-0000-0000-000050150000}"/>
    <cellStyle name="Normal 4 4 2 4 6 2 2" xfId="15265" xr:uid="{CB545D4C-890C-4628-8716-222E3E996D72}"/>
    <cellStyle name="Normal 4 4 2 4 6 3" xfId="11047" xr:uid="{1EB5A52F-2A18-49EF-8CC6-F90ACCA2EA40}"/>
    <cellStyle name="Normal 4 4 2 4 7" xfId="4761" xr:uid="{00000000-0005-0000-0000-000051150000}"/>
    <cellStyle name="Normal 4 4 2 4 7 2" xfId="13200" xr:uid="{874C8A00-1014-4367-8956-804D2B52D08D}"/>
    <cellStyle name="Normal 4 4 2 4 8" xfId="8982" xr:uid="{9C4D6391-4E03-4A10-86BE-4F818E52F2BD}"/>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15EC6BF4-BC64-4073-B0FA-0F03AABA6458}"/>
    <cellStyle name="Normal 4 4 2 5 2 3" xfId="11533" xr:uid="{EF2EBDC7-734F-477C-A6EF-8FBFDB2C2055}"/>
    <cellStyle name="Normal 4 4 2 5 3" xfId="5167" xr:uid="{00000000-0005-0000-0000-000055150000}"/>
    <cellStyle name="Normal 4 4 2 5 3 2" xfId="13606" xr:uid="{651077F1-D669-404C-8B75-1FE520F13024}"/>
    <cellStyle name="Normal 4 4 2 5 4" xfId="9388" xr:uid="{8C2B5DC7-0550-43C7-A50D-65FC62BF73FF}"/>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16C364E7-2215-497E-B9EA-4F3A0667D48D}"/>
    <cellStyle name="Normal 4 4 2 6 2 3" xfId="11946" xr:uid="{9780B75E-6408-4876-9A59-74DFF49CE5B1}"/>
    <cellStyle name="Normal 4 4 2 6 3" xfId="5580" xr:uid="{00000000-0005-0000-0000-000059150000}"/>
    <cellStyle name="Normal 4 4 2 6 3 2" xfId="14019" xr:uid="{F9DB24B3-4DF0-44A2-82EF-E466849A9578}"/>
    <cellStyle name="Normal 4 4 2 6 4" xfId="9801" xr:uid="{2C351A56-54C7-44D4-BF55-E0E0B811605C}"/>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C41F404D-A897-442E-9898-5B52EDB9172B}"/>
    <cellStyle name="Normal 4 4 2 7 2 3" xfId="12359" xr:uid="{E560DC35-978E-4923-A905-78E45C4C0A51}"/>
    <cellStyle name="Normal 4 4 2 7 3" xfId="5993" xr:uid="{00000000-0005-0000-0000-00005D150000}"/>
    <cellStyle name="Normal 4 4 2 7 3 2" xfId="14432" xr:uid="{01AF6D39-50CF-4264-97F5-DE4840B7BB86}"/>
    <cellStyle name="Normal 4 4 2 7 4" xfId="10214" xr:uid="{71AAE3D0-CCB9-4DB5-B356-2B33F50C96AE}"/>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E6E0F20E-5205-4FD4-87AC-BC32A15B2E42}"/>
    <cellStyle name="Normal 4 4 2 8 2 3" xfId="12772" xr:uid="{780E63A1-A0D1-4347-A728-C2F01413EEA9}"/>
    <cellStyle name="Normal 4 4 2 8 3" xfId="6406" xr:uid="{00000000-0005-0000-0000-000061150000}"/>
    <cellStyle name="Normal 4 4 2 8 3 2" xfId="14845" xr:uid="{B289E214-F934-40D7-BE2B-C51806C6F6D1}"/>
    <cellStyle name="Normal 4 4 2 8 4" xfId="10627" xr:uid="{4D8931B9-1BB4-43D2-B2C6-7AB63D34E110}"/>
    <cellStyle name="Normal 4 4 2 9" xfId="2535" xr:uid="{00000000-0005-0000-0000-000062150000}"/>
    <cellStyle name="Normal 4 4 2 9 2" xfId="6819" xr:uid="{00000000-0005-0000-0000-000063150000}"/>
    <cellStyle name="Normal 4 4 2 9 2 2" xfId="15258" xr:uid="{7FADADA7-36FC-48C7-B5E3-06E20739AEEF}"/>
    <cellStyle name="Normal 4 4 2 9 3" xfId="11040" xr:uid="{16317741-6A5E-472E-A17C-673970A09BBB}"/>
    <cellStyle name="Normal 4 4 3" xfId="387" xr:uid="{00000000-0005-0000-0000-000064150000}"/>
    <cellStyle name="Normal 4 4 3 10" xfId="8983" xr:uid="{97CA3459-BA29-491B-BAEF-B35FBEA82DDA}"/>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A0EC68C5-B8C6-476C-8A43-6E5BE1A04326}"/>
    <cellStyle name="Normal 4 4 3 2 2 2 2 3" xfId="11543" xr:uid="{426BA5EA-6EE5-405F-9B1E-07329C3EA019}"/>
    <cellStyle name="Normal 4 4 3 2 2 2 3" xfId="5177" xr:uid="{00000000-0005-0000-0000-00006A150000}"/>
    <cellStyle name="Normal 4 4 3 2 2 2 3 2" xfId="13616" xr:uid="{055405E0-2F25-4EF2-873A-727BD32A93DB}"/>
    <cellStyle name="Normal 4 4 3 2 2 2 4" xfId="9398" xr:uid="{93F2685A-3128-4F02-AD26-FAA92D08820E}"/>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EAE8BA77-B3AB-4FA1-80D0-B0602EC5BED2}"/>
    <cellStyle name="Normal 4 4 3 2 2 3 2 3" xfId="11956" xr:uid="{B734E6D4-5B6D-450F-A2AF-F95940EBF955}"/>
    <cellStyle name="Normal 4 4 3 2 2 3 3" xfId="5590" xr:uid="{00000000-0005-0000-0000-00006E150000}"/>
    <cellStyle name="Normal 4 4 3 2 2 3 3 2" xfId="14029" xr:uid="{6EDFB006-F8C8-4C8E-BA73-7576912FC4D2}"/>
    <cellStyle name="Normal 4 4 3 2 2 3 4" xfId="9811" xr:uid="{CC1A0098-B109-4FCD-A9A4-0E43B8D34CBE}"/>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34BBEB05-D26E-41E5-981C-916EBB8BC73B}"/>
    <cellStyle name="Normal 4 4 3 2 2 4 2 3" xfId="12369" xr:uid="{6389342C-5B40-43C0-BCA6-602B4DE2F0EF}"/>
    <cellStyle name="Normal 4 4 3 2 2 4 3" xfId="6003" xr:uid="{00000000-0005-0000-0000-000072150000}"/>
    <cellStyle name="Normal 4 4 3 2 2 4 3 2" xfId="14442" xr:uid="{D2F11E62-6CD6-41B5-95F0-9C9B81B9CC98}"/>
    <cellStyle name="Normal 4 4 3 2 2 4 4" xfId="10224" xr:uid="{FC96A9AA-6D76-4CA2-A75F-07C032FF032D}"/>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8A0DACCF-BCAF-4BFA-8B57-10E3CD2979B4}"/>
    <cellStyle name="Normal 4 4 3 2 2 5 2 3" xfId="12782" xr:uid="{ACF18794-C5C0-44EE-9B82-5CE163B8047B}"/>
    <cellStyle name="Normal 4 4 3 2 2 5 3" xfId="6416" xr:uid="{00000000-0005-0000-0000-000076150000}"/>
    <cellStyle name="Normal 4 4 3 2 2 5 3 2" xfId="14855" xr:uid="{C3831280-AFE8-46EE-B803-A6A4CA748F45}"/>
    <cellStyle name="Normal 4 4 3 2 2 5 4" xfId="10637" xr:uid="{B1EAD063-5A6B-4A02-9A2C-701E42689174}"/>
    <cellStyle name="Normal 4 4 3 2 2 6" xfId="2545" xr:uid="{00000000-0005-0000-0000-000077150000}"/>
    <cellStyle name="Normal 4 4 3 2 2 6 2" xfId="6829" xr:uid="{00000000-0005-0000-0000-000078150000}"/>
    <cellStyle name="Normal 4 4 3 2 2 6 2 2" xfId="15268" xr:uid="{0D8B0B29-ECC6-4682-913F-98F772B0B510}"/>
    <cellStyle name="Normal 4 4 3 2 2 6 3" xfId="11050" xr:uid="{6EB1F65E-9425-431D-82B7-F07F91671FB7}"/>
    <cellStyle name="Normal 4 4 3 2 2 7" xfId="4764" xr:uid="{00000000-0005-0000-0000-000079150000}"/>
    <cellStyle name="Normal 4 4 3 2 2 7 2" xfId="13203" xr:uid="{D5B5E9EE-4880-4740-A6A2-A0273A2DA716}"/>
    <cellStyle name="Normal 4 4 3 2 2 8" xfId="8985" xr:uid="{CFAC7D24-969B-4D38-8A23-C1A9595D2CB8}"/>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13FB4F89-EDF8-44B6-A442-73B2FD57D6AB}"/>
    <cellStyle name="Normal 4 4 3 2 3 2 3" xfId="11542" xr:uid="{148A0D10-813A-45C4-95D4-B0416DEBE4A6}"/>
    <cellStyle name="Normal 4 4 3 2 3 3" xfId="5176" xr:uid="{00000000-0005-0000-0000-00007D150000}"/>
    <cellStyle name="Normal 4 4 3 2 3 3 2" xfId="13615" xr:uid="{1CCB6D12-A853-4436-B23B-50239369B5FE}"/>
    <cellStyle name="Normal 4 4 3 2 3 4" xfId="9397" xr:uid="{C392824D-66E3-4DFE-8869-7AF7DBC46477}"/>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EB86A59D-B7D0-4F0B-AA23-B8FCF6C4D290}"/>
    <cellStyle name="Normal 4 4 3 2 4 2 3" xfId="11955" xr:uid="{280C214B-830E-446D-A93D-B50B487CF0CE}"/>
    <cellStyle name="Normal 4 4 3 2 4 3" xfId="5589" xr:uid="{00000000-0005-0000-0000-000081150000}"/>
    <cellStyle name="Normal 4 4 3 2 4 3 2" xfId="14028" xr:uid="{99F09443-4BBC-4272-82D3-FEE8ECE506BC}"/>
    <cellStyle name="Normal 4 4 3 2 4 4" xfId="9810" xr:uid="{0202DD48-A343-452E-8E3B-0B2FB4443C82}"/>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6807E089-07E3-48E8-87C0-D90BAA702CE4}"/>
    <cellStyle name="Normal 4 4 3 2 5 2 3" xfId="12368" xr:uid="{E4DE0400-12CD-4364-B2FB-A0B31E761A96}"/>
    <cellStyle name="Normal 4 4 3 2 5 3" xfId="6002" xr:uid="{00000000-0005-0000-0000-000085150000}"/>
    <cellStyle name="Normal 4 4 3 2 5 3 2" xfId="14441" xr:uid="{155DA581-852E-41FC-BBC1-4CD235475F15}"/>
    <cellStyle name="Normal 4 4 3 2 5 4" xfId="10223" xr:uid="{F56A9C19-21C7-40C2-B383-55ED4BAA0953}"/>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842F5068-074F-43B6-913C-503ED7ED026D}"/>
    <cellStyle name="Normal 4 4 3 2 6 2 3" xfId="12781" xr:uid="{A43189E9-67CB-4294-A0D0-2E2359922FD7}"/>
    <cellStyle name="Normal 4 4 3 2 6 3" xfId="6415" xr:uid="{00000000-0005-0000-0000-000089150000}"/>
    <cellStyle name="Normal 4 4 3 2 6 3 2" xfId="14854" xr:uid="{A4916C94-26A5-436C-A128-47B29CAD76FB}"/>
    <cellStyle name="Normal 4 4 3 2 6 4" xfId="10636" xr:uid="{12B95374-00DF-4A66-AA31-6B9C0551E7ED}"/>
    <cellStyle name="Normal 4 4 3 2 7" xfId="2544" xr:uid="{00000000-0005-0000-0000-00008A150000}"/>
    <cellStyle name="Normal 4 4 3 2 7 2" xfId="6828" xr:uid="{00000000-0005-0000-0000-00008B150000}"/>
    <cellStyle name="Normal 4 4 3 2 7 2 2" xfId="15267" xr:uid="{C89D0CA8-48CF-4673-8C66-3D958AE0B4A0}"/>
    <cellStyle name="Normal 4 4 3 2 7 3" xfId="11049" xr:uid="{AC378589-BE8A-40FD-9974-933318B7A844}"/>
    <cellStyle name="Normal 4 4 3 2 8" xfId="4763" xr:uid="{00000000-0005-0000-0000-00008C150000}"/>
    <cellStyle name="Normal 4 4 3 2 8 2" xfId="13202" xr:uid="{F64A6AC1-EABD-42E2-91F1-43D54F4AAB77}"/>
    <cellStyle name="Normal 4 4 3 2 9" xfId="8984" xr:uid="{6CE2581E-8D07-4702-9E47-2C12138DE10E}"/>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A9589CA5-F849-45D7-84AE-AC4102AE9297}"/>
    <cellStyle name="Normal 4 4 3 3 2 2 3" xfId="11544" xr:uid="{EA511669-C81C-44ED-9762-BD4AAB0DFCA1}"/>
    <cellStyle name="Normal 4 4 3 3 2 3" xfId="5178" xr:uid="{00000000-0005-0000-0000-000091150000}"/>
    <cellStyle name="Normal 4 4 3 3 2 3 2" xfId="13617" xr:uid="{0C5F8714-2465-41E3-8077-55B372D09548}"/>
    <cellStyle name="Normal 4 4 3 3 2 4" xfId="9399" xr:uid="{913BBE5D-76FC-415C-A81C-EAF9104C7EDF}"/>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2A439661-6A76-4BFB-BA3F-C684D37F0200}"/>
    <cellStyle name="Normal 4 4 3 3 3 2 3" xfId="11957" xr:uid="{3CFB71F2-1F57-4B7E-A17B-E533E4863989}"/>
    <cellStyle name="Normal 4 4 3 3 3 3" xfId="5591" xr:uid="{00000000-0005-0000-0000-000095150000}"/>
    <cellStyle name="Normal 4 4 3 3 3 3 2" xfId="14030" xr:uid="{76E754EB-5394-4E49-89A8-E7D32572FF0E}"/>
    <cellStyle name="Normal 4 4 3 3 3 4" xfId="9812" xr:uid="{968EEF47-DEF6-4CB8-90D2-2F5779AE216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621DF4E7-5A89-42E6-91B1-A07C9F5D0F0C}"/>
    <cellStyle name="Normal 4 4 3 3 4 2 3" xfId="12370" xr:uid="{7CAF782F-045E-4B06-B049-CCB7AB2075B2}"/>
    <cellStyle name="Normal 4 4 3 3 4 3" xfId="6004" xr:uid="{00000000-0005-0000-0000-000099150000}"/>
    <cellStyle name="Normal 4 4 3 3 4 3 2" xfId="14443" xr:uid="{9835696C-1916-4459-833D-B43054946D2A}"/>
    <cellStyle name="Normal 4 4 3 3 4 4" xfId="10225" xr:uid="{B0E30890-31ED-44E6-AEB7-E63CB3BC0698}"/>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BC774E45-FA68-4F38-8712-40B55C3D3576}"/>
    <cellStyle name="Normal 4 4 3 3 5 2 3" xfId="12783" xr:uid="{99D61312-EFB5-4708-829B-568B81FD6DC3}"/>
    <cellStyle name="Normal 4 4 3 3 5 3" xfId="6417" xr:uid="{00000000-0005-0000-0000-00009D150000}"/>
    <cellStyle name="Normal 4 4 3 3 5 3 2" xfId="14856" xr:uid="{BC0EB4DC-B1D8-450E-9202-057294AD6D70}"/>
    <cellStyle name="Normal 4 4 3 3 5 4" xfId="10638" xr:uid="{61307433-C3AE-4564-9B5C-5B737E1A54E3}"/>
    <cellStyle name="Normal 4 4 3 3 6" xfId="2546" xr:uid="{00000000-0005-0000-0000-00009E150000}"/>
    <cellStyle name="Normal 4 4 3 3 6 2" xfId="6830" xr:uid="{00000000-0005-0000-0000-00009F150000}"/>
    <cellStyle name="Normal 4 4 3 3 6 2 2" xfId="15269" xr:uid="{691F4939-DC01-42AF-967C-ACDA1C846489}"/>
    <cellStyle name="Normal 4 4 3 3 6 3" xfId="11051" xr:uid="{5B730D50-A173-4084-B199-FE7825254C81}"/>
    <cellStyle name="Normal 4 4 3 3 7" xfId="4765" xr:uid="{00000000-0005-0000-0000-0000A0150000}"/>
    <cellStyle name="Normal 4 4 3 3 7 2" xfId="13204" xr:uid="{C9A77796-D6F4-49CF-9D84-10E5AF9F6B39}"/>
    <cellStyle name="Normal 4 4 3 3 8" xfId="8986" xr:uid="{BBE97440-26DC-4776-99D1-FE29165AB191}"/>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068F22E1-3DAB-451E-B1BC-F0CB30E44819}"/>
    <cellStyle name="Normal 4 4 3 4 2 3" xfId="11541" xr:uid="{4E634DA9-760F-43C0-9CD5-D1A0CF9A731D}"/>
    <cellStyle name="Normal 4 4 3 4 3" xfId="5175" xr:uid="{00000000-0005-0000-0000-0000A4150000}"/>
    <cellStyle name="Normal 4 4 3 4 3 2" xfId="13614" xr:uid="{A1C0D8A8-B828-47A5-9355-326E4092C5F6}"/>
    <cellStyle name="Normal 4 4 3 4 4" xfId="9396" xr:uid="{534B615B-7E13-4CC5-9F7A-768F0EA0CFD2}"/>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8CA31586-C873-494A-956A-07B63F98F175}"/>
    <cellStyle name="Normal 4 4 3 5 2 3" xfId="11954" xr:uid="{DCF864AF-3BA6-42AA-80EA-5151028C196C}"/>
    <cellStyle name="Normal 4 4 3 5 3" xfId="5588" xr:uid="{00000000-0005-0000-0000-0000A8150000}"/>
    <cellStyle name="Normal 4 4 3 5 3 2" xfId="14027" xr:uid="{284AC974-641D-4277-BFB3-D129AFE3A2FA}"/>
    <cellStyle name="Normal 4 4 3 5 4" xfId="9809" xr:uid="{6741D6BA-652A-4453-8F29-8D829FBC3BDC}"/>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B9BF5FD6-371F-45F4-875D-458D6543771D}"/>
    <cellStyle name="Normal 4 4 3 6 2 3" xfId="12367" xr:uid="{978CA434-C57E-4EA4-A12C-C7D53241EED2}"/>
    <cellStyle name="Normal 4 4 3 6 3" xfId="6001" xr:uid="{00000000-0005-0000-0000-0000AC150000}"/>
    <cellStyle name="Normal 4 4 3 6 3 2" xfId="14440" xr:uid="{05B48076-C7C2-4490-A011-7A013E00DF19}"/>
    <cellStyle name="Normal 4 4 3 6 4" xfId="10222" xr:uid="{4DAE2C3B-39C9-4042-98FE-7B7A4B5861FA}"/>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68B85B81-276A-471D-AF33-A48E6FC1A913}"/>
    <cellStyle name="Normal 4 4 3 7 2 3" xfId="12780" xr:uid="{D643B7B7-855E-448F-918E-732BEC441FD1}"/>
    <cellStyle name="Normal 4 4 3 7 3" xfId="6414" xr:uid="{00000000-0005-0000-0000-0000B0150000}"/>
    <cellStyle name="Normal 4 4 3 7 3 2" xfId="14853" xr:uid="{84090A51-7638-4D69-8582-02A49D285E07}"/>
    <cellStyle name="Normal 4 4 3 7 4" xfId="10635" xr:uid="{46F61FE9-8DA3-4AC6-8CDB-DE1E6B186D8E}"/>
    <cellStyle name="Normal 4 4 3 8" xfId="2543" xr:uid="{00000000-0005-0000-0000-0000B1150000}"/>
    <cellStyle name="Normal 4 4 3 8 2" xfId="6827" xr:uid="{00000000-0005-0000-0000-0000B2150000}"/>
    <cellStyle name="Normal 4 4 3 8 2 2" xfId="15266" xr:uid="{A908C730-AA74-47C8-A816-96DBBE0F358B}"/>
    <cellStyle name="Normal 4 4 3 8 3" xfId="11048" xr:uid="{FAA640E0-18E6-4657-8360-D79CBA12E090}"/>
    <cellStyle name="Normal 4 4 3 9" xfId="4762" xr:uid="{00000000-0005-0000-0000-0000B3150000}"/>
    <cellStyle name="Normal 4 4 3 9 2" xfId="13201" xr:uid="{B5CB5B9C-A1A7-4CAC-908C-F8FAA438C481}"/>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CCAD660E-99EB-4811-B238-1069B4F54E65}"/>
    <cellStyle name="Normal 4 4 4 2 2 2 3" xfId="11546" xr:uid="{F8BA4094-2D4E-4F95-A7EF-CB897BD84437}"/>
    <cellStyle name="Normal 4 4 4 2 2 3" xfId="5180" xr:uid="{00000000-0005-0000-0000-0000B9150000}"/>
    <cellStyle name="Normal 4 4 4 2 2 3 2" xfId="13619" xr:uid="{FE2DC709-6D77-4547-9796-9A8A7593D257}"/>
    <cellStyle name="Normal 4 4 4 2 2 4" xfId="9401" xr:uid="{73037ECA-7DAE-4789-A198-62EFAF2C6F3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05730C16-EB08-458F-9126-954826034F76}"/>
    <cellStyle name="Normal 4 4 4 2 3 2 3" xfId="11959" xr:uid="{1D5699F8-FF96-411B-BE18-ED48B4F75DC0}"/>
    <cellStyle name="Normal 4 4 4 2 3 3" xfId="5593" xr:uid="{00000000-0005-0000-0000-0000BD150000}"/>
    <cellStyle name="Normal 4 4 4 2 3 3 2" xfId="14032" xr:uid="{246699DD-F4C3-497D-BC0D-7C5B66B80185}"/>
    <cellStyle name="Normal 4 4 4 2 3 4" xfId="9814" xr:uid="{A368A18F-2B0D-487C-9805-149B9CE3149C}"/>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A831DF89-D1A4-465F-8C3D-14A581BC9076}"/>
    <cellStyle name="Normal 4 4 4 2 4 2 3" xfId="12372" xr:uid="{FD167F3F-0BFB-4249-8871-993BAD4D1A90}"/>
    <cellStyle name="Normal 4 4 4 2 4 3" xfId="6006" xr:uid="{00000000-0005-0000-0000-0000C1150000}"/>
    <cellStyle name="Normal 4 4 4 2 4 3 2" xfId="14445" xr:uid="{F33D657E-D236-4BDB-BB9C-DC96B564F8AE}"/>
    <cellStyle name="Normal 4 4 4 2 4 4" xfId="10227" xr:uid="{7DA7319B-5E72-4726-9C5F-2593FC7FA76E}"/>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4CD61FAC-5E78-4DB4-9F0F-0F7F2AEE182D}"/>
    <cellStyle name="Normal 4 4 4 2 5 2 3" xfId="12785" xr:uid="{4C8AAFCD-1E71-44D9-BA66-E4C63D94DA35}"/>
    <cellStyle name="Normal 4 4 4 2 5 3" xfId="6419" xr:uid="{00000000-0005-0000-0000-0000C5150000}"/>
    <cellStyle name="Normal 4 4 4 2 5 3 2" xfId="14858" xr:uid="{BBB31B54-37AA-4D9C-B1A2-408C3C5F09A6}"/>
    <cellStyle name="Normal 4 4 4 2 5 4" xfId="10640" xr:uid="{959BAE05-D863-4A4E-828B-84470CBE0807}"/>
    <cellStyle name="Normal 4 4 4 2 6" xfId="2548" xr:uid="{00000000-0005-0000-0000-0000C6150000}"/>
    <cellStyle name="Normal 4 4 4 2 6 2" xfId="6832" xr:uid="{00000000-0005-0000-0000-0000C7150000}"/>
    <cellStyle name="Normal 4 4 4 2 6 2 2" xfId="15271" xr:uid="{6252A603-9F33-411F-A7AE-A9E04DAE5737}"/>
    <cellStyle name="Normal 4 4 4 2 6 3" xfId="11053" xr:uid="{76A5FD54-7122-49F1-9708-F3EC544DF056}"/>
    <cellStyle name="Normal 4 4 4 2 7" xfId="4767" xr:uid="{00000000-0005-0000-0000-0000C8150000}"/>
    <cellStyle name="Normal 4 4 4 2 7 2" xfId="13206" xr:uid="{A4D2D85E-9A8A-46F9-A3F0-8A89AF1B0576}"/>
    <cellStyle name="Normal 4 4 4 2 8" xfId="8988" xr:uid="{A662D2CB-8775-4969-AEAD-16FD30110D02}"/>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23B9CD24-D26C-479E-89EA-0D72C770CAF9}"/>
    <cellStyle name="Normal 4 4 4 3 2 3" xfId="11545" xr:uid="{3E3A9ED6-2B8F-44C5-9996-12DBE993712B}"/>
    <cellStyle name="Normal 4 4 4 3 3" xfId="5179" xr:uid="{00000000-0005-0000-0000-0000CC150000}"/>
    <cellStyle name="Normal 4 4 4 3 3 2" xfId="13618" xr:uid="{655E8AE8-6215-47B5-989A-9D0E5EF15F19}"/>
    <cellStyle name="Normal 4 4 4 3 4" xfId="9400" xr:uid="{BA654EB4-4592-4D91-B5B9-161812FBDBE4}"/>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067AE0D0-3B44-457F-9DC1-7BE0FE2EF35C}"/>
    <cellStyle name="Normal 4 4 4 4 2 3" xfId="11958" xr:uid="{689CF888-4A49-44C9-979B-79FAE11758F7}"/>
    <cellStyle name="Normal 4 4 4 4 3" xfId="5592" xr:uid="{00000000-0005-0000-0000-0000D0150000}"/>
    <cellStyle name="Normal 4 4 4 4 3 2" xfId="14031" xr:uid="{284C1F94-5576-42EF-BC91-2E0909F7B28B}"/>
    <cellStyle name="Normal 4 4 4 4 4" xfId="9813" xr:uid="{92C5227C-AA11-440F-86B0-B66344717F49}"/>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3A18090F-5729-463C-9A34-D85CA31BF9C9}"/>
    <cellStyle name="Normal 4 4 4 5 2 3" xfId="12371" xr:uid="{107828A6-0CE5-44B6-AD35-52042501E6CC}"/>
    <cellStyle name="Normal 4 4 4 5 3" xfId="6005" xr:uid="{00000000-0005-0000-0000-0000D4150000}"/>
    <cellStyle name="Normal 4 4 4 5 3 2" xfId="14444" xr:uid="{F7116410-E4C7-4FA5-950F-3A086452E2CC}"/>
    <cellStyle name="Normal 4 4 4 5 4" xfId="10226" xr:uid="{94AB6346-313F-4157-83CA-2EC44250A8A0}"/>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BFD265DD-35B8-43F3-A225-BD9EDE07BAE5}"/>
    <cellStyle name="Normal 4 4 4 6 2 3" xfId="12784" xr:uid="{8EF917F7-85B7-40FB-8BEB-AEB311AC4F26}"/>
    <cellStyle name="Normal 4 4 4 6 3" xfId="6418" xr:uid="{00000000-0005-0000-0000-0000D8150000}"/>
    <cellStyle name="Normal 4 4 4 6 3 2" xfId="14857" xr:uid="{15F114DC-81A4-42B8-998D-5DA9658DFDA5}"/>
    <cellStyle name="Normal 4 4 4 6 4" xfId="10639" xr:uid="{2036A6DE-1BD3-4D6C-A179-CAD99EF68206}"/>
    <cellStyle name="Normal 4 4 4 7" xfId="2547" xr:uid="{00000000-0005-0000-0000-0000D9150000}"/>
    <cellStyle name="Normal 4 4 4 7 2" xfId="6831" xr:uid="{00000000-0005-0000-0000-0000DA150000}"/>
    <cellStyle name="Normal 4 4 4 7 2 2" xfId="15270" xr:uid="{A61A8DB7-6125-40C8-A203-394F081B0545}"/>
    <cellStyle name="Normal 4 4 4 7 3" xfId="11052" xr:uid="{22AAFB36-34FF-46A5-B7F8-373A6BFF2F89}"/>
    <cellStyle name="Normal 4 4 4 8" xfId="4766" xr:uid="{00000000-0005-0000-0000-0000DB150000}"/>
    <cellStyle name="Normal 4 4 4 8 2" xfId="13205" xr:uid="{6DBB56ED-F7DD-4F8A-976C-E134B5E8174C}"/>
    <cellStyle name="Normal 4 4 4 9" xfId="8987" xr:uid="{D4169CB4-5EAB-4EC5-B93E-C04189FBD68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CF69CDDE-AD6F-407B-8AD0-41499D57F409}"/>
    <cellStyle name="Normal 4 4 5 2 2 3" xfId="11547" xr:uid="{9AD99B61-5CCB-4D6B-8241-24BF305AC08C}"/>
    <cellStyle name="Normal 4 4 5 2 3" xfId="5181" xr:uid="{00000000-0005-0000-0000-0000E0150000}"/>
    <cellStyle name="Normal 4 4 5 2 3 2" xfId="13620" xr:uid="{EEA579B4-1727-4C9E-A03B-B7717900914A}"/>
    <cellStyle name="Normal 4 4 5 2 4" xfId="9402" xr:uid="{D328FA70-D4BE-4E7A-8CE9-70E9634C1E24}"/>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62CA80D0-0196-4F19-A20D-4AADE3CFD9C7}"/>
    <cellStyle name="Normal 4 4 5 3 2 3" xfId="11960" xr:uid="{D5EDA785-1112-4CC6-A101-7C868AAF7590}"/>
    <cellStyle name="Normal 4 4 5 3 3" xfId="5594" xr:uid="{00000000-0005-0000-0000-0000E4150000}"/>
    <cellStyle name="Normal 4 4 5 3 3 2" xfId="14033" xr:uid="{2214F1EB-D7CA-4F43-B93F-7A39CD6FDC2C}"/>
    <cellStyle name="Normal 4 4 5 3 4" xfId="9815" xr:uid="{1F1C849C-9488-4BBF-B249-345E3E0E56D6}"/>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BC5DCFC9-AB92-4341-A21F-3030B8E74CF9}"/>
    <cellStyle name="Normal 4 4 5 4 2 3" xfId="12373" xr:uid="{27727A6D-E8F1-437C-9DDA-021382FDC97A}"/>
    <cellStyle name="Normal 4 4 5 4 3" xfId="6007" xr:uid="{00000000-0005-0000-0000-0000E8150000}"/>
    <cellStyle name="Normal 4 4 5 4 3 2" xfId="14446" xr:uid="{6419B7BD-8D88-4F67-BBFC-091174A8DBD4}"/>
    <cellStyle name="Normal 4 4 5 4 4" xfId="10228" xr:uid="{6BE038DA-E150-4A80-BF7F-C4FE3476E5C0}"/>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F4FD6291-5846-444F-A66D-0A3913DF1185}"/>
    <cellStyle name="Normal 4 4 5 5 2 3" xfId="12786" xr:uid="{F98DE59E-9BEB-4D05-A0C3-6349652B3D12}"/>
    <cellStyle name="Normal 4 4 5 5 3" xfId="6420" xr:uid="{00000000-0005-0000-0000-0000EC150000}"/>
    <cellStyle name="Normal 4 4 5 5 3 2" xfId="14859" xr:uid="{95EC4E18-CD0E-43A1-9B34-0058EFFB2573}"/>
    <cellStyle name="Normal 4 4 5 5 4" xfId="10641" xr:uid="{EFC3853E-C088-4206-864E-140EE1637A36}"/>
    <cellStyle name="Normal 4 4 5 6" xfId="2549" xr:uid="{00000000-0005-0000-0000-0000ED150000}"/>
    <cellStyle name="Normal 4 4 5 6 2" xfId="6833" xr:uid="{00000000-0005-0000-0000-0000EE150000}"/>
    <cellStyle name="Normal 4 4 5 6 2 2" xfId="15272" xr:uid="{0CD63543-6019-408B-AD79-805EEA184227}"/>
    <cellStyle name="Normal 4 4 5 6 3" xfId="11054" xr:uid="{4959C907-D5E8-4964-A090-D93C72954CC2}"/>
    <cellStyle name="Normal 4 4 5 7" xfId="4768" xr:uid="{00000000-0005-0000-0000-0000EF150000}"/>
    <cellStyle name="Normal 4 4 5 7 2" xfId="13207" xr:uid="{B9C3C8FC-1679-4027-A0D6-CA2D25FAA15E}"/>
    <cellStyle name="Normal 4 4 5 8" xfId="8989" xr:uid="{BA111C3F-5B5F-4C89-AEDF-A9CD9C43DC1D}"/>
    <cellStyle name="Normal 4 4 6" xfId="853" xr:uid="{00000000-0005-0000-0000-0000F0150000}"/>
    <cellStyle name="Normal 4 4 6 2" xfId="3088" xr:uid="{00000000-0005-0000-0000-0000F1150000}"/>
    <cellStyle name="Normal 4 4 6 2 2" xfId="7311" xr:uid="{00000000-0005-0000-0000-0000F2150000}"/>
    <cellStyle name="Normal 4 4 6 2 2 2" xfId="15750" xr:uid="{2E58745A-D672-4365-B35F-F4FABB5E7713}"/>
    <cellStyle name="Normal 4 4 6 2 3" xfId="11532" xr:uid="{50CD613A-CFA5-4A2E-BC60-2238D41F94AB}"/>
    <cellStyle name="Normal 4 4 6 3" xfId="5166" xr:uid="{00000000-0005-0000-0000-0000F3150000}"/>
    <cellStyle name="Normal 4 4 6 3 2" xfId="13605" xr:uid="{E6579D04-0F0D-4837-831A-D728593F8081}"/>
    <cellStyle name="Normal 4 4 6 4" xfId="9387" xr:uid="{0C183B3E-7540-4202-AFA0-8D05EDE2B584}"/>
    <cellStyle name="Normal 4 4 7" xfId="1271" xr:uid="{00000000-0005-0000-0000-0000F4150000}"/>
    <cellStyle name="Normal 4 4 7 2" xfId="3501" xr:uid="{00000000-0005-0000-0000-0000F5150000}"/>
    <cellStyle name="Normal 4 4 7 2 2" xfId="7724" xr:uid="{00000000-0005-0000-0000-0000F6150000}"/>
    <cellStyle name="Normal 4 4 7 2 2 2" xfId="16163" xr:uid="{968221BA-2B79-4149-8561-EB58F277A39C}"/>
    <cellStyle name="Normal 4 4 7 2 3" xfId="11945" xr:uid="{84DE7CAF-FD0C-4799-9B21-2E8485BFD99A}"/>
    <cellStyle name="Normal 4 4 7 3" xfId="5579" xr:uid="{00000000-0005-0000-0000-0000F7150000}"/>
    <cellStyle name="Normal 4 4 7 3 2" xfId="14018" xr:uid="{E7254653-DF21-45A0-B995-B8B54D9A8E15}"/>
    <cellStyle name="Normal 4 4 7 4" xfId="9800" xr:uid="{95A7B1C0-1414-416D-86AA-95751592EA5F}"/>
    <cellStyle name="Normal 4 4 8" xfId="1684" xr:uid="{00000000-0005-0000-0000-0000F8150000}"/>
    <cellStyle name="Normal 4 4 8 2" xfId="3914" xr:uid="{00000000-0005-0000-0000-0000F9150000}"/>
    <cellStyle name="Normal 4 4 8 2 2" xfId="8137" xr:uid="{00000000-0005-0000-0000-0000FA150000}"/>
    <cellStyle name="Normal 4 4 8 2 2 2" xfId="16576" xr:uid="{3B7F90DC-7131-43EA-BBF8-8FADD3342629}"/>
    <cellStyle name="Normal 4 4 8 2 3" xfId="12358" xr:uid="{69F04C4C-D055-41C9-8ECF-FAF56AF689FC}"/>
    <cellStyle name="Normal 4 4 8 3" xfId="5992" xr:uid="{00000000-0005-0000-0000-0000FB150000}"/>
    <cellStyle name="Normal 4 4 8 3 2" xfId="14431" xr:uid="{DE959610-5B44-4794-9DC8-2995809D4BA5}"/>
    <cellStyle name="Normal 4 4 8 4" xfId="10213" xr:uid="{910244A2-2DFB-4D2F-9331-F2A2B6BE9BCF}"/>
    <cellStyle name="Normal 4 4 9" xfId="2098" xr:uid="{00000000-0005-0000-0000-0000FC150000}"/>
    <cellStyle name="Normal 4 4 9 2" xfId="4327" xr:uid="{00000000-0005-0000-0000-0000FD150000}"/>
    <cellStyle name="Normal 4 4 9 2 2" xfId="8550" xr:uid="{00000000-0005-0000-0000-0000FE150000}"/>
    <cellStyle name="Normal 4 4 9 2 2 2" xfId="16989" xr:uid="{77EFF383-B0CB-4731-9FC6-7A4D7EEF0212}"/>
    <cellStyle name="Normal 4 4 9 2 3" xfId="12771" xr:uid="{BBE77022-54BB-45A2-9F83-95168FA2D177}"/>
    <cellStyle name="Normal 4 4 9 3" xfId="6405" xr:uid="{00000000-0005-0000-0000-0000FF150000}"/>
    <cellStyle name="Normal 4 4 9 3 2" xfId="14844" xr:uid="{BF5E3F77-387A-4141-A401-6F8FE3191850}"/>
    <cellStyle name="Normal 4 4 9 4" xfId="10626" xr:uid="{D8408C04-20A0-4177-8873-BC2102DA4A49}"/>
    <cellStyle name="Normal 4 5" xfId="394" xr:uid="{00000000-0005-0000-0000-000000160000}"/>
    <cellStyle name="Normal 4 6" xfId="395" xr:uid="{00000000-0005-0000-0000-000001160000}"/>
    <cellStyle name="Normal 4 6 10" xfId="4769" xr:uid="{00000000-0005-0000-0000-000002160000}"/>
    <cellStyle name="Normal 4 6 10 2" xfId="13208" xr:uid="{BC3FF67F-4FEE-4866-9090-A505F6A62F5C}"/>
    <cellStyle name="Normal 4 6 11" xfId="8990" xr:uid="{39990426-D2CE-482C-BA66-63077E98A6AD}"/>
    <cellStyle name="Normal 4 6 2" xfId="396" xr:uid="{00000000-0005-0000-0000-000003160000}"/>
    <cellStyle name="Normal 4 6 2 10" xfId="8991" xr:uid="{F00311D5-694C-4DEB-8EAF-73EE51026119}"/>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DAF52827-642E-4BED-82E2-48508661E62F}"/>
    <cellStyle name="Normal 4 6 2 2 2 2 2 3" xfId="11551" xr:uid="{5987AA2E-542A-48A3-9579-062207B79118}"/>
    <cellStyle name="Normal 4 6 2 2 2 2 3" xfId="5185" xr:uid="{00000000-0005-0000-0000-000009160000}"/>
    <cellStyle name="Normal 4 6 2 2 2 2 3 2" xfId="13624" xr:uid="{88B69509-2426-43D6-938D-6DA97AFA4892}"/>
    <cellStyle name="Normal 4 6 2 2 2 2 4" xfId="9406" xr:uid="{6143FB6A-DB1F-4DAF-AD6F-0DB9B92758B4}"/>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7B7C5A03-F233-4B28-83CF-6AF2FC3A35BF}"/>
    <cellStyle name="Normal 4 6 2 2 2 3 2 3" xfId="11964" xr:uid="{B74A35B3-E892-4C15-AD5A-6632FAB92D19}"/>
    <cellStyle name="Normal 4 6 2 2 2 3 3" xfId="5598" xr:uid="{00000000-0005-0000-0000-00000D160000}"/>
    <cellStyle name="Normal 4 6 2 2 2 3 3 2" xfId="14037" xr:uid="{CD9EFB01-B2BA-4E66-AB02-97A8910192F8}"/>
    <cellStyle name="Normal 4 6 2 2 2 3 4" xfId="9819" xr:uid="{E7486E50-AF01-4C8A-99A6-F559CE0EB5C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3605C8F0-1341-4836-932C-2874F5D7BBEC}"/>
    <cellStyle name="Normal 4 6 2 2 2 4 2 3" xfId="12377" xr:uid="{BC4F36DD-4125-4016-8FCC-50D6F9DABA91}"/>
    <cellStyle name="Normal 4 6 2 2 2 4 3" xfId="6011" xr:uid="{00000000-0005-0000-0000-000011160000}"/>
    <cellStyle name="Normal 4 6 2 2 2 4 3 2" xfId="14450" xr:uid="{41D1682E-D891-4D46-BA47-8E93F2CF4617}"/>
    <cellStyle name="Normal 4 6 2 2 2 4 4" xfId="10232" xr:uid="{D5F107D9-DB1E-4EC1-8A4B-39B59C3D537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3BC40FD1-9577-4A9C-A90D-66EDECE84A48}"/>
    <cellStyle name="Normal 4 6 2 2 2 5 2 3" xfId="12790" xr:uid="{9222CFFE-3258-483F-8577-A1E97FF16E0E}"/>
    <cellStyle name="Normal 4 6 2 2 2 5 3" xfId="6424" xr:uid="{00000000-0005-0000-0000-000015160000}"/>
    <cellStyle name="Normal 4 6 2 2 2 5 3 2" xfId="14863" xr:uid="{22916D5F-10C0-46AA-B3EC-B39FBABEB512}"/>
    <cellStyle name="Normal 4 6 2 2 2 5 4" xfId="10645" xr:uid="{AA006499-BBA7-4ECF-A01F-5DE93F1F4F5D}"/>
    <cellStyle name="Normal 4 6 2 2 2 6" xfId="2553" xr:uid="{00000000-0005-0000-0000-000016160000}"/>
    <cellStyle name="Normal 4 6 2 2 2 6 2" xfId="6837" xr:uid="{00000000-0005-0000-0000-000017160000}"/>
    <cellStyle name="Normal 4 6 2 2 2 6 2 2" xfId="15276" xr:uid="{5FD6729C-5D71-4B84-8FBA-D8113912A549}"/>
    <cellStyle name="Normal 4 6 2 2 2 6 3" xfId="11058" xr:uid="{4EB0680A-54B3-41D5-99A3-933A4A49138E}"/>
    <cellStyle name="Normal 4 6 2 2 2 7" xfId="4772" xr:uid="{00000000-0005-0000-0000-000018160000}"/>
    <cellStyle name="Normal 4 6 2 2 2 7 2" xfId="13211" xr:uid="{9A374D29-82B8-424F-AF0E-F80936884284}"/>
    <cellStyle name="Normal 4 6 2 2 2 8" xfId="8993" xr:uid="{6FA90D26-0070-4B0A-8DB8-9BEBBA01F392}"/>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465C273C-E3D6-4725-BC7F-F0BF3EE8FD9C}"/>
    <cellStyle name="Normal 4 6 2 2 3 2 3" xfId="11550" xr:uid="{3597C373-356E-4EE1-9DE7-952893E22DD3}"/>
    <cellStyle name="Normal 4 6 2 2 3 3" xfId="5184" xr:uid="{00000000-0005-0000-0000-00001C160000}"/>
    <cellStyle name="Normal 4 6 2 2 3 3 2" xfId="13623" xr:uid="{0B318DCE-4841-4063-AC47-9308DAC576A7}"/>
    <cellStyle name="Normal 4 6 2 2 3 4" xfId="9405" xr:uid="{E2442A12-15BA-4358-818D-9698022EE106}"/>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CAF33DD0-107C-4816-B850-C4819ABC321D}"/>
    <cellStyle name="Normal 4 6 2 2 4 2 3" xfId="11963" xr:uid="{91D1933C-3C08-4642-AF48-780D86A16FCE}"/>
    <cellStyle name="Normal 4 6 2 2 4 3" xfId="5597" xr:uid="{00000000-0005-0000-0000-000020160000}"/>
    <cellStyle name="Normal 4 6 2 2 4 3 2" xfId="14036" xr:uid="{F54955E1-DEAE-4C51-AE79-DA733F3DB691}"/>
    <cellStyle name="Normal 4 6 2 2 4 4" xfId="9818" xr:uid="{9788DE87-4798-4395-A466-9EE8BFCD1FA3}"/>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EB80ED0E-8FD0-490E-AA85-7FD37E91A200}"/>
    <cellStyle name="Normal 4 6 2 2 5 2 3" xfId="12376" xr:uid="{002D9D32-D8C2-42EC-A6E2-98FF0D5F3FC4}"/>
    <cellStyle name="Normal 4 6 2 2 5 3" xfId="6010" xr:uid="{00000000-0005-0000-0000-000024160000}"/>
    <cellStyle name="Normal 4 6 2 2 5 3 2" xfId="14449" xr:uid="{9DD700C2-5005-4DA7-9002-FCBEA0E84FD0}"/>
    <cellStyle name="Normal 4 6 2 2 5 4" xfId="10231" xr:uid="{22076AED-BDA7-4C49-8570-EBE12D7463EE}"/>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C8F77A8E-B983-4BF4-8037-D2A116F3F1B8}"/>
    <cellStyle name="Normal 4 6 2 2 6 2 3" xfId="12789" xr:uid="{228787C4-A4FD-4D93-9110-D3CD5475C099}"/>
    <cellStyle name="Normal 4 6 2 2 6 3" xfId="6423" xr:uid="{00000000-0005-0000-0000-000028160000}"/>
    <cellStyle name="Normal 4 6 2 2 6 3 2" xfId="14862" xr:uid="{D09F11DD-4D71-4AE4-9E4C-0A251D8ABD0F}"/>
    <cellStyle name="Normal 4 6 2 2 6 4" xfId="10644" xr:uid="{6D94DF65-6464-4E82-88A9-40BE0CEBDCF1}"/>
    <cellStyle name="Normal 4 6 2 2 7" xfId="2552" xr:uid="{00000000-0005-0000-0000-000029160000}"/>
    <cellStyle name="Normal 4 6 2 2 7 2" xfId="6836" xr:uid="{00000000-0005-0000-0000-00002A160000}"/>
    <cellStyle name="Normal 4 6 2 2 7 2 2" xfId="15275" xr:uid="{259A032E-043C-47B7-8D2E-8BEE0C1B8DA2}"/>
    <cellStyle name="Normal 4 6 2 2 7 3" xfId="11057" xr:uid="{85450820-FA50-4862-A78C-2C3AC291BA45}"/>
    <cellStyle name="Normal 4 6 2 2 8" xfId="4771" xr:uid="{00000000-0005-0000-0000-00002B160000}"/>
    <cellStyle name="Normal 4 6 2 2 8 2" xfId="13210" xr:uid="{D44FA316-FB84-4579-B39D-746AE736BD99}"/>
    <cellStyle name="Normal 4 6 2 2 9" xfId="8992" xr:uid="{E4AECE91-EE17-4F15-88CA-93AC48F68BE7}"/>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3973EAC6-B5A4-4862-BA54-A74A7384C8C7}"/>
    <cellStyle name="Normal 4 6 2 3 2 2 3" xfId="11552" xr:uid="{D0819A8A-1F91-42C1-A00D-331AB4E25821}"/>
    <cellStyle name="Normal 4 6 2 3 2 3" xfId="5186" xr:uid="{00000000-0005-0000-0000-000030160000}"/>
    <cellStyle name="Normal 4 6 2 3 2 3 2" xfId="13625" xr:uid="{1DE5901E-F7C8-477C-8868-C28B28307A7E}"/>
    <cellStyle name="Normal 4 6 2 3 2 4" xfId="9407" xr:uid="{C3570DAD-0406-4DBB-8EE4-8E798B3A6B15}"/>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00DA0AA1-7039-4CA5-B89C-A5A7662C1A7A}"/>
    <cellStyle name="Normal 4 6 2 3 3 2 3" xfId="11965" xr:uid="{3437BB9D-1651-4B2A-9F19-280E1457F6B9}"/>
    <cellStyle name="Normal 4 6 2 3 3 3" xfId="5599" xr:uid="{00000000-0005-0000-0000-000034160000}"/>
    <cellStyle name="Normal 4 6 2 3 3 3 2" xfId="14038" xr:uid="{F8FC4A82-ABFA-4456-9DA8-9D4FF7EA9BA6}"/>
    <cellStyle name="Normal 4 6 2 3 3 4" xfId="9820" xr:uid="{6D9931EC-99FA-4452-8817-FEF9D6205C2C}"/>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A4DFB658-5907-4894-B4EB-4B6DC5DBDEE8}"/>
    <cellStyle name="Normal 4 6 2 3 4 2 3" xfId="12378" xr:uid="{2A23A0DB-9F09-4A1F-AB45-8A78898520CF}"/>
    <cellStyle name="Normal 4 6 2 3 4 3" xfId="6012" xr:uid="{00000000-0005-0000-0000-000038160000}"/>
    <cellStyle name="Normal 4 6 2 3 4 3 2" xfId="14451" xr:uid="{50DFF90B-69D1-4D07-A343-7B23FCE0BAE3}"/>
    <cellStyle name="Normal 4 6 2 3 4 4" xfId="10233" xr:uid="{BE18709E-374F-458F-9632-2D5D63D3B365}"/>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42144301-CFC3-47C7-BBB8-C1E149663490}"/>
    <cellStyle name="Normal 4 6 2 3 5 2 3" xfId="12791" xr:uid="{6F4949AC-610D-4828-84E8-E9B4994EB4AF}"/>
    <cellStyle name="Normal 4 6 2 3 5 3" xfId="6425" xr:uid="{00000000-0005-0000-0000-00003C160000}"/>
    <cellStyle name="Normal 4 6 2 3 5 3 2" xfId="14864" xr:uid="{48DE0D7F-8F68-4F39-AF95-E1FE7FF28880}"/>
    <cellStyle name="Normal 4 6 2 3 5 4" xfId="10646" xr:uid="{787A5F53-FBE5-4890-A5EF-80B245AA2CC6}"/>
    <cellStyle name="Normal 4 6 2 3 6" xfId="2554" xr:uid="{00000000-0005-0000-0000-00003D160000}"/>
    <cellStyle name="Normal 4 6 2 3 6 2" xfId="6838" xr:uid="{00000000-0005-0000-0000-00003E160000}"/>
    <cellStyle name="Normal 4 6 2 3 6 2 2" xfId="15277" xr:uid="{A323F725-8437-4EB0-9FAD-34B8404EF2B3}"/>
    <cellStyle name="Normal 4 6 2 3 6 3" xfId="11059" xr:uid="{5C07DE7F-8F92-4333-9493-666C6B1C6950}"/>
    <cellStyle name="Normal 4 6 2 3 7" xfId="4773" xr:uid="{00000000-0005-0000-0000-00003F160000}"/>
    <cellStyle name="Normal 4 6 2 3 7 2" xfId="13212" xr:uid="{40CD4A27-0B65-4EB9-B805-3C1FD6801BEB}"/>
    <cellStyle name="Normal 4 6 2 3 8" xfId="8994" xr:uid="{F1158230-4DAB-4AB3-A824-CB502B3F9B8E}"/>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B4807D6D-799B-40C1-885C-677F2DAA8E3E}"/>
    <cellStyle name="Normal 4 6 2 4 2 3" xfId="11549" xr:uid="{C91B9A4E-D5BC-4109-824D-09CA127D6EE8}"/>
    <cellStyle name="Normal 4 6 2 4 3" xfId="5183" xr:uid="{00000000-0005-0000-0000-000043160000}"/>
    <cellStyle name="Normal 4 6 2 4 3 2" xfId="13622" xr:uid="{FFA3A761-460C-48A8-B49D-337474FBFFC5}"/>
    <cellStyle name="Normal 4 6 2 4 4" xfId="9404" xr:uid="{E75881EE-841E-4F04-BB29-E37C0561C382}"/>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388A41CB-0AFB-414C-B15B-0274496EAAF8}"/>
    <cellStyle name="Normal 4 6 2 5 2 3" xfId="11962" xr:uid="{CF282D07-E636-4DEC-A27A-2BCA5736C45B}"/>
    <cellStyle name="Normal 4 6 2 5 3" xfId="5596" xr:uid="{00000000-0005-0000-0000-000047160000}"/>
    <cellStyle name="Normal 4 6 2 5 3 2" xfId="14035" xr:uid="{751CAF14-C73C-43EC-AAD5-79B0455AA125}"/>
    <cellStyle name="Normal 4 6 2 5 4" xfId="9817" xr:uid="{ADAD7E66-50AF-4828-9E9A-9F830693F0A2}"/>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E6F31109-FE20-440E-AE1C-EC05D939DEEA}"/>
    <cellStyle name="Normal 4 6 2 6 2 3" xfId="12375" xr:uid="{CE245159-E608-4D54-97C6-E26D4C421A55}"/>
    <cellStyle name="Normal 4 6 2 6 3" xfId="6009" xr:uid="{00000000-0005-0000-0000-00004B160000}"/>
    <cellStyle name="Normal 4 6 2 6 3 2" xfId="14448" xr:uid="{730472BF-6A5E-4F9E-AE7B-171E580C72B7}"/>
    <cellStyle name="Normal 4 6 2 6 4" xfId="10230" xr:uid="{581AA1C3-18B4-42A9-9014-E0C55E92B6B2}"/>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AD2285E8-EE27-4466-8B09-66A18A8A60FC}"/>
    <cellStyle name="Normal 4 6 2 7 2 3" xfId="12788" xr:uid="{15BB20EF-D2E9-4190-8FF2-E6F68E8562B4}"/>
    <cellStyle name="Normal 4 6 2 7 3" xfId="6422" xr:uid="{00000000-0005-0000-0000-00004F160000}"/>
    <cellStyle name="Normal 4 6 2 7 3 2" xfId="14861" xr:uid="{3B218D4B-45FD-4992-AA45-381BBB6049B4}"/>
    <cellStyle name="Normal 4 6 2 7 4" xfId="10643" xr:uid="{E7C31063-08C0-41B8-A6B0-DB481AAEAFA3}"/>
    <cellStyle name="Normal 4 6 2 8" xfId="2551" xr:uid="{00000000-0005-0000-0000-000050160000}"/>
    <cellStyle name="Normal 4 6 2 8 2" xfId="6835" xr:uid="{00000000-0005-0000-0000-000051160000}"/>
    <cellStyle name="Normal 4 6 2 8 2 2" xfId="15274" xr:uid="{F90ED9DF-49AB-4543-ABF3-E4FF783778AD}"/>
    <cellStyle name="Normal 4 6 2 8 3" xfId="11056" xr:uid="{E0CB5DD0-CD6E-4D68-B369-9DA611146B4C}"/>
    <cellStyle name="Normal 4 6 2 9" xfId="4770" xr:uid="{00000000-0005-0000-0000-000052160000}"/>
    <cellStyle name="Normal 4 6 2 9 2" xfId="13209" xr:uid="{216E76C5-92EA-4993-87E2-47C93EE2F3FD}"/>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13D16BC3-DCF0-4559-ADD5-9257D53ECD20}"/>
    <cellStyle name="Normal 4 6 3 2 2 2 3" xfId="11554" xr:uid="{FC6C9FF1-AE15-48D2-A76A-E3ED67012ADD}"/>
    <cellStyle name="Normal 4 6 3 2 2 3" xfId="5188" xr:uid="{00000000-0005-0000-0000-000058160000}"/>
    <cellStyle name="Normal 4 6 3 2 2 3 2" xfId="13627" xr:uid="{CDCB5A78-E875-4B57-B585-76FEFAF87783}"/>
    <cellStyle name="Normal 4 6 3 2 2 4" xfId="9409" xr:uid="{098C00FE-BCDF-47AE-B5AA-99F478840205}"/>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67B804F1-95B2-486B-9C65-A5AD3AA5ACBD}"/>
    <cellStyle name="Normal 4 6 3 2 3 2 3" xfId="11967" xr:uid="{F6CD7A77-18DD-4F05-932E-8BC79CCDDDAD}"/>
    <cellStyle name="Normal 4 6 3 2 3 3" xfId="5601" xr:uid="{00000000-0005-0000-0000-00005C160000}"/>
    <cellStyle name="Normal 4 6 3 2 3 3 2" xfId="14040" xr:uid="{E5F2D0A1-A807-4066-9848-2BA4F5363CE8}"/>
    <cellStyle name="Normal 4 6 3 2 3 4" xfId="9822" xr:uid="{29F4C21C-5417-4FA2-94C9-53E5AE209E29}"/>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BF6E7656-95CC-432A-B4FC-AE67257A72EE}"/>
    <cellStyle name="Normal 4 6 3 2 4 2 3" xfId="12380" xr:uid="{43055E39-36A9-4FFC-8F50-14EFB6138900}"/>
    <cellStyle name="Normal 4 6 3 2 4 3" xfId="6014" xr:uid="{00000000-0005-0000-0000-000060160000}"/>
    <cellStyle name="Normal 4 6 3 2 4 3 2" xfId="14453" xr:uid="{5EFCFE3D-3C54-43D6-989C-F2FF9E894773}"/>
    <cellStyle name="Normal 4 6 3 2 4 4" xfId="10235" xr:uid="{E21FBFBF-DEEC-4F8D-B268-D9B8BF9B5011}"/>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79B774C5-D3BD-47C5-AC91-C60F9002CF9F}"/>
    <cellStyle name="Normal 4 6 3 2 5 2 3" xfId="12793" xr:uid="{464D7A1D-16A9-447A-AF7A-CE18A1BD667E}"/>
    <cellStyle name="Normal 4 6 3 2 5 3" xfId="6427" xr:uid="{00000000-0005-0000-0000-000064160000}"/>
    <cellStyle name="Normal 4 6 3 2 5 3 2" xfId="14866" xr:uid="{BC95CC78-35E6-4645-85B1-7653440D76ED}"/>
    <cellStyle name="Normal 4 6 3 2 5 4" xfId="10648" xr:uid="{D0A30CE0-761F-43F6-9007-44F7D0606D67}"/>
    <cellStyle name="Normal 4 6 3 2 6" xfId="2556" xr:uid="{00000000-0005-0000-0000-000065160000}"/>
    <cellStyle name="Normal 4 6 3 2 6 2" xfId="6840" xr:uid="{00000000-0005-0000-0000-000066160000}"/>
    <cellStyle name="Normal 4 6 3 2 6 2 2" xfId="15279" xr:uid="{296A57F5-EE35-46AE-8A01-F58F6881408B}"/>
    <cellStyle name="Normal 4 6 3 2 6 3" xfId="11061" xr:uid="{2AA5705B-5562-4BF2-A154-B74F8877B89E}"/>
    <cellStyle name="Normal 4 6 3 2 7" xfId="4775" xr:uid="{00000000-0005-0000-0000-000067160000}"/>
    <cellStyle name="Normal 4 6 3 2 7 2" xfId="13214" xr:uid="{E0C974E4-1C4F-4700-AFEC-B21E9240FAFA}"/>
    <cellStyle name="Normal 4 6 3 2 8" xfId="8996" xr:uid="{34FEF010-07CB-4701-9640-B56D32832607}"/>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6122E804-1C48-4D8A-A8BA-22D4F5A669FC}"/>
    <cellStyle name="Normal 4 6 3 3 2 3" xfId="11553" xr:uid="{2C5BECDE-F37B-46CE-BC26-65F26C47824F}"/>
    <cellStyle name="Normal 4 6 3 3 3" xfId="5187" xr:uid="{00000000-0005-0000-0000-00006B160000}"/>
    <cellStyle name="Normal 4 6 3 3 3 2" xfId="13626" xr:uid="{07201DF9-985E-41C2-A945-E01F2B1F9050}"/>
    <cellStyle name="Normal 4 6 3 3 4" xfId="9408" xr:uid="{5662AC3C-39F6-47A3-A6F6-CED645227E84}"/>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475583D2-1894-4868-9491-690B4E2D0EF0}"/>
    <cellStyle name="Normal 4 6 3 4 2 3" xfId="11966" xr:uid="{E5D18BF9-483F-4CFF-97B1-8CB399C4B909}"/>
    <cellStyle name="Normal 4 6 3 4 3" xfId="5600" xr:uid="{00000000-0005-0000-0000-00006F160000}"/>
    <cellStyle name="Normal 4 6 3 4 3 2" xfId="14039" xr:uid="{573D82AA-A450-4D7F-AD56-5341E4C5401C}"/>
    <cellStyle name="Normal 4 6 3 4 4" xfId="9821" xr:uid="{F32FE1A3-6966-4419-90D3-030D1D3A1444}"/>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1689A23E-7606-40AA-B05A-AA6A7E3BF949}"/>
    <cellStyle name="Normal 4 6 3 5 2 3" xfId="12379" xr:uid="{131DFAF7-9B55-4816-B3F5-B6B8B1C709DE}"/>
    <cellStyle name="Normal 4 6 3 5 3" xfId="6013" xr:uid="{00000000-0005-0000-0000-000073160000}"/>
    <cellStyle name="Normal 4 6 3 5 3 2" xfId="14452" xr:uid="{D6BE277B-E5E9-4D9C-8257-C34501A14840}"/>
    <cellStyle name="Normal 4 6 3 5 4" xfId="10234" xr:uid="{0452FE22-EA66-4B61-B762-621453F57EE4}"/>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DDD7D8AD-6D4A-41A3-B9B9-15FE3C9A74F6}"/>
    <cellStyle name="Normal 4 6 3 6 2 3" xfId="12792" xr:uid="{C5EF70B4-6613-4E9F-AEB5-44171D7761C7}"/>
    <cellStyle name="Normal 4 6 3 6 3" xfId="6426" xr:uid="{00000000-0005-0000-0000-000077160000}"/>
    <cellStyle name="Normal 4 6 3 6 3 2" xfId="14865" xr:uid="{B9434F8C-ED8D-4685-8D28-3F4ABB29E734}"/>
    <cellStyle name="Normal 4 6 3 6 4" xfId="10647" xr:uid="{BD0A3F99-825C-4834-BCB8-404F43BCD88C}"/>
    <cellStyle name="Normal 4 6 3 7" xfId="2555" xr:uid="{00000000-0005-0000-0000-000078160000}"/>
    <cellStyle name="Normal 4 6 3 7 2" xfId="6839" xr:uid="{00000000-0005-0000-0000-000079160000}"/>
    <cellStyle name="Normal 4 6 3 7 2 2" xfId="15278" xr:uid="{10C5801C-638B-40AF-ABB9-15BC5689E9C0}"/>
    <cellStyle name="Normal 4 6 3 7 3" xfId="11060" xr:uid="{79684F5F-3963-452D-9F6F-D657DCB22FB2}"/>
    <cellStyle name="Normal 4 6 3 8" xfId="4774" xr:uid="{00000000-0005-0000-0000-00007A160000}"/>
    <cellStyle name="Normal 4 6 3 8 2" xfId="13213" xr:uid="{1E7FC9A3-7304-465C-9E6D-E4A37B23CE7A}"/>
    <cellStyle name="Normal 4 6 3 9" xfId="8995" xr:uid="{188CF3C2-5943-4E55-8810-0C2714AACD47}"/>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A9393B6D-E454-494E-9AF6-39A679D8E8E0}"/>
    <cellStyle name="Normal 4 6 4 2 2 3" xfId="11555" xr:uid="{E544756E-D3C0-4287-B08D-BAFDBDE6D0B5}"/>
    <cellStyle name="Normal 4 6 4 2 3" xfId="5189" xr:uid="{00000000-0005-0000-0000-00007F160000}"/>
    <cellStyle name="Normal 4 6 4 2 3 2" xfId="13628" xr:uid="{3ADAE1A1-C763-4C71-A698-4FCE89CA4ECE}"/>
    <cellStyle name="Normal 4 6 4 2 4" xfId="9410" xr:uid="{14D14A6C-DB11-417A-9A3F-F14185986607}"/>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125EA6F7-ACC1-4554-A483-838BD489926F}"/>
    <cellStyle name="Normal 4 6 4 3 2 3" xfId="11968" xr:uid="{DD46EA6A-431B-4E0E-A2CC-C225B4F19444}"/>
    <cellStyle name="Normal 4 6 4 3 3" xfId="5602" xr:uid="{00000000-0005-0000-0000-000083160000}"/>
    <cellStyle name="Normal 4 6 4 3 3 2" xfId="14041" xr:uid="{880139EE-F646-4D4B-A09A-1BA26A324EC3}"/>
    <cellStyle name="Normal 4 6 4 3 4" xfId="9823" xr:uid="{EB18349E-A359-45C5-8D2F-4AD1BA2459F1}"/>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C95C466F-D83E-40AC-99C6-2F0E913D90F7}"/>
    <cellStyle name="Normal 4 6 4 4 2 3" xfId="12381" xr:uid="{8266C42B-FAAC-4053-9541-3C6F617ACD06}"/>
    <cellStyle name="Normal 4 6 4 4 3" xfId="6015" xr:uid="{00000000-0005-0000-0000-000087160000}"/>
    <cellStyle name="Normal 4 6 4 4 3 2" xfId="14454" xr:uid="{0B73C1C7-C581-4EEC-990D-AD3E35B08E42}"/>
    <cellStyle name="Normal 4 6 4 4 4" xfId="10236" xr:uid="{105AB5BF-9954-4B6F-85D6-ABE3877651DA}"/>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55174E8E-85A1-4ADE-967A-65036F7391E7}"/>
    <cellStyle name="Normal 4 6 4 5 2 3" xfId="12794" xr:uid="{9E060CF5-D414-48CC-9B11-2D8D80EFB352}"/>
    <cellStyle name="Normal 4 6 4 5 3" xfId="6428" xr:uid="{00000000-0005-0000-0000-00008B160000}"/>
    <cellStyle name="Normal 4 6 4 5 3 2" xfId="14867" xr:uid="{E039D019-F4B0-4AF3-986B-EDCBDEAA442E}"/>
    <cellStyle name="Normal 4 6 4 5 4" xfId="10649" xr:uid="{5369B868-75F8-44C0-897D-3AF08EB6BB99}"/>
    <cellStyle name="Normal 4 6 4 6" xfId="2557" xr:uid="{00000000-0005-0000-0000-00008C160000}"/>
    <cellStyle name="Normal 4 6 4 6 2" xfId="6841" xr:uid="{00000000-0005-0000-0000-00008D160000}"/>
    <cellStyle name="Normal 4 6 4 6 2 2" xfId="15280" xr:uid="{C1670C33-58A6-4D0B-8977-F09C93AE10BF}"/>
    <cellStyle name="Normal 4 6 4 6 3" xfId="11062" xr:uid="{C4AB66A6-402D-47E0-B87E-D6863625C5A4}"/>
    <cellStyle name="Normal 4 6 4 7" xfId="4776" xr:uid="{00000000-0005-0000-0000-00008E160000}"/>
    <cellStyle name="Normal 4 6 4 7 2" xfId="13215" xr:uid="{915B3C69-5834-4184-8FDC-4F47EE116C42}"/>
    <cellStyle name="Normal 4 6 4 8" xfId="8997" xr:uid="{245C6CE7-BCE1-45C2-9E68-D688060FCAC7}"/>
    <cellStyle name="Normal 4 6 5" xfId="869" xr:uid="{00000000-0005-0000-0000-00008F160000}"/>
    <cellStyle name="Normal 4 6 5 2" xfId="3104" xr:uid="{00000000-0005-0000-0000-000090160000}"/>
    <cellStyle name="Normal 4 6 5 2 2" xfId="7327" xr:uid="{00000000-0005-0000-0000-000091160000}"/>
    <cellStyle name="Normal 4 6 5 2 2 2" xfId="15766" xr:uid="{86030F46-61E8-4D94-B003-7AC27DFEF827}"/>
    <cellStyle name="Normal 4 6 5 2 3" xfId="11548" xr:uid="{20C41AEC-999E-4706-A7FB-DB6FB961AAB2}"/>
    <cellStyle name="Normal 4 6 5 3" xfId="5182" xr:uid="{00000000-0005-0000-0000-000092160000}"/>
    <cellStyle name="Normal 4 6 5 3 2" xfId="13621" xr:uid="{E905D907-AA6D-447A-A050-1497C6B6CFC5}"/>
    <cellStyle name="Normal 4 6 5 4" xfId="9403" xr:uid="{2EC45045-BB37-424B-8B51-56F6D7137185}"/>
    <cellStyle name="Normal 4 6 6" xfId="1287" xr:uid="{00000000-0005-0000-0000-000093160000}"/>
    <cellStyle name="Normal 4 6 6 2" xfId="3517" xr:uid="{00000000-0005-0000-0000-000094160000}"/>
    <cellStyle name="Normal 4 6 6 2 2" xfId="7740" xr:uid="{00000000-0005-0000-0000-000095160000}"/>
    <cellStyle name="Normal 4 6 6 2 2 2" xfId="16179" xr:uid="{2122AE9A-1A21-436B-82B2-B8F8BBEF931F}"/>
    <cellStyle name="Normal 4 6 6 2 3" xfId="11961" xr:uid="{1912B80E-4787-4137-92E0-531CD78097C8}"/>
    <cellStyle name="Normal 4 6 6 3" xfId="5595" xr:uid="{00000000-0005-0000-0000-000096160000}"/>
    <cellStyle name="Normal 4 6 6 3 2" xfId="14034" xr:uid="{0D40A2C7-A6A7-4582-8B59-5DCF7E276C33}"/>
    <cellStyle name="Normal 4 6 6 4" xfId="9816" xr:uid="{689F2B26-CBDA-44A6-B22A-75E5E4E33337}"/>
    <cellStyle name="Normal 4 6 7" xfId="1700" xr:uid="{00000000-0005-0000-0000-000097160000}"/>
    <cellStyle name="Normal 4 6 7 2" xfId="3930" xr:uid="{00000000-0005-0000-0000-000098160000}"/>
    <cellStyle name="Normal 4 6 7 2 2" xfId="8153" xr:uid="{00000000-0005-0000-0000-000099160000}"/>
    <cellStyle name="Normal 4 6 7 2 2 2" xfId="16592" xr:uid="{77625DA6-3E55-48AA-B408-32AC12DD8D15}"/>
    <cellStyle name="Normal 4 6 7 2 3" xfId="12374" xr:uid="{F5B6093C-A214-4294-B01A-045261382587}"/>
    <cellStyle name="Normal 4 6 7 3" xfId="6008" xr:uid="{00000000-0005-0000-0000-00009A160000}"/>
    <cellStyle name="Normal 4 6 7 3 2" xfId="14447" xr:uid="{34E37D9A-0CED-4443-B3F6-3A9E0E204191}"/>
    <cellStyle name="Normal 4 6 7 4" xfId="10229" xr:uid="{51A492E7-A911-4264-8F66-9BACA4BB259D}"/>
    <cellStyle name="Normal 4 6 8" xfId="2114" xr:uid="{00000000-0005-0000-0000-00009B160000}"/>
    <cellStyle name="Normal 4 6 8 2" xfId="4343" xr:uid="{00000000-0005-0000-0000-00009C160000}"/>
    <cellStyle name="Normal 4 6 8 2 2" xfId="8566" xr:uid="{00000000-0005-0000-0000-00009D160000}"/>
    <cellStyle name="Normal 4 6 8 2 2 2" xfId="17005" xr:uid="{59440F1F-53CE-4FCB-A373-675E3160682C}"/>
    <cellStyle name="Normal 4 6 8 2 3" xfId="12787" xr:uid="{8835E6ED-9EFA-4A9A-9DAC-4601BFB4740A}"/>
    <cellStyle name="Normal 4 6 8 3" xfId="6421" xr:uid="{00000000-0005-0000-0000-00009E160000}"/>
    <cellStyle name="Normal 4 6 8 3 2" xfId="14860" xr:uid="{549E4683-9573-40B0-A16A-90CB0E715939}"/>
    <cellStyle name="Normal 4 6 8 4" xfId="10642" xr:uid="{78B4BEA7-E8D0-4C0E-9DCF-C52234D49D84}"/>
    <cellStyle name="Normal 4 6 9" xfId="2550" xr:uid="{00000000-0005-0000-0000-00009F160000}"/>
    <cellStyle name="Normal 4 6 9 2" xfId="6834" xr:uid="{00000000-0005-0000-0000-0000A0160000}"/>
    <cellStyle name="Normal 4 6 9 2 2" xfId="15273" xr:uid="{4CEEF7EC-42BC-4CE4-AE89-19F0D046F91A}"/>
    <cellStyle name="Normal 4 6 9 3" xfId="11055" xr:uid="{448DD8F8-E410-48CA-8B25-3E66B46ED6A3}"/>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8E84648B-DA4F-40D3-A362-9C0662DB8884}"/>
    <cellStyle name="Normal 4 7 2 2 2 3" xfId="11557" xr:uid="{866761F0-1865-434A-8F6F-E4A5912EF173}"/>
    <cellStyle name="Normal 4 7 2 2 3" xfId="5191" xr:uid="{00000000-0005-0000-0000-0000A6160000}"/>
    <cellStyle name="Normal 4 7 2 2 3 2" xfId="13630" xr:uid="{CAB24CF3-873F-455A-BBD5-65AD96C446A7}"/>
    <cellStyle name="Normal 4 7 2 2 4" xfId="9412" xr:uid="{9413D8CC-69DE-48D0-9E7E-70FE5F7BA97F}"/>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AB9359D1-C633-43B8-BBB3-EA0E930DDCC4}"/>
    <cellStyle name="Normal 4 7 2 3 2 3" xfId="11970" xr:uid="{476948B8-1A10-4EFC-ABAE-E55B39E740CD}"/>
    <cellStyle name="Normal 4 7 2 3 3" xfId="5604" xr:uid="{00000000-0005-0000-0000-0000AA160000}"/>
    <cellStyle name="Normal 4 7 2 3 3 2" xfId="14043" xr:uid="{27A5E7FD-1593-47A9-9A05-0939C2F1547E}"/>
    <cellStyle name="Normal 4 7 2 3 4" xfId="9825" xr:uid="{2A07B103-8737-4454-BECF-4BA6C5810F9A}"/>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B6C9B709-2821-4C07-9822-B1343AB397CD}"/>
    <cellStyle name="Normal 4 7 2 4 2 3" xfId="12383" xr:uid="{E3561A1C-ECA8-4BA0-81CD-24316BC417F4}"/>
    <cellStyle name="Normal 4 7 2 4 3" xfId="6017" xr:uid="{00000000-0005-0000-0000-0000AE160000}"/>
    <cellStyle name="Normal 4 7 2 4 3 2" xfId="14456" xr:uid="{1571DA6A-FA67-41FC-91BA-49D39EDAB4F7}"/>
    <cellStyle name="Normal 4 7 2 4 4" xfId="10238" xr:uid="{F0DD335B-94A3-449E-9EF6-E72E7540C5B3}"/>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2EBABE94-899C-4D5C-B8C2-738CEE7E8FE0}"/>
    <cellStyle name="Normal 4 7 2 5 2 3" xfId="12796" xr:uid="{5C0505B7-8F84-4AA2-B4E5-57012DB0B088}"/>
    <cellStyle name="Normal 4 7 2 5 3" xfId="6430" xr:uid="{00000000-0005-0000-0000-0000B2160000}"/>
    <cellStyle name="Normal 4 7 2 5 3 2" xfId="14869" xr:uid="{65A87211-D749-4765-A44E-EFA2DE2D104A}"/>
    <cellStyle name="Normal 4 7 2 5 4" xfId="10651" xr:uid="{5D5B6D22-3419-46AF-930C-8D4296B354D7}"/>
    <cellStyle name="Normal 4 7 2 6" xfId="2559" xr:uid="{00000000-0005-0000-0000-0000B3160000}"/>
    <cellStyle name="Normal 4 7 2 6 2" xfId="6843" xr:uid="{00000000-0005-0000-0000-0000B4160000}"/>
    <cellStyle name="Normal 4 7 2 6 2 2" xfId="15282" xr:uid="{866375A4-E009-49A2-BAFB-CD87E84ADF64}"/>
    <cellStyle name="Normal 4 7 2 6 3" xfId="11064" xr:uid="{B30738D7-78B9-4DBF-BD00-31C918A1FF25}"/>
    <cellStyle name="Normal 4 7 2 7" xfId="4778" xr:uid="{00000000-0005-0000-0000-0000B5160000}"/>
    <cellStyle name="Normal 4 7 2 7 2" xfId="13217" xr:uid="{B7887548-EA84-43C6-8FE4-548F02BAA6BF}"/>
    <cellStyle name="Normal 4 7 2 8" xfId="8999" xr:uid="{FF617BCE-6253-4DAB-AE2F-D47D5A84609A}"/>
    <cellStyle name="Normal 4 7 3" xfId="877" xr:uid="{00000000-0005-0000-0000-0000B6160000}"/>
    <cellStyle name="Normal 4 7 3 2" xfId="3112" xr:uid="{00000000-0005-0000-0000-0000B7160000}"/>
    <cellStyle name="Normal 4 7 3 2 2" xfId="7335" xr:uid="{00000000-0005-0000-0000-0000B8160000}"/>
    <cellStyle name="Normal 4 7 3 2 2 2" xfId="15774" xr:uid="{ED003EB0-1769-4CA1-A75F-2077322AA3EB}"/>
    <cellStyle name="Normal 4 7 3 2 3" xfId="11556" xr:uid="{333FA900-8E41-4664-90E2-B594A2F9FC12}"/>
    <cellStyle name="Normal 4 7 3 3" xfId="5190" xr:uid="{00000000-0005-0000-0000-0000B9160000}"/>
    <cellStyle name="Normal 4 7 3 3 2" xfId="13629" xr:uid="{6C05F0B8-84ED-49DA-88AE-76E15C9D298E}"/>
    <cellStyle name="Normal 4 7 3 4" xfId="9411" xr:uid="{59CA7683-3B32-4694-A5D9-3C4B33155E39}"/>
    <cellStyle name="Normal 4 7 4" xfId="1295" xr:uid="{00000000-0005-0000-0000-0000BA160000}"/>
    <cellStyle name="Normal 4 7 4 2" xfId="3525" xr:uid="{00000000-0005-0000-0000-0000BB160000}"/>
    <cellStyle name="Normal 4 7 4 2 2" xfId="7748" xr:uid="{00000000-0005-0000-0000-0000BC160000}"/>
    <cellStyle name="Normal 4 7 4 2 2 2" xfId="16187" xr:uid="{73637599-B75A-4CCE-9C64-939F0BDD8CC3}"/>
    <cellStyle name="Normal 4 7 4 2 3" xfId="11969" xr:uid="{A4F59400-455D-49A2-B288-5C2DB283FB27}"/>
    <cellStyle name="Normal 4 7 4 3" xfId="5603" xr:uid="{00000000-0005-0000-0000-0000BD160000}"/>
    <cellStyle name="Normal 4 7 4 3 2" xfId="14042" xr:uid="{1E4E559F-DDAD-4EB3-851D-C9D41099EB25}"/>
    <cellStyle name="Normal 4 7 4 4" xfId="9824" xr:uid="{7109E5DB-A4BE-4199-9673-E56616FA122D}"/>
    <cellStyle name="Normal 4 7 5" xfId="1708" xr:uid="{00000000-0005-0000-0000-0000BE160000}"/>
    <cellStyle name="Normal 4 7 5 2" xfId="3938" xr:uid="{00000000-0005-0000-0000-0000BF160000}"/>
    <cellStyle name="Normal 4 7 5 2 2" xfId="8161" xr:uid="{00000000-0005-0000-0000-0000C0160000}"/>
    <cellStyle name="Normal 4 7 5 2 2 2" xfId="16600" xr:uid="{A757F386-6AEB-4C58-B5D6-E370CE6B7E95}"/>
    <cellStyle name="Normal 4 7 5 2 3" xfId="12382" xr:uid="{88F5B004-2581-4B27-BD0F-9DE27265B91C}"/>
    <cellStyle name="Normal 4 7 5 3" xfId="6016" xr:uid="{00000000-0005-0000-0000-0000C1160000}"/>
    <cellStyle name="Normal 4 7 5 3 2" xfId="14455" xr:uid="{868113C3-416A-47C4-9A85-12F04164DCC7}"/>
    <cellStyle name="Normal 4 7 5 4" xfId="10237" xr:uid="{28DC4B37-10C2-4742-A79E-41954DCFC92F}"/>
    <cellStyle name="Normal 4 7 6" xfId="2122" xr:uid="{00000000-0005-0000-0000-0000C2160000}"/>
    <cellStyle name="Normal 4 7 6 2" xfId="4351" xr:uid="{00000000-0005-0000-0000-0000C3160000}"/>
    <cellStyle name="Normal 4 7 6 2 2" xfId="8574" xr:uid="{00000000-0005-0000-0000-0000C4160000}"/>
    <cellStyle name="Normal 4 7 6 2 2 2" xfId="17013" xr:uid="{F2BAD710-D401-4DA8-95B3-8F1CC66EF602}"/>
    <cellStyle name="Normal 4 7 6 2 3" xfId="12795" xr:uid="{5449FD13-02A4-4E4B-9555-7D2C81C645CD}"/>
    <cellStyle name="Normal 4 7 6 3" xfId="6429" xr:uid="{00000000-0005-0000-0000-0000C5160000}"/>
    <cellStyle name="Normal 4 7 6 3 2" xfId="14868" xr:uid="{0BFA2FD4-F69A-4470-94F4-5A4C916EFBFA}"/>
    <cellStyle name="Normal 4 7 6 4" xfId="10650" xr:uid="{B71E45F7-2386-4D89-A71D-CF39633B88D3}"/>
    <cellStyle name="Normal 4 7 7" xfId="2558" xr:uid="{00000000-0005-0000-0000-0000C6160000}"/>
    <cellStyle name="Normal 4 7 7 2" xfId="6842" xr:uid="{00000000-0005-0000-0000-0000C7160000}"/>
    <cellStyle name="Normal 4 7 7 2 2" xfId="15281" xr:uid="{33E5F095-3D14-47AA-B567-1E6940A27800}"/>
    <cellStyle name="Normal 4 7 7 3" xfId="11063" xr:uid="{C273122B-4854-4854-B1B0-2E0E41768F34}"/>
    <cellStyle name="Normal 4 7 8" xfId="4777" xr:uid="{00000000-0005-0000-0000-0000C8160000}"/>
    <cellStyle name="Normal 4 7 8 2" xfId="13216" xr:uid="{582AAA78-1C99-48BD-8460-37A9E822972C}"/>
    <cellStyle name="Normal 4 7 9" xfId="8998" xr:uid="{1F9D0F7C-3781-435B-B0E0-82457CE8B782}"/>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9E16500A-3F82-4DC5-842E-40E3FF435014}"/>
    <cellStyle name="Normal 4 8 2 2 3" xfId="11558" xr:uid="{D7893037-4683-4044-910B-2C23E1E47A08}"/>
    <cellStyle name="Normal 4 8 2 3" xfId="5192" xr:uid="{00000000-0005-0000-0000-0000CD160000}"/>
    <cellStyle name="Normal 4 8 2 3 2" xfId="13631" xr:uid="{55BA8509-01C4-469E-9B36-F1F2081CDA00}"/>
    <cellStyle name="Normal 4 8 2 4" xfId="9413" xr:uid="{6DF37354-EBA6-4C5A-911C-BFA588E6A359}"/>
    <cellStyle name="Normal 4 8 3" xfId="1297" xr:uid="{00000000-0005-0000-0000-0000CE160000}"/>
    <cellStyle name="Normal 4 8 3 2" xfId="3527" xr:uid="{00000000-0005-0000-0000-0000CF160000}"/>
    <cellStyle name="Normal 4 8 3 2 2" xfId="7750" xr:uid="{00000000-0005-0000-0000-0000D0160000}"/>
    <cellStyle name="Normal 4 8 3 2 2 2" xfId="16189" xr:uid="{EA880852-FCEB-4B70-AB18-E105DBEA63B5}"/>
    <cellStyle name="Normal 4 8 3 2 3" xfId="11971" xr:uid="{82FD319C-ECB8-4083-A9E2-C3F0ED7E5DF2}"/>
    <cellStyle name="Normal 4 8 3 3" xfId="5605" xr:uid="{00000000-0005-0000-0000-0000D1160000}"/>
    <cellStyle name="Normal 4 8 3 3 2" xfId="14044" xr:uid="{988B0FB8-1676-4ECE-B975-2098B76EFE12}"/>
    <cellStyle name="Normal 4 8 3 4" xfId="9826" xr:uid="{B46809F8-8845-4BB8-9DF2-DC4556CF2F56}"/>
    <cellStyle name="Normal 4 8 4" xfId="1710" xr:uid="{00000000-0005-0000-0000-0000D2160000}"/>
    <cellStyle name="Normal 4 8 4 2" xfId="3940" xr:uid="{00000000-0005-0000-0000-0000D3160000}"/>
    <cellStyle name="Normal 4 8 4 2 2" xfId="8163" xr:uid="{00000000-0005-0000-0000-0000D4160000}"/>
    <cellStyle name="Normal 4 8 4 2 2 2" xfId="16602" xr:uid="{EBAD3B6C-FC46-4333-9536-AF148AA463B2}"/>
    <cellStyle name="Normal 4 8 4 2 3" xfId="12384" xr:uid="{76AEAA91-80A0-4614-A3D9-6FF22C850D26}"/>
    <cellStyle name="Normal 4 8 4 3" xfId="6018" xr:uid="{00000000-0005-0000-0000-0000D5160000}"/>
    <cellStyle name="Normal 4 8 4 3 2" xfId="14457" xr:uid="{B03E9D06-3A88-4683-94D7-922F02F539C9}"/>
    <cellStyle name="Normal 4 8 4 4" xfId="10239" xr:uid="{C99D7822-3CB2-4670-9232-0CC03810A132}"/>
    <cellStyle name="Normal 4 8 5" xfId="2124" xr:uid="{00000000-0005-0000-0000-0000D6160000}"/>
    <cellStyle name="Normal 4 8 5 2" xfId="4353" xr:uid="{00000000-0005-0000-0000-0000D7160000}"/>
    <cellStyle name="Normal 4 8 5 2 2" xfId="8576" xr:uid="{00000000-0005-0000-0000-0000D8160000}"/>
    <cellStyle name="Normal 4 8 5 2 2 2" xfId="17015" xr:uid="{61DAA12D-3448-4F2B-8F48-EF30A534E0F5}"/>
    <cellStyle name="Normal 4 8 5 2 3" xfId="12797" xr:uid="{6BF0C26D-0DB0-40DA-8D4D-BE2AAA368B27}"/>
    <cellStyle name="Normal 4 8 5 3" xfId="6431" xr:uid="{00000000-0005-0000-0000-0000D9160000}"/>
    <cellStyle name="Normal 4 8 5 3 2" xfId="14870" xr:uid="{308B8EB1-FA80-42F9-B4DB-03D199C48307}"/>
    <cellStyle name="Normal 4 8 5 4" xfId="10652" xr:uid="{B05FBA90-924A-4FBD-BBBB-62DD9361069B}"/>
    <cellStyle name="Normal 4 8 6" xfId="2560" xr:uid="{00000000-0005-0000-0000-0000DA160000}"/>
    <cellStyle name="Normal 4 8 6 2" xfId="6844" xr:uid="{00000000-0005-0000-0000-0000DB160000}"/>
    <cellStyle name="Normal 4 8 6 2 2" xfId="15283" xr:uid="{0F6E9DC0-C3ED-4E12-A3C7-8D708D751A06}"/>
    <cellStyle name="Normal 4 8 6 3" xfId="11065" xr:uid="{4051FA13-94A2-4E94-8808-CE8376CC64F6}"/>
    <cellStyle name="Normal 4 8 7" xfId="4779" xr:uid="{00000000-0005-0000-0000-0000DC160000}"/>
    <cellStyle name="Normal 4 8 7 2" xfId="13218" xr:uid="{A9E80037-44AE-4A10-AE19-EC93B3DA7C21}"/>
    <cellStyle name="Normal 4 8 8" xfId="9000" xr:uid="{ADB46B5D-46FD-493B-BB1B-381875AA487F}"/>
    <cellStyle name="Normal 4 9" xfId="4716" xr:uid="{00000000-0005-0000-0000-0000DD160000}"/>
    <cellStyle name="Normal 4 9 2" xfId="13155" xr:uid="{D16E8637-5824-4F7D-A80C-BBF448AD71FA}"/>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8D5BA8A1-C174-478E-8D43-4CE446C2B981}"/>
    <cellStyle name="Normal 5 10 2 3" xfId="12385" xr:uid="{D8F2DE66-51CE-4278-8D0F-0D7C451E3ADD}"/>
    <cellStyle name="Normal 5 10 3" xfId="6019" xr:uid="{00000000-0005-0000-0000-0000E2160000}"/>
    <cellStyle name="Normal 5 10 3 2" xfId="14458" xr:uid="{90708FC7-5855-49EB-8E31-058ABB76F6E5}"/>
    <cellStyle name="Normal 5 10 4" xfId="10240" xr:uid="{10634F47-5363-463F-B870-F73E49EEC2A4}"/>
    <cellStyle name="Normal 5 11" xfId="2125" xr:uid="{00000000-0005-0000-0000-0000E3160000}"/>
    <cellStyle name="Normal 5 11 2" xfId="4354" xr:uid="{00000000-0005-0000-0000-0000E4160000}"/>
    <cellStyle name="Normal 5 11 2 2" xfId="8577" xr:uid="{00000000-0005-0000-0000-0000E5160000}"/>
    <cellStyle name="Normal 5 11 2 2 2" xfId="17016" xr:uid="{84ADA967-DD77-431A-88C5-93F13DCD5A1F}"/>
    <cellStyle name="Normal 5 11 2 3" xfId="12798" xr:uid="{B8A07E67-7A2F-4AA9-84B8-AA2909B3B702}"/>
    <cellStyle name="Normal 5 11 3" xfId="6432" xr:uid="{00000000-0005-0000-0000-0000E6160000}"/>
    <cellStyle name="Normal 5 11 3 2" xfId="14871" xr:uid="{0082BBCF-5FA5-43DC-9F4A-686566F5B2C9}"/>
    <cellStyle name="Normal 5 11 4" xfId="10653" xr:uid="{7DF9EF3C-A5EA-4762-BCDE-73BF730EC9BE}"/>
    <cellStyle name="Normal 5 12" xfId="2561" xr:uid="{00000000-0005-0000-0000-0000E7160000}"/>
    <cellStyle name="Normal 5 12 2" xfId="6845" xr:uid="{00000000-0005-0000-0000-0000E8160000}"/>
    <cellStyle name="Normal 5 12 2 2" xfId="15284" xr:uid="{26204781-D185-4C72-B243-C98E79D26A82}"/>
    <cellStyle name="Normal 5 12 3" xfId="11066" xr:uid="{41C19921-D209-4B92-ABF1-99975412BD49}"/>
    <cellStyle name="Normal 5 13" xfId="4780" xr:uid="{00000000-0005-0000-0000-0000E9160000}"/>
    <cellStyle name="Normal 5 13 2" xfId="13219" xr:uid="{EDFCAE18-2534-4670-AC74-5C78FEDFD4F3}"/>
    <cellStyle name="Normal 5 14" xfId="9001" xr:uid="{AF5C35F0-E296-4835-89AC-9046CCC4B7EF}"/>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3A2238EC-8593-4B4E-ADBC-35137D7F1E86}"/>
    <cellStyle name="Normal 5 2 10 2 3" xfId="12799" xr:uid="{07F52CB2-224D-4019-A91F-A841430A9E51}"/>
    <cellStyle name="Normal 5 2 10 3" xfId="6433" xr:uid="{00000000-0005-0000-0000-0000EE160000}"/>
    <cellStyle name="Normal 5 2 10 3 2" xfId="14872" xr:uid="{9F45A13F-DE93-4A06-B679-745A22E4D23D}"/>
    <cellStyle name="Normal 5 2 10 4" xfId="10654" xr:uid="{83B7A6BE-222B-4D59-A306-0C5923F37DA3}"/>
    <cellStyle name="Normal 5 2 11" xfId="2562" xr:uid="{00000000-0005-0000-0000-0000EF160000}"/>
    <cellStyle name="Normal 5 2 11 2" xfId="6846" xr:uid="{00000000-0005-0000-0000-0000F0160000}"/>
    <cellStyle name="Normal 5 2 11 2 2" xfId="15285" xr:uid="{F7B45B85-BFA5-4732-9947-FBBC37D88EC1}"/>
    <cellStyle name="Normal 5 2 11 3" xfId="11067" xr:uid="{0C2F800F-71AD-4F43-B95E-BEC98107019B}"/>
    <cellStyle name="Normal 5 2 12" xfId="4781" xr:uid="{00000000-0005-0000-0000-0000F1160000}"/>
    <cellStyle name="Normal 5 2 12 2" xfId="13220" xr:uid="{E3A0F6FB-504F-440B-B498-813B1E03423C}"/>
    <cellStyle name="Normal 5 2 13" xfId="9002" xr:uid="{A8946D18-2FF1-48C6-9273-944A70B8E43E}"/>
    <cellStyle name="Normal 5 2 2" xfId="408" xr:uid="{00000000-0005-0000-0000-0000F2160000}"/>
    <cellStyle name="Normal 5 2 2 10" xfId="2563" xr:uid="{00000000-0005-0000-0000-0000F3160000}"/>
    <cellStyle name="Normal 5 2 2 10 2" xfId="6847" xr:uid="{00000000-0005-0000-0000-0000F4160000}"/>
    <cellStyle name="Normal 5 2 2 10 2 2" xfId="15286" xr:uid="{F43553CB-88BA-417F-ADBB-4B0915D35347}"/>
    <cellStyle name="Normal 5 2 2 10 3" xfId="11068" xr:uid="{B9C8A8EC-DDC4-4FB8-AF82-A6A76D6C29F9}"/>
    <cellStyle name="Normal 5 2 2 11" xfId="4782" xr:uid="{00000000-0005-0000-0000-0000F5160000}"/>
    <cellStyle name="Normal 5 2 2 11 2" xfId="13221" xr:uid="{A544EE4D-C4FB-4E6C-A71F-5325A159FC25}"/>
    <cellStyle name="Normal 5 2 2 12" xfId="9003" xr:uid="{8A91449D-2343-44B8-A592-A4C3BF03D167}"/>
    <cellStyle name="Normal 5 2 2 2" xfId="409" xr:uid="{00000000-0005-0000-0000-0000F6160000}"/>
    <cellStyle name="Normal 5 2 2 2 10" xfId="4783" xr:uid="{00000000-0005-0000-0000-0000F7160000}"/>
    <cellStyle name="Normal 5 2 2 2 10 2" xfId="13222" xr:uid="{A60075D5-888E-4BC3-A28F-A98790AB2707}"/>
    <cellStyle name="Normal 5 2 2 2 11" xfId="9004" xr:uid="{6258CE69-18A7-45F2-AC08-C5FE4A546F51}"/>
    <cellStyle name="Normal 5 2 2 2 2" xfId="410" xr:uid="{00000000-0005-0000-0000-0000F8160000}"/>
    <cellStyle name="Normal 5 2 2 2 2 10" xfId="9005" xr:uid="{75BF6608-C2C8-4742-AB66-B3DFCEAF3C7A}"/>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27A9821A-BD0E-43AE-8CCD-FE01B861209F}"/>
    <cellStyle name="Normal 5 2 2 2 2 2 2 2 2 3" xfId="11565" xr:uid="{84388E4D-273F-4D52-A290-3BAD165B5688}"/>
    <cellStyle name="Normal 5 2 2 2 2 2 2 2 3" xfId="5199" xr:uid="{00000000-0005-0000-0000-0000FE160000}"/>
    <cellStyle name="Normal 5 2 2 2 2 2 2 2 3 2" xfId="13638" xr:uid="{DA264E8C-1B32-4383-9C46-900336CF7913}"/>
    <cellStyle name="Normal 5 2 2 2 2 2 2 2 4" xfId="9420" xr:uid="{3E3F5BB3-F357-4BCA-9F90-4F441C4D7D78}"/>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0CFD5428-05A0-4C76-B8E8-D5FE71D22158}"/>
    <cellStyle name="Normal 5 2 2 2 2 2 2 3 2 3" xfId="11978" xr:uid="{C2B3E05C-CF51-4579-8C7E-B4A97588D995}"/>
    <cellStyle name="Normal 5 2 2 2 2 2 2 3 3" xfId="5612" xr:uid="{00000000-0005-0000-0000-000002170000}"/>
    <cellStyle name="Normal 5 2 2 2 2 2 2 3 3 2" xfId="14051" xr:uid="{9A942D0E-070B-4850-9C11-C15C1268B26B}"/>
    <cellStyle name="Normal 5 2 2 2 2 2 2 3 4" xfId="9833" xr:uid="{79A95F7D-36A3-4BD5-831B-A9539D5AD799}"/>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A40193E1-E513-49D3-B20E-7489DA15AF4A}"/>
    <cellStyle name="Normal 5 2 2 2 2 2 2 4 2 3" xfId="12391" xr:uid="{4283CA68-21BF-46FD-ACB3-13A294BE0F8B}"/>
    <cellStyle name="Normal 5 2 2 2 2 2 2 4 3" xfId="6025" xr:uid="{00000000-0005-0000-0000-000006170000}"/>
    <cellStyle name="Normal 5 2 2 2 2 2 2 4 3 2" xfId="14464" xr:uid="{BA612D61-140D-40F8-B7C6-60A14836BA9B}"/>
    <cellStyle name="Normal 5 2 2 2 2 2 2 4 4" xfId="10246" xr:uid="{E0708639-4A1C-4E9C-97ED-80D724D5A968}"/>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982BB5C7-67CE-4FA2-A822-3C22A01A7CB0}"/>
    <cellStyle name="Normal 5 2 2 2 2 2 2 5 2 3" xfId="12804" xr:uid="{322E5D25-0D7C-41E7-9BEC-519F73F92156}"/>
    <cellStyle name="Normal 5 2 2 2 2 2 2 5 3" xfId="6438" xr:uid="{00000000-0005-0000-0000-00000A170000}"/>
    <cellStyle name="Normal 5 2 2 2 2 2 2 5 3 2" xfId="14877" xr:uid="{0519DAF1-2A60-477C-A7A0-BFE99921DA8F}"/>
    <cellStyle name="Normal 5 2 2 2 2 2 2 5 4" xfId="10659" xr:uid="{1F70DD0D-3F02-45DB-BCBC-E291624DC31E}"/>
    <cellStyle name="Normal 5 2 2 2 2 2 2 6" xfId="2567" xr:uid="{00000000-0005-0000-0000-00000B170000}"/>
    <cellStyle name="Normal 5 2 2 2 2 2 2 6 2" xfId="6851" xr:uid="{00000000-0005-0000-0000-00000C170000}"/>
    <cellStyle name="Normal 5 2 2 2 2 2 2 6 2 2" xfId="15290" xr:uid="{04AD846B-AA3F-456F-9187-B02712736925}"/>
    <cellStyle name="Normal 5 2 2 2 2 2 2 6 3" xfId="11072" xr:uid="{C2BF66AF-F48D-4DE9-8FB7-2C8A7D4FF299}"/>
    <cellStyle name="Normal 5 2 2 2 2 2 2 7" xfId="4786" xr:uid="{00000000-0005-0000-0000-00000D170000}"/>
    <cellStyle name="Normal 5 2 2 2 2 2 2 7 2" xfId="13225" xr:uid="{978A39D7-631F-43AF-8771-E01CA418E2EC}"/>
    <cellStyle name="Normal 5 2 2 2 2 2 2 8" xfId="9007" xr:uid="{14820C66-5896-4C8D-BEBF-DE5C7D120AB7}"/>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838CD4D6-753A-45D4-9E08-458AF0396F89}"/>
    <cellStyle name="Normal 5 2 2 2 2 2 3 2 3" xfId="11564" xr:uid="{3C222B0B-79F6-4D38-AEC9-96EEF516FA78}"/>
    <cellStyle name="Normal 5 2 2 2 2 2 3 3" xfId="5198" xr:uid="{00000000-0005-0000-0000-000011170000}"/>
    <cellStyle name="Normal 5 2 2 2 2 2 3 3 2" xfId="13637" xr:uid="{A77AA768-3396-4365-8D16-EAAF9A281A5D}"/>
    <cellStyle name="Normal 5 2 2 2 2 2 3 4" xfId="9419" xr:uid="{9EB35E30-8797-45D3-A92A-AE13D7650102}"/>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0B1305E1-EC10-417A-A52F-D519F3394ED2}"/>
    <cellStyle name="Normal 5 2 2 2 2 2 4 2 3" xfId="11977" xr:uid="{0F3D0328-5413-4973-BF07-F08D4AE5B0CC}"/>
    <cellStyle name="Normal 5 2 2 2 2 2 4 3" xfId="5611" xr:uid="{00000000-0005-0000-0000-000015170000}"/>
    <cellStyle name="Normal 5 2 2 2 2 2 4 3 2" xfId="14050" xr:uid="{436F0CE0-50B9-4BD0-A0F4-424E282BBA8E}"/>
    <cellStyle name="Normal 5 2 2 2 2 2 4 4" xfId="9832" xr:uid="{2086A18A-766F-4B65-85EC-3250A743A6A7}"/>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915C6A53-DD66-4FD7-B3A7-EC723EEE7E65}"/>
    <cellStyle name="Normal 5 2 2 2 2 2 5 2 3" xfId="12390" xr:uid="{4EC34120-B195-40D9-AC37-17811C65140D}"/>
    <cellStyle name="Normal 5 2 2 2 2 2 5 3" xfId="6024" xr:uid="{00000000-0005-0000-0000-000019170000}"/>
    <cellStyle name="Normal 5 2 2 2 2 2 5 3 2" xfId="14463" xr:uid="{3971614B-F1F5-4189-863C-DCEAF7B5181F}"/>
    <cellStyle name="Normal 5 2 2 2 2 2 5 4" xfId="10245" xr:uid="{DC803165-0E71-4782-8CEE-8DA4EEF4A3B1}"/>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A564F357-456D-456D-A8DB-C5C01B6455A2}"/>
    <cellStyle name="Normal 5 2 2 2 2 2 6 2 3" xfId="12803" xr:uid="{393556C7-A184-4F01-985D-7C481F5B4D82}"/>
    <cellStyle name="Normal 5 2 2 2 2 2 6 3" xfId="6437" xr:uid="{00000000-0005-0000-0000-00001D170000}"/>
    <cellStyle name="Normal 5 2 2 2 2 2 6 3 2" xfId="14876" xr:uid="{2953A588-9755-462D-9A5A-3E20388337BF}"/>
    <cellStyle name="Normal 5 2 2 2 2 2 6 4" xfId="10658" xr:uid="{454A06B7-A55A-40B0-A4C9-E8314E69684D}"/>
    <cellStyle name="Normal 5 2 2 2 2 2 7" xfId="2566" xr:uid="{00000000-0005-0000-0000-00001E170000}"/>
    <cellStyle name="Normal 5 2 2 2 2 2 7 2" xfId="6850" xr:uid="{00000000-0005-0000-0000-00001F170000}"/>
    <cellStyle name="Normal 5 2 2 2 2 2 7 2 2" xfId="15289" xr:uid="{B1E26864-F369-4960-B1E2-BD749CFF9B46}"/>
    <cellStyle name="Normal 5 2 2 2 2 2 7 3" xfId="11071" xr:uid="{A2F0C291-202D-4462-B59D-877AB3D3EAAD}"/>
    <cellStyle name="Normal 5 2 2 2 2 2 8" xfId="4785" xr:uid="{00000000-0005-0000-0000-000020170000}"/>
    <cellStyle name="Normal 5 2 2 2 2 2 8 2" xfId="13224" xr:uid="{7B567FD0-A644-4C7E-B0FD-FDDBC48432D9}"/>
    <cellStyle name="Normal 5 2 2 2 2 2 9" xfId="9006" xr:uid="{CA32FC60-0A69-4F29-BB3A-3C46D382CB8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AD5EF18B-0E4E-4C04-80D8-178093224603}"/>
    <cellStyle name="Normal 5 2 2 2 2 3 2 2 3" xfId="11566" xr:uid="{3B72715A-6BEA-4B23-9CAD-978464C0DDC7}"/>
    <cellStyle name="Normal 5 2 2 2 2 3 2 3" xfId="5200" xr:uid="{00000000-0005-0000-0000-000025170000}"/>
    <cellStyle name="Normal 5 2 2 2 2 3 2 3 2" xfId="13639" xr:uid="{71BC7BBF-CE63-442E-AEBB-FAC3A9D4323B}"/>
    <cellStyle name="Normal 5 2 2 2 2 3 2 4" xfId="9421" xr:uid="{F7BD4209-0F2A-450B-BD30-FC97B073836E}"/>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E7B56687-7100-4B7B-9741-ABEECCC7B10E}"/>
    <cellStyle name="Normal 5 2 2 2 2 3 3 2 3" xfId="11979" xr:uid="{B8A17BCE-58C2-4340-AD9F-88D221259249}"/>
    <cellStyle name="Normal 5 2 2 2 2 3 3 3" xfId="5613" xr:uid="{00000000-0005-0000-0000-000029170000}"/>
    <cellStyle name="Normal 5 2 2 2 2 3 3 3 2" xfId="14052" xr:uid="{7214E7EF-E2E5-4F8B-B49F-0F3890E6973A}"/>
    <cellStyle name="Normal 5 2 2 2 2 3 3 4" xfId="9834" xr:uid="{96A8C860-7D66-43A1-9214-B39C8F7823B7}"/>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365E92C6-27B1-4E8C-BB3B-FCF8E924ED83}"/>
    <cellStyle name="Normal 5 2 2 2 2 3 4 2 3" xfId="12392" xr:uid="{B94A3F02-E0F2-4B95-A6A1-F6F311626AF4}"/>
    <cellStyle name="Normal 5 2 2 2 2 3 4 3" xfId="6026" xr:uid="{00000000-0005-0000-0000-00002D170000}"/>
    <cellStyle name="Normal 5 2 2 2 2 3 4 3 2" xfId="14465" xr:uid="{A56F28F4-1BAC-457A-8874-5FFD9C7D88BF}"/>
    <cellStyle name="Normal 5 2 2 2 2 3 4 4" xfId="10247" xr:uid="{84AB54EC-C88D-4AB9-80CD-1958F37CCCD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D6BCF56D-8BC3-4EC3-A892-F8178003BE17}"/>
    <cellStyle name="Normal 5 2 2 2 2 3 5 2 3" xfId="12805" xr:uid="{7FE5286E-F0EE-48CB-BEEF-0ED38C0C8590}"/>
    <cellStyle name="Normal 5 2 2 2 2 3 5 3" xfId="6439" xr:uid="{00000000-0005-0000-0000-000031170000}"/>
    <cellStyle name="Normal 5 2 2 2 2 3 5 3 2" xfId="14878" xr:uid="{7326AE15-8E70-43DE-913A-AA9B00FD6D58}"/>
    <cellStyle name="Normal 5 2 2 2 2 3 5 4" xfId="10660" xr:uid="{1D502646-DE71-4214-9448-23C7BBE655EB}"/>
    <cellStyle name="Normal 5 2 2 2 2 3 6" xfId="2568" xr:uid="{00000000-0005-0000-0000-000032170000}"/>
    <cellStyle name="Normal 5 2 2 2 2 3 6 2" xfId="6852" xr:uid="{00000000-0005-0000-0000-000033170000}"/>
    <cellStyle name="Normal 5 2 2 2 2 3 6 2 2" xfId="15291" xr:uid="{1D12F199-7B05-454B-B51C-2562007E961B}"/>
    <cellStyle name="Normal 5 2 2 2 2 3 6 3" xfId="11073" xr:uid="{D25D3C03-80B6-45FD-BCA4-AEDA44B4F0A3}"/>
    <cellStyle name="Normal 5 2 2 2 2 3 7" xfId="4787" xr:uid="{00000000-0005-0000-0000-000034170000}"/>
    <cellStyle name="Normal 5 2 2 2 2 3 7 2" xfId="13226" xr:uid="{D16B4611-E8DB-4EE1-9F68-48D5A64F799B}"/>
    <cellStyle name="Normal 5 2 2 2 2 3 8" xfId="9008" xr:uid="{FD5FF1F9-4143-4C6F-A3EA-DD9C19F54075}"/>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824113D3-83AD-4101-8E81-E4805A0CD16C}"/>
    <cellStyle name="Normal 5 2 2 2 2 4 2 3" xfId="11563" xr:uid="{B49D23E2-CB30-4B74-9200-7D6AE0542B15}"/>
    <cellStyle name="Normal 5 2 2 2 2 4 3" xfId="5197" xr:uid="{00000000-0005-0000-0000-000038170000}"/>
    <cellStyle name="Normal 5 2 2 2 2 4 3 2" xfId="13636" xr:uid="{3AAE2B36-FD07-4D05-A79E-5C64C69517A6}"/>
    <cellStyle name="Normal 5 2 2 2 2 4 4" xfId="9418" xr:uid="{35ED615C-350A-4BBD-B054-5E66B8E385DA}"/>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64BCD499-48ED-4CD5-B196-64769B60485C}"/>
    <cellStyle name="Normal 5 2 2 2 2 5 2 3" xfId="11976" xr:uid="{3FED40B0-E786-4CCF-BAC7-79372137D6FE}"/>
    <cellStyle name="Normal 5 2 2 2 2 5 3" xfId="5610" xr:uid="{00000000-0005-0000-0000-00003C170000}"/>
    <cellStyle name="Normal 5 2 2 2 2 5 3 2" xfId="14049" xr:uid="{C92AF2DD-763D-4B6D-BCA7-CA105683EABE}"/>
    <cellStyle name="Normal 5 2 2 2 2 5 4" xfId="9831" xr:uid="{08DDBAD5-AAEF-4351-AD0E-5F46540F6308}"/>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2E59FE41-53AF-4887-B859-C81606DE3A99}"/>
    <cellStyle name="Normal 5 2 2 2 2 6 2 3" xfId="12389" xr:uid="{EC014B6E-4FFD-4E0D-BFC2-75C32FFE736A}"/>
    <cellStyle name="Normal 5 2 2 2 2 6 3" xfId="6023" xr:uid="{00000000-0005-0000-0000-000040170000}"/>
    <cellStyle name="Normal 5 2 2 2 2 6 3 2" xfId="14462" xr:uid="{59553A7D-0D54-445C-A739-CE4B70A3E5DC}"/>
    <cellStyle name="Normal 5 2 2 2 2 6 4" xfId="10244" xr:uid="{B4EE59A4-A98F-4F2D-8238-116CB16DA246}"/>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1D31B881-E27C-4CD1-8340-E926B078988D}"/>
    <cellStyle name="Normal 5 2 2 2 2 7 2 3" xfId="12802" xr:uid="{F21F398F-071A-43CE-B094-F7054017E90D}"/>
    <cellStyle name="Normal 5 2 2 2 2 7 3" xfId="6436" xr:uid="{00000000-0005-0000-0000-000044170000}"/>
    <cellStyle name="Normal 5 2 2 2 2 7 3 2" xfId="14875" xr:uid="{4B4D6998-97A7-4070-A1D3-67F06D3AA35A}"/>
    <cellStyle name="Normal 5 2 2 2 2 7 4" xfId="10657" xr:uid="{C9A35C8D-1E1A-4A8F-9825-CE9BDAA40B2F}"/>
    <cellStyle name="Normal 5 2 2 2 2 8" xfId="2565" xr:uid="{00000000-0005-0000-0000-000045170000}"/>
    <cellStyle name="Normal 5 2 2 2 2 8 2" xfId="6849" xr:uid="{00000000-0005-0000-0000-000046170000}"/>
    <cellStyle name="Normal 5 2 2 2 2 8 2 2" xfId="15288" xr:uid="{A98CFEEB-D99A-4A2B-8E3D-C06B45BA4AF9}"/>
    <cellStyle name="Normal 5 2 2 2 2 8 3" xfId="11070" xr:uid="{42E03718-EB52-49D2-8984-AB36BF07F9E9}"/>
    <cellStyle name="Normal 5 2 2 2 2 9" xfId="4784" xr:uid="{00000000-0005-0000-0000-000047170000}"/>
    <cellStyle name="Normal 5 2 2 2 2 9 2" xfId="13223" xr:uid="{D91B97A5-22BC-4575-878C-FCD630E9BC5B}"/>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9E6A91B7-6D7F-4AFC-99F1-E26F1AB3191C}"/>
    <cellStyle name="Normal 5 2 2 2 3 2 2 2 3" xfId="11568" xr:uid="{C39001D8-2EC3-4A95-8EEF-8D7A9C3B7BB7}"/>
    <cellStyle name="Normal 5 2 2 2 3 2 2 3" xfId="5202" xr:uid="{00000000-0005-0000-0000-00004D170000}"/>
    <cellStyle name="Normal 5 2 2 2 3 2 2 3 2" xfId="13641" xr:uid="{B9416A1A-5FD4-41CD-A302-AB4D495AF223}"/>
    <cellStyle name="Normal 5 2 2 2 3 2 2 4" xfId="9423" xr:uid="{9446F139-B2A4-4D94-9C4F-F17B5160BC2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37AA951C-CBB0-40B3-81D4-B00BB64E56EF}"/>
    <cellStyle name="Normal 5 2 2 2 3 2 3 2 3" xfId="11981" xr:uid="{0370125F-4295-46E7-B7F1-376BF60AF2C1}"/>
    <cellStyle name="Normal 5 2 2 2 3 2 3 3" xfId="5615" xr:uid="{00000000-0005-0000-0000-000051170000}"/>
    <cellStyle name="Normal 5 2 2 2 3 2 3 3 2" xfId="14054" xr:uid="{C681526E-FA6F-4F43-AF78-7F4206F37697}"/>
    <cellStyle name="Normal 5 2 2 2 3 2 3 4" xfId="9836" xr:uid="{99965670-6DC0-41DC-8ABE-55252B9A21E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47F4F595-FC6B-4727-A56B-06F03E2DF2A6}"/>
    <cellStyle name="Normal 5 2 2 2 3 2 4 2 3" xfId="12394" xr:uid="{DB7C2EB1-2850-4381-B80A-0550B58430FE}"/>
    <cellStyle name="Normal 5 2 2 2 3 2 4 3" xfId="6028" xr:uid="{00000000-0005-0000-0000-000055170000}"/>
    <cellStyle name="Normal 5 2 2 2 3 2 4 3 2" xfId="14467" xr:uid="{C8C1ADC1-102A-4D16-8244-8A5298848482}"/>
    <cellStyle name="Normal 5 2 2 2 3 2 4 4" xfId="10249" xr:uid="{F0759DB3-7D61-4570-AEEF-10FEDB064137}"/>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F6F68048-D06C-4925-9A1A-27E00AF5E5D2}"/>
    <cellStyle name="Normal 5 2 2 2 3 2 5 2 3" xfId="12807" xr:uid="{226DE93A-05D4-4712-9488-88EE64B4C5B8}"/>
    <cellStyle name="Normal 5 2 2 2 3 2 5 3" xfId="6441" xr:uid="{00000000-0005-0000-0000-000059170000}"/>
    <cellStyle name="Normal 5 2 2 2 3 2 5 3 2" xfId="14880" xr:uid="{2E2B1611-F7D9-4132-B0E0-DB4E88017FE5}"/>
    <cellStyle name="Normal 5 2 2 2 3 2 5 4" xfId="10662" xr:uid="{8D25486D-BB35-49FD-8E7A-2AD3EFEAC7FD}"/>
    <cellStyle name="Normal 5 2 2 2 3 2 6" xfId="2570" xr:uid="{00000000-0005-0000-0000-00005A170000}"/>
    <cellStyle name="Normal 5 2 2 2 3 2 6 2" xfId="6854" xr:uid="{00000000-0005-0000-0000-00005B170000}"/>
    <cellStyle name="Normal 5 2 2 2 3 2 6 2 2" xfId="15293" xr:uid="{4A36FCCF-9A9E-45C2-909E-3E6C7891125E}"/>
    <cellStyle name="Normal 5 2 2 2 3 2 6 3" xfId="11075" xr:uid="{5A2F8085-B1EF-4629-80C6-7D76FF504EF4}"/>
    <cellStyle name="Normal 5 2 2 2 3 2 7" xfId="4789" xr:uid="{00000000-0005-0000-0000-00005C170000}"/>
    <cellStyle name="Normal 5 2 2 2 3 2 7 2" xfId="13228" xr:uid="{4562C80F-CB7B-437D-9F37-F7EA4B9E4C75}"/>
    <cellStyle name="Normal 5 2 2 2 3 2 8" xfId="9010" xr:uid="{C2CE261E-64CD-4E12-8CAC-6B1457F3CCF1}"/>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4A6C841A-3864-4C08-829D-0D66ED2DD5E7}"/>
    <cellStyle name="Normal 5 2 2 2 3 3 2 3" xfId="11567" xr:uid="{77787D11-39AD-41D0-917B-6CF30021A7F8}"/>
    <cellStyle name="Normal 5 2 2 2 3 3 3" xfId="5201" xr:uid="{00000000-0005-0000-0000-000060170000}"/>
    <cellStyle name="Normal 5 2 2 2 3 3 3 2" xfId="13640" xr:uid="{612BDA2B-CCC4-48C7-B11C-CA49158B4110}"/>
    <cellStyle name="Normal 5 2 2 2 3 3 4" xfId="9422" xr:uid="{D05E805E-7B14-4B93-9F18-A6728BDD8345}"/>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21CE59F0-DF30-4468-810C-EB9FE7D8FAD5}"/>
    <cellStyle name="Normal 5 2 2 2 3 4 2 3" xfId="11980" xr:uid="{C3C3A37F-46A3-4936-B27D-0901696FF361}"/>
    <cellStyle name="Normal 5 2 2 2 3 4 3" xfId="5614" xr:uid="{00000000-0005-0000-0000-000064170000}"/>
    <cellStyle name="Normal 5 2 2 2 3 4 3 2" xfId="14053" xr:uid="{C585A462-59DE-4A23-884E-149A9D8E7775}"/>
    <cellStyle name="Normal 5 2 2 2 3 4 4" xfId="9835" xr:uid="{90062898-D226-4103-8F0D-03118EDA1BDD}"/>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A004E714-FFE5-4C05-86C3-19545131D0E6}"/>
    <cellStyle name="Normal 5 2 2 2 3 5 2 3" xfId="12393" xr:uid="{B2B48F7A-0A78-4156-8567-ABEA28C139D2}"/>
    <cellStyle name="Normal 5 2 2 2 3 5 3" xfId="6027" xr:uid="{00000000-0005-0000-0000-000068170000}"/>
    <cellStyle name="Normal 5 2 2 2 3 5 3 2" xfId="14466" xr:uid="{DAC952DA-6E9A-4DFD-A871-EB8B22A158E1}"/>
    <cellStyle name="Normal 5 2 2 2 3 5 4" xfId="10248" xr:uid="{50E60080-D425-47DD-A43D-A123DDB73091}"/>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7F25BDC6-4EEC-4F31-87FF-6DF8514C47C3}"/>
    <cellStyle name="Normal 5 2 2 2 3 6 2 3" xfId="12806" xr:uid="{9763213C-D9D1-4646-8F9B-E063F262FB33}"/>
    <cellStyle name="Normal 5 2 2 2 3 6 3" xfId="6440" xr:uid="{00000000-0005-0000-0000-00006C170000}"/>
    <cellStyle name="Normal 5 2 2 2 3 6 3 2" xfId="14879" xr:uid="{43D7BF7B-E82F-4DFA-8B78-0A3107D4AE91}"/>
    <cellStyle name="Normal 5 2 2 2 3 6 4" xfId="10661" xr:uid="{26F015B9-4EA0-44BE-8FFE-CAA0A89AF202}"/>
    <cellStyle name="Normal 5 2 2 2 3 7" xfId="2569" xr:uid="{00000000-0005-0000-0000-00006D170000}"/>
    <cellStyle name="Normal 5 2 2 2 3 7 2" xfId="6853" xr:uid="{00000000-0005-0000-0000-00006E170000}"/>
    <cellStyle name="Normal 5 2 2 2 3 7 2 2" xfId="15292" xr:uid="{F24D50BE-A1EE-478B-9D39-5C8B7C24A834}"/>
    <cellStyle name="Normal 5 2 2 2 3 7 3" xfId="11074" xr:uid="{834A8B6C-DB07-4EBA-BD7F-89A326FB0DC0}"/>
    <cellStyle name="Normal 5 2 2 2 3 8" xfId="4788" xr:uid="{00000000-0005-0000-0000-00006F170000}"/>
    <cellStyle name="Normal 5 2 2 2 3 8 2" xfId="13227" xr:uid="{6E2D490E-5401-4F46-8C94-70279BC15FD6}"/>
    <cellStyle name="Normal 5 2 2 2 3 9" xfId="9009" xr:uid="{213B3792-3DC7-47C2-98D8-591099CD315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52F84FB3-0D99-4BFD-8AC0-8DB0861FE46E}"/>
    <cellStyle name="Normal 5 2 2 2 4 2 2 3" xfId="11569" xr:uid="{5F6CF01B-AB2A-4533-A0A9-F32CC828EF46}"/>
    <cellStyle name="Normal 5 2 2 2 4 2 3" xfId="5203" xr:uid="{00000000-0005-0000-0000-000074170000}"/>
    <cellStyle name="Normal 5 2 2 2 4 2 3 2" xfId="13642" xr:uid="{7A1F0C0E-6EAD-4960-B9FC-7ED810E0A313}"/>
    <cellStyle name="Normal 5 2 2 2 4 2 4" xfId="9424" xr:uid="{B9BACA33-E41A-4BDC-B4E0-966DDE99120D}"/>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8154DB42-1C4B-4545-A2D5-B85F989C0806}"/>
    <cellStyle name="Normal 5 2 2 2 4 3 2 3" xfId="11982" xr:uid="{6C60337E-166E-49B6-8DF2-E5B954075D28}"/>
    <cellStyle name="Normal 5 2 2 2 4 3 3" xfId="5616" xr:uid="{00000000-0005-0000-0000-000078170000}"/>
    <cellStyle name="Normal 5 2 2 2 4 3 3 2" xfId="14055" xr:uid="{EA804268-AB3A-4FAB-A3BA-46DA66F6488E}"/>
    <cellStyle name="Normal 5 2 2 2 4 3 4" xfId="9837" xr:uid="{25990CED-C94B-45E3-9B00-9131E8C5B333}"/>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9E83D90C-70BC-4DF4-AD9C-E07283DA9430}"/>
    <cellStyle name="Normal 5 2 2 2 4 4 2 3" xfId="12395" xr:uid="{89C80AAE-268F-45B0-8202-D08E389752B9}"/>
    <cellStyle name="Normal 5 2 2 2 4 4 3" xfId="6029" xr:uid="{00000000-0005-0000-0000-00007C170000}"/>
    <cellStyle name="Normal 5 2 2 2 4 4 3 2" xfId="14468" xr:uid="{2756A013-EF0C-49D5-AA4A-CD7E48F4779B}"/>
    <cellStyle name="Normal 5 2 2 2 4 4 4" xfId="10250" xr:uid="{7BDB9035-9C75-4742-8886-48676E0175D4}"/>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4CB6F8A9-6F75-4B55-ACE7-FF86150806A9}"/>
    <cellStyle name="Normal 5 2 2 2 4 5 2 3" xfId="12808" xr:uid="{63C2BAA4-DDE9-4F44-9F74-4FCD30683EF6}"/>
    <cellStyle name="Normal 5 2 2 2 4 5 3" xfId="6442" xr:uid="{00000000-0005-0000-0000-000080170000}"/>
    <cellStyle name="Normal 5 2 2 2 4 5 3 2" xfId="14881" xr:uid="{E03E4B46-8183-407A-AA23-069BE55EA749}"/>
    <cellStyle name="Normal 5 2 2 2 4 5 4" xfId="10663" xr:uid="{ECEFB7AB-018D-4FB2-B3A9-998B498883F0}"/>
    <cellStyle name="Normal 5 2 2 2 4 6" xfId="2571" xr:uid="{00000000-0005-0000-0000-000081170000}"/>
    <cellStyle name="Normal 5 2 2 2 4 6 2" xfId="6855" xr:uid="{00000000-0005-0000-0000-000082170000}"/>
    <cellStyle name="Normal 5 2 2 2 4 6 2 2" xfId="15294" xr:uid="{DC7A2683-5538-4993-8140-D5AB3AFDD997}"/>
    <cellStyle name="Normal 5 2 2 2 4 6 3" xfId="11076" xr:uid="{4D824FC4-2697-441E-9041-F641CD9E4FE8}"/>
    <cellStyle name="Normal 5 2 2 2 4 7" xfId="4790" xr:uid="{00000000-0005-0000-0000-000083170000}"/>
    <cellStyle name="Normal 5 2 2 2 4 7 2" xfId="13229" xr:uid="{48997360-6276-49CC-B8D1-9B4BB47EAD5D}"/>
    <cellStyle name="Normal 5 2 2 2 4 8" xfId="9011" xr:uid="{1B691254-129D-426F-AA5C-2659295D0C83}"/>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767CE61A-301D-4113-A208-153189F34D2F}"/>
    <cellStyle name="Normal 5 2 2 2 5 2 3" xfId="11562" xr:uid="{9A651DC8-4AEC-48EC-A23E-43BF33C4F6FD}"/>
    <cellStyle name="Normal 5 2 2 2 5 3" xfId="5196" xr:uid="{00000000-0005-0000-0000-000087170000}"/>
    <cellStyle name="Normal 5 2 2 2 5 3 2" xfId="13635" xr:uid="{64D2BA4C-174B-4335-9FBC-C02EED207893}"/>
    <cellStyle name="Normal 5 2 2 2 5 4" xfId="9417" xr:uid="{CADCC0C1-890A-4E9A-B8F4-E44715FE1BCC}"/>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B96C68E9-5FFF-4468-A1AC-8A208EB94C7A}"/>
    <cellStyle name="Normal 5 2 2 2 6 2 3" xfId="11975" xr:uid="{DAF8FE15-A6FB-4C76-8266-C4F86C34A5C1}"/>
    <cellStyle name="Normal 5 2 2 2 6 3" xfId="5609" xr:uid="{00000000-0005-0000-0000-00008B170000}"/>
    <cellStyle name="Normal 5 2 2 2 6 3 2" xfId="14048" xr:uid="{2FB3CCC0-9910-480A-BD9F-AF7645AABBCB}"/>
    <cellStyle name="Normal 5 2 2 2 6 4" xfId="9830" xr:uid="{A6D31023-4F94-41B4-AE56-9B302A0E7D06}"/>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BB7BE4BA-7047-4E1B-881E-0F2A92A4B471}"/>
    <cellStyle name="Normal 5 2 2 2 7 2 3" xfId="12388" xr:uid="{FD4851E4-90ED-44DF-A329-AE4F4CDE5589}"/>
    <cellStyle name="Normal 5 2 2 2 7 3" xfId="6022" xr:uid="{00000000-0005-0000-0000-00008F170000}"/>
    <cellStyle name="Normal 5 2 2 2 7 3 2" xfId="14461" xr:uid="{9957D87A-937B-4C7A-96D3-3CDA1CF41713}"/>
    <cellStyle name="Normal 5 2 2 2 7 4" xfId="10243" xr:uid="{5C6BBD68-F084-44CA-940D-073E70B4357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643365AD-3AAE-4848-98D0-54E246586044}"/>
    <cellStyle name="Normal 5 2 2 2 8 2 3" xfId="12801" xr:uid="{AA69BB9D-985D-4B4D-9E9F-F5C35909163D}"/>
    <cellStyle name="Normal 5 2 2 2 8 3" xfId="6435" xr:uid="{00000000-0005-0000-0000-000093170000}"/>
    <cellStyle name="Normal 5 2 2 2 8 3 2" xfId="14874" xr:uid="{AD488EC0-A9FA-4CF0-BD7B-FCCD9569BEB1}"/>
    <cellStyle name="Normal 5 2 2 2 8 4" xfId="10656" xr:uid="{9FD1BAFA-AB01-45C5-9658-5BFD5B46F848}"/>
    <cellStyle name="Normal 5 2 2 2 9" xfId="2564" xr:uid="{00000000-0005-0000-0000-000094170000}"/>
    <cellStyle name="Normal 5 2 2 2 9 2" xfId="6848" xr:uid="{00000000-0005-0000-0000-000095170000}"/>
    <cellStyle name="Normal 5 2 2 2 9 2 2" xfId="15287" xr:uid="{845BC7DE-21A5-4B35-B122-D3A166248C6C}"/>
    <cellStyle name="Normal 5 2 2 2 9 3" xfId="11069" xr:uid="{44F51729-001C-4A34-B9AE-BC959CBE7D7A}"/>
    <cellStyle name="Normal 5 2 2 3" xfId="417" xr:uid="{00000000-0005-0000-0000-000096170000}"/>
    <cellStyle name="Normal 5 2 2 3 10" xfId="9012" xr:uid="{1D08B718-8BD1-4EA5-878B-94A103B2423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5123369A-ADAB-432F-BD07-F215DBFFFBDF}"/>
    <cellStyle name="Normal 5 2 2 3 2 2 2 2 3" xfId="11572" xr:uid="{55715FF2-1FFE-45B9-B688-D81ABF11A450}"/>
    <cellStyle name="Normal 5 2 2 3 2 2 2 3" xfId="5206" xr:uid="{00000000-0005-0000-0000-00009C170000}"/>
    <cellStyle name="Normal 5 2 2 3 2 2 2 3 2" xfId="13645" xr:uid="{AB92951F-5D41-4941-97B5-C50C024DF313}"/>
    <cellStyle name="Normal 5 2 2 3 2 2 2 4" xfId="9427" xr:uid="{2252E498-01CA-4EB3-91C1-C309F1D4AD8C}"/>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044D3525-0CFD-4CD6-8460-12BA283B4BA4}"/>
    <cellStyle name="Normal 5 2 2 3 2 2 3 2 3" xfId="11985" xr:uid="{B6F4E25D-D5D8-4C50-9241-6EE504B5A107}"/>
    <cellStyle name="Normal 5 2 2 3 2 2 3 3" xfId="5619" xr:uid="{00000000-0005-0000-0000-0000A0170000}"/>
    <cellStyle name="Normal 5 2 2 3 2 2 3 3 2" xfId="14058" xr:uid="{1D678A91-2378-43F8-A975-CFC8F9A66526}"/>
    <cellStyle name="Normal 5 2 2 3 2 2 3 4" xfId="9840" xr:uid="{911B9B37-F60F-4162-9D42-B2CECED091C2}"/>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BA43BF16-F64F-4F28-A6FC-1C2AE7AE6C5A}"/>
    <cellStyle name="Normal 5 2 2 3 2 2 4 2 3" xfId="12398" xr:uid="{63EB86FA-1781-4EC5-A051-272EAA197133}"/>
    <cellStyle name="Normal 5 2 2 3 2 2 4 3" xfId="6032" xr:uid="{00000000-0005-0000-0000-0000A4170000}"/>
    <cellStyle name="Normal 5 2 2 3 2 2 4 3 2" xfId="14471" xr:uid="{A4DFC387-0433-4A4E-AD99-6CF13A7BC4BE}"/>
    <cellStyle name="Normal 5 2 2 3 2 2 4 4" xfId="10253" xr:uid="{B9804479-9EEB-40E9-8356-9FEB411F4CAB}"/>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CD654443-F6F5-4F3A-BB2D-7CA7E1238CB5}"/>
    <cellStyle name="Normal 5 2 2 3 2 2 5 2 3" xfId="12811" xr:uid="{F1BC8161-0843-4512-A3B3-D3F22291CF75}"/>
    <cellStyle name="Normal 5 2 2 3 2 2 5 3" xfId="6445" xr:uid="{00000000-0005-0000-0000-0000A8170000}"/>
    <cellStyle name="Normal 5 2 2 3 2 2 5 3 2" xfId="14884" xr:uid="{674BC875-7D88-4FF0-89C1-0C57ECE9DE72}"/>
    <cellStyle name="Normal 5 2 2 3 2 2 5 4" xfId="10666" xr:uid="{262C7347-019B-4BFC-BE9C-11FA9D5D1461}"/>
    <cellStyle name="Normal 5 2 2 3 2 2 6" xfId="2574" xr:uid="{00000000-0005-0000-0000-0000A9170000}"/>
    <cellStyle name="Normal 5 2 2 3 2 2 6 2" xfId="6858" xr:uid="{00000000-0005-0000-0000-0000AA170000}"/>
    <cellStyle name="Normal 5 2 2 3 2 2 6 2 2" xfId="15297" xr:uid="{A5B9A3CE-C675-4259-BC14-3F2B2F102C92}"/>
    <cellStyle name="Normal 5 2 2 3 2 2 6 3" xfId="11079" xr:uid="{4E4B866E-3597-4ABA-872C-3A08A494313A}"/>
    <cellStyle name="Normal 5 2 2 3 2 2 7" xfId="4793" xr:uid="{00000000-0005-0000-0000-0000AB170000}"/>
    <cellStyle name="Normal 5 2 2 3 2 2 7 2" xfId="13232" xr:uid="{1DC33F21-0415-487D-BD92-EF4976178224}"/>
    <cellStyle name="Normal 5 2 2 3 2 2 8" xfId="9014" xr:uid="{1DE920FE-E2B7-4920-905C-1BCB559CE287}"/>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FBACB0CE-3AF6-4911-979B-BFB635AD14D1}"/>
    <cellStyle name="Normal 5 2 2 3 2 3 2 3" xfId="11571" xr:uid="{AA450192-20EA-44B7-954D-58F7F2F59F29}"/>
    <cellStyle name="Normal 5 2 2 3 2 3 3" xfId="5205" xr:uid="{00000000-0005-0000-0000-0000AF170000}"/>
    <cellStyle name="Normal 5 2 2 3 2 3 3 2" xfId="13644" xr:uid="{BDFE03DA-0638-4C85-8B92-56F3A8D372BC}"/>
    <cellStyle name="Normal 5 2 2 3 2 3 4" xfId="9426" xr:uid="{2E0D16A2-E56C-4CBE-A2DB-A7E31C88CEE4}"/>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20F52479-C51F-4BC8-AC2E-5F6ECD9A6C2F}"/>
    <cellStyle name="Normal 5 2 2 3 2 4 2 3" xfId="11984" xr:uid="{759CC825-1EB2-4CF5-885F-667D3237A815}"/>
    <cellStyle name="Normal 5 2 2 3 2 4 3" xfId="5618" xr:uid="{00000000-0005-0000-0000-0000B3170000}"/>
    <cellStyle name="Normal 5 2 2 3 2 4 3 2" xfId="14057" xr:uid="{E20B971C-15A1-4CB0-B584-5F348378D915}"/>
    <cellStyle name="Normal 5 2 2 3 2 4 4" xfId="9839" xr:uid="{0D0199E3-8D68-436C-9C75-AA5EDA072F8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1CD1292A-5BEF-42AA-990D-D26714FE510C}"/>
    <cellStyle name="Normal 5 2 2 3 2 5 2 3" xfId="12397" xr:uid="{C711146F-233A-4AEE-A1CD-37DD69A70727}"/>
    <cellStyle name="Normal 5 2 2 3 2 5 3" xfId="6031" xr:uid="{00000000-0005-0000-0000-0000B7170000}"/>
    <cellStyle name="Normal 5 2 2 3 2 5 3 2" xfId="14470" xr:uid="{600ED850-9E7B-4C44-81BB-BB84FBA92A6C}"/>
    <cellStyle name="Normal 5 2 2 3 2 5 4" xfId="10252" xr:uid="{4439B14D-CB19-46F6-89DE-F07653B1DB3D}"/>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32C8CCC4-AC6F-43BE-8340-6FA82319AC5E}"/>
    <cellStyle name="Normal 5 2 2 3 2 6 2 3" xfId="12810" xr:uid="{39EB5E54-4646-414E-982C-5974F2029EE7}"/>
    <cellStyle name="Normal 5 2 2 3 2 6 3" xfId="6444" xr:uid="{00000000-0005-0000-0000-0000BB170000}"/>
    <cellStyle name="Normal 5 2 2 3 2 6 3 2" xfId="14883" xr:uid="{50D67A7B-D87C-4EA2-8E38-C01466D4A8B2}"/>
    <cellStyle name="Normal 5 2 2 3 2 6 4" xfId="10665" xr:uid="{0FF1C6EB-799F-48E9-8C96-320B84D53838}"/>
    <cellStyle name="Normal 5 2 2 3 2 7" xfId="2573" xr:uid="{00000000-0005-0000-0000-0000BC170000}"/>
    <cellStyle name="Normal 5 2 2 3 2 7 2" xfId="6857" xr:uid="{00000000-0005-0000-0000-0000BD170000}"/>
    <cellStyle name="Normal 5 2 2 3 2 7 2 2" xfId="15296" xr:uid="{9CE20368-531D-43B8-AFFA-4B8293C9844B}"/>
    <cellStyle name="Normal 5 2 2 3 2 7 3" xfId="11078" xr:uid="{89DD3AB0-1E5E-46C6-86E2-AD5C927E8B07}"/>
    <cellStyle name="Normal 5 2 2 3 2 8" xfId="4792" xr:uid="{00000000-0005-0000-0000-0000BE170000}"/>
    <cellStyle name="Normal 5 2 2 3 2 8 2" xfId="13231" xr:uid="{20B6D501-F399-43DD-9BA4-55F1BB68A3E5}"/>
    <cellStyle name="Normal 5 2 2 3 2 9" xfId="9013" xr:uid="{08CEA4AB-FFD6-464F-8114-459B812DDC1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A7A3E96B-C5D9-4148-AABF-F08380864906}"/>
    <cellStyle name="Normal 5 2 2 3 3 2 2 3" xfId="11573" xr:uid="{89763793-8FFE-4F43-88F2-48FF404D5035}"/>
    <cellStyle name="Normal 5 2 2 3 3 2 3" xfId="5207" xr:uid="{00000000-0005-0000-0000-0000C3170000}"/>
    <cellStyle name="Normal 5 2 2 3 3 2 3 2" xfId="13646" xr:uid="{55483C43-842D-4A90-BA38-BFAFD141CD93}"/>
    <cellStyle name="Normal 5 2 2 3 3 2 4" xfId="9428" xr:uid="{A0525FA3-C80C-42A1-ACBB-AAEF3663E31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86E01626-6720-4349-B236-33A863DDD6A7}"/>
    <cellStyle name="Normal 5 2 2 3 3 3 2 3" xfId="11986" xr:uid="{A95E3430-1A4E-41F7-A6EB-CEECB49875B9}"/>
    <cellStyle name="Normal 5 2 2 3 3 3 3" xfId="5620" xr:uid="{00000000-0005-0000-0000-0000C7170000}"/>
    <cellStyle name="Normal 5 2 2 3 3 3 3 2" xfId="14059" xr:uid="{974A60C6-0E16-4F78-9347-1B81EF67B7F0}"/>
    <cellStyle name="Normal 5 2 2 3 3 3 4" xfId="9841" xr:uid="{587D10AE-F639-4466-A6AA-AEEE78E84764}"/>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0D7D5731-4F2A-4434-A8B7-A0CC9969DCF5}"/>
    <cellStyle name="Normal 5 2 2 3 3 4 2 3" xfId="12399" xr:uid="{4BB9DBC5-6C76-4958-A4FA-BAF1D022FC9C}"/>
    <cellStyle name="Normal 5 2 2 3 3 4 3" xfId="6033" xr:uid="{00000000-0005-0000-0000-0000CB170000}"/>
    <cellStyle name="Normal 5 2 2 3 3 4 3 2" xfId="14472" xr:uid="{D5B8ADB6-7F6E-447A-A44A-5CB6348F4287}"/>
    <cellStyle name="Normal 5 2 2 3 3 4 4" xfId="10254" xr:uid="{4AAB0C3A-0334-4DF1-9F70-6D0184673D7C}"/>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5D5E366F-B7CA-4DA6-8E03-68C2D6AB99E4}"/>
    <cellStyle name="Normal 5 2 2 3 3 5 2 3" xfId="12812" xr:uid="{179AC2AF-BD33-405D-84B5-652E80DDD6CB}"/>
    <cellStyle name="Normal 5 2 2 3 3 5 3" xfId="6446" xr:uid="{00000000-0005-0000-0000-0000CF170000}"/>
    <cellStyle name="Normal 5 2 2 3 3 5 3 2" xfId="14885" xr:uid="{D66F483B-EF1B-4C95-9711-8A88AFBDE353}"/>
    <cellStyle name="Normal 5 2 2 3 3 5 4" xfId="10667" xr:uid="{C772F48B-F91A-4DFF-86A8-36A096945B9D}"/>
    <cellStyle name="Normal 5 2 2 3 3 6" xfId="2575" xr:uid="{00000000-0005-0000-0000-0000D0170000}"/>
    <cellStyle name="Normal 5 2 2 3 3 6 2" xfId="6859" xr:uid="{00000000-0005-0000-0000-0000D1170000}"/>
    <cellStyle name="Normal 5 2 2 3 3 6 2 2" xfId="15298" xr:uid="{BA3CF061-8979-4117-8C69-FD9F56379AB3}"/>
    <cellStyle name="Normal 5 2 2 3 3 6 3" xfId="11080" xr:uid="{140A73CE-61A5-4123-A43D-CA75CFCAE8BC}"/>
    <cellStyle name="Normal 5 2 2 3 3 7" xfId="4794" xr:uid="{00000000-0005-0000-0000-0000D2170000}"/>
    <cellStyle name="Normal 5 2 2 3 3 7 2" xfId="13233" xr:uid="{EA535B78-64BD-410A-9CFD-02B7F94A999B}"/>
    <cellStyle name="Normal 5 2 2 3 3 8" xfId="9015" xr:uid="{DB2D91CA-7378-462D-9BE9-AECE57903311}"/>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0C5CF927-3715-4FEE-97AD-E0BF8298DBDE}"/>
    <cellStyle name="Normal 5 2 2 3 4 2 3" xfId="11570" xr:uid="{A06C0585-0324-4421-9E56-19CB052D0C41}"/>
    <cellStyle name="Normal 5 2 2 3 4 3" xfId="5204" xr:uid="{00000000-0005-0000-0000-0000D6170000}"/>
    <cellStyle name="Normal 5 2 2 3 4 3 2" xfId="13643" xr:uid="{8EFE3DBC-119E-4FA2-BA79-3DE0B393F4C3}"/>
    <cellStyle name="Normal 5 2 2 3 4 4" xfId="9425" xr:uid="{FD8CFD02-B933-4420-BABB-F8CC0E050C58}"/>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D6C696D2-2ED2-4065-BBBF-E1D8C4219027}"/>
    <cellStyle name="Normal 5 2 2 3 5 2 3" xfId="11983" xr:uid="{B4057410-64B3-4039-B05F-527E74E73296}"/>
    <cellStyle name="Normal 5 2 2 3 5 3" xfId="5617" xr:uid="{00000000-0005-0000-0000-0000DA170000}"/>
    <cellStyle name="Normal 5 2 2 3 5 3 2" xfId="14056" xr:uid="{498A32F5-89B3-47DA-9F71-FC523B4374CB}"/>
    <cellStyle name="Normal 5 2 2 3 5 4" xfId="9838" xr:uid="{F3138D59-2477-41D6-841E-67F22F976A6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D9982B34-1B8D-4A77-934E-7124DFC0C531}"/>
    <cellStyle name="Normal 5 2 2 3 6 2 3" xfId="12396" xr:uid="{33925E5A-A646-459D-AA69-69796F28A8A2}"/>
    <cellStyle name="Normal 5 2 2 3 6 3" xfId="6030" xr:uid="{00000000-0005-0000-0000-0000DE170000}"/>
    <cellStyle name="Normal 5 2 2 3 6 3 2" xfId="14469" xr:uid="{0795E019-D3BE-454A-BA05-66E3CA3EE7FC}"/>
    <cellStyle name="Normal 5 2 2 3 6 4" xfId="10251" xr:uid="{A6C5FA43-C6AA-41D6-856C-2D0EDF217F43}"/>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CAED03C8-5B22-45EE-817C-4F467DFBDF11}"/>
    <cellStyle name="Normal 5 2 2 3 7 2 3" xfId="12809" xr:uid="{97CB81DE-7848-4BE2-B395-0215B6BC3F99}"/>
    <cellStyle name="Normal 5 2 2 3 7 3" xfId="6443" xr:uid="{00000000-0005-0000-0000-0000E2170000}"/>
    <cellStyle name="Normal 5 2 2 3 7 3 2" xfId="14882" xr:uid="{6E18B5B3-A865-4909-957F-4D322A476036}"/>
    <cellStyle name="Normal 5 2 2 3 7 4" xfId="10664" xr:uid="{D0E0C062-135D-43EA-AFB8-D43CBE847C33}"/>
    <cellStyle name="Normal 5 2 2 3 8" xfId="2572" xr:uid="{00000000-0005-0000-0000-0000E3170000}"/>
    <cellStyle name="Normal 5 2 2 3 8 2" xfId="6856" xr:uid="{00000000-0005-0000-0000-0000E4170000}"/>
    <cellStyle name="Normal 5 2 2 3 8 2 2" xfId="15295" xr:uid="{FDA8F06B-6BD8-4FA1-A07A-887197E4B605}"/>
    <cellStyle name="Normal 5 2 2 3 8 3" xfId="11077" xr:uid="{CD13B6AF-C997-4A43-B873-0AAA29558C51}"/>
    <cellStyle name="Normal 5 2 2 3 9" xfId="4791" xr:uid="{00000000-0005-0000-0000-0000E5170000}"/>
    <cellStyle name="Normal 5 2 2 3 9 2" xfId="13230" xr:uid="{B856B9C1-826D-447D-9B4E-0858177CAFB2}"/>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B0756A13-64E2-40AE-A751-AA5A65BC4D9B}"/>
    <cellStyle name="Normal 5 2 2 4 2 2 2 3" xfId="11575" xr:uid="{384EE1E5-5154-472C-87C1-B80939512993}"/>
    <cellStyle name="Normal 5 2 2 4 2 2 3" xfId="5209" xr:uid="{00000000-0005-0000-0000-0000EB170000}"/>
    <cellStyle name="Normal 5 2 2 4 2 2 3 2" xfId="13648" xr:uid="{7019B9AB-F2E2-495E-A8F6-DF96D10278E2}"/>
    <cellStyle name="Normal 5 2 2 4 2 2 4" xfId="9430" xr:uid="{E721739C-2A3F-44CC-8817-EE179E80BA38}"/>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E8C6C26E-F4A2-499E-8D93-3A2C5B8CDF78}"/>
    <cellStyle name="Normal 5 2 2 4 2 3 2 3" xfId="11988" xr:uid="{9ADDE82D-86E0-4C8B-A350-816D7B247BC1}"/>
    <cellStyle name="Normal 5 2 2 4 2 3 3" xfId="5622" xr:uid="{00000000-0005-0000-0000-0000EF170000}"/>
    <cellStyle name="Normal 5 2 2 4 2 3 3 2" xfId="14061" xr:uid="{30071CF8-40D5-4E71-8D05-825CBDCD084B}"/>
    <cellStyle name="Normal 5 2 2 4 2 3 4" xfId="9843" xr:uid="{B3DE5E8A-25E9-4C5F-BBE7-6C8768AF263A}"/>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99E17140-FFAF-47C1-AC6E-FC26C88E5B83}"/>
    <cellStyle name="Normal 5 2 2 4 2 4 2 3" xfId="12401" xr:uid="{3768BEF1-6F74-4FEE-8AC1-FCEE63DBE198}"/>
    <cellStyle name="Normal 5 2 2 4 2 4 3" xfId="6035" xr:uid="{00000000-0005-0000-0000-0000F3170000}"/>
    <cellStyle name="Normal 5 2 2 4 2 4 3 2" xfId="14474" xr:uid="{7FD251AE-79A3-467C-92E3-9BEBC68CC259}"/>
    <cellStyle name="Normal 5 2 2 4 2 4 4" xfId="10256" xr:uid="{390258CF-9638-4092-B1F1-011B30385CD1}"/>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19BFF937-B2F0-427C-B2D2-9B16E8CD18ED}"/>
    <cellStyle name="Normal 5 2 2 4 2 5 2 3" xfId="12814" xr:uid="{9520B231-E77B-4243-9004-7BC066A4B4C6}"/>
    <cellStyle name="Normal 5 2 2 4 2 5 3" xfId="6448" xr:uid="{00000000-0005-0000-0000-0000F7170000}"/>
    <cellStyle name="Normal 5 2 2 4 2 5 3 2" xfId="14887" xr:uid="{108B5540-3AD1-4730-92A5-E0F8A92D29B2}"/>
    <cellStyle name="Normal 5 2 2 4 2 5 4" xfId="10669" xr:uid="{A9BCB572-CABB-4471-94F4-354A1B7ACD80}"/>
    <cellStyle name="Normal 5 2 2 4 2 6" xfId="2577" xr:uid="{00000000-0005-0000-0000-0000F8170000}"/>
    <cellStyle name="Normal 5 2 2 4 2 6 2" xfId="6861" xr:uid="{00000000-0005-0000-0000-0000F9170000}"/>
    <cellStyle name="Normal 5 2 2 4 2 6 2 2" xfId="15300" xr:uid="{437D7509-CF43-4024-8666-9C8B4B1E3CB6}"/>
    <cellStyle name="Normal 5 2 2 4 2 6 3" xfId="11082" xr:uid="{2BB79839-CD55-45B9-987B-803300F92B68}"/>
    <cellStyle name="Normal 5 2 2 4 2 7" xfId="4796" xr:uid="{00000000-0005-0000-0000-0000FA170000}"/>
    <cellStyle name="Normal 5 2 2 4 2 7 2" xfId="13235" xr:uid="{CAEC6BA9-80F3-4D40-A920-7BB1C1E9E0AB}"/>
    <cellStyle name="Normal 5 2 2 4 2 8" xfId="9017" xr:uid="{60820A1C-5EE0-401E-ABCC-2C6286114C31}"/>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23CA90AC-635E-40AD-84B3-7AC5CC95A961}"/>
    <cellStyle name="Normal 5 2 2 4 3 2 3" xfId="11574" xr:uid="{DF37BC9F-E6E2-4198-AB61-005B7DD842D8}"/>
    <cellStyle name="Normal 5 2 2 4 3 3" xfId="5208" xr:uid="{00000000-0005-0000-0000-0000FE170000}"/>
    <cellStyle name="Normal 5 2 2 4 3 3 2" xfId="13647" xr:uid="{01D41005-AE0B-4980-9714-A50D265184AC}"/>
    <cellStyle name="Normal 5 2 2 4 3 4" xfId="9429" xr:uid="{E2D24055-4658-4BF5-AA6D-19B52C9AF358}"/>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EADEEF0D-2841-449B-8F02-4D7162C5BA2B}"/>
    <cellStyle name="Normal 5 2 2 4 4 2 3" xfId="11987" xr:uid="{E27FB993-105A-40CA-98B9-6D3BF75CDD91}"/>
    <cellStyle name="Normal 5 2 2 4 4 3" xfId="5621" xr:uid="{00000000-0005-0000-0000-000002180000}"/>
    <cellStyle name="Normal 5 2 2 4 4 3 2" xfId="14060" xr:uid="{54F0FF08-A934-4760-8BA9-AF126DBBE1D7}"/>
    <cellStyle name="Normal 5 2 2 4 4 4" xfId="9842" xr:uid="{5A8A9380-8342-4DD5-9323-E6945A95489A}"/>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3F01B8E0-897B-4CD3-A17A-0160DB7BC44B}"/>
    <cellStyle name="Normal 5 2 2 4 5 2 3" xfId="12400" xr:uid="{31B41A97-70E5-472D-8103-9FBBE5BF1725}"/>
    <cellStyle name="Normal 5 2 2 4 5 3" xfId="6034" xr:uid="{00000000-0005-0000-0000-000006180000}"/>
    <cellStyle name="Normal 5 2 2 4 5 3 2" xfId="14473" xr:uid="{DA7D0F39-3310-4F76-AB71-6AF559045F28}"/>
    <cellStyle name="Normal 5 2 2 4 5 4" xfId="10255" xr:uid="{CC93AC30-F3E1-4D60-9470-4D8EB38E4D62}"/>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48D2EF7E-3582-461A-A7B9-CB5FB5580DFF}"/>
    <cellStyle name="Normal 5 2 2 4 6 2 3" xfId="12813" xr:uid="{63C91D1D-7B64-42D8-868D-75612A01C435}"/>
    <cellStyle name="Normal 5 2 2 4 6 3" xfId="6447" xr:uid="{00000000-0005-0000-0000-00000A180000}"/>
    <cellStyle name="Normal 5 2 2 4 6 3 2" xfId="14886" xr:uid="{158D698A-7AE8-4378-B766-FEA3A3FD6C59}"/>
    <cellStyle name="Normal 5 2 2 4 6 4" xfId="10668" xr:uid="{04E85B95-9589-4D51-AC65-03A11B5B4890}"/>
    <cellStyle name="Normal 5 2 2 4 7" xfId="2576" xr:uid="{00000000-0005-0000-0000-00000B180000}"/>
    <cellStyle name="Normal 5 2 2 4 7 2" xfId="6860" xr:uid="{00000000-0005-0000-0000-00000C180000}"/>
    <cellStyle name="Normal 5 2 2 4 7 2 2" xfId="15299" xr:uid="{ED3725D6-3C42-416D-A346-CBBCA8065CC2}"/>
    <cellStyle name="Normal 5 2 2 4 7 3" xfId="11081" xr:uid="{68360900-EDE0-4827-BEDA-965D62974868}"/>
    <cellStyle name="Normal 5 2 2 4 8" xfId="4795" xr:uid="{00000000-0005-0000-0000-00000D180000}"/>
    <cellStyle name="Normal 5 2 2 4 8 2" xfId="13234" xr:uid="{78825E69-2FC5-41D2-A546-AAC30176082F}"/>
    <cellStyle name="Normal 5 2 2 4 9" xfId="9016" xr:uid="{3C164234-9557-401B-923A-592FA4660C45}"/>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B48F409B-D748-4EAE-923C-5F7C6565D9CC}"/>
    <cellStyle name="Normal 5 2 2 5 2 2 3" xfId="11576" xr:uid="{5A7608C3-2DA8-4C9C-BD03-9676F69AC08D}"/>
    <cellStyle name="Normal 5 2 2 5 2 3" xfId="5210" xr:uid="{00000000-0005-0000-0000-000012180000}"/>
    <cellStyle name="Normal 5 2 2 5 2 3 2" xfId="13649" xr:uid="{680759AA-185E-4386-A9E4-40A50689316A}"/>
    <cellStyle name="Normal 5 2 2 5 2 4" xfId="9431" xr:uid="{ADD2976F-F623-478E-BD88-171489D24306}"/>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1A3FD526-4CFB-485C-BF07-56379E705EF6}"/>
    <cellStyle name="Normal 5 2 2 5 3 2 3" xfId="11989" xr:uid="{FA9B0327-E30D-4359-A420-257439E7B87F}"/>
    <cellStyle name="Normal 5 2 2 5 3 3" xfId="5623" xr:uid="{00000000-0005-0000-0000-000016180000}"/>
    <cellStyle name="Normal 5 2 2 5 3 3 2" xfId="14062" xr:uid="{3D6881D6-5D11-41B6-BFFA-52DFFE379877}"/>
    <cellStyle name="Normal 5 2 2 5 3 4" xfId="9844" xr:uid="{C491AB51-AA2A-4431-B4AD-CF7AD6234FE7}"/>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96FAFBD6-54E4-4C50-84B9-BEEB648EE5C6}"/>
    <cellStyle name="Normal 5 2 2 5 4 2 3" xfId="12402" xr:uid="{B12BFEB0-BD04-4FE4-9AA2-08A9527F098F}"/>
    <cellStyle name="Normal 5 2 2 5 4 3" xfId="6036" xr:uid="{00000000-0005-0000-0000-00001A180000}"/>
    <cellStyle name="Normal 5 2 2 5 4 3 2" xfId="14475" xr:uid="{CE69F09B-E1D1-4D77-9380-8BACAC072B2E}"/>
    <cellStyle name="Normal 5 2 2 5 4 4" xfId="10257" xr:uid="{C5A6C446-B838-4E01-AA94-31B19B9EA20D}"/>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A900E02E-4B12-4ABA-8BDD-450686EEDA31}"/>
    <cellStyle name="Normal 5 2 2 5 5 2 3" xfId="12815" xr:uid="{264B97BF-A3A6-4B6F-AD20-C41BB6529B48}"/>
    <cellStyle name="Normal 5 2 2 5 5 3" xfId="6449" xr:uid="{00000000-0005-0000-0000-00001E180000}"/>
    <cellStyle name="Normal 5 2 2 5 5 3 2" xfId="14888" xr:uid="{CD9D654D-94CF-4F3F-AFD9-C91120C490C7}"/>
    <cellStyle name="Normal 5 2 2 5 5 4" xfId="10670" xr:uid="{57FE283D-DD2F-4C6E-870F-5A1C0285E711}"/>
    <cellStyle name="Normal 5 2 2 5 6" xfId="2578" xr:uid="{00000000-0005-0000-0000-00001F180000}"/>
    <cellStyle name="Normal 5 2 2 5 6 2" xfId="6862" xr:uid="{00000000-0005-0000-0000-000020180000}"/>
    <cellStyle name="Normal 5 2 2 5 6 2 2" xfId="15301" xr:uid="{C8F22FFF-94EC-4ED9-92C0-1BF7B6DA832B}"/>
    <cellStyle name="Normal 5 2 2 5 6 3" xfId="11083" xr:uid="{E5070F40-9235-4D53-AF8C-CBB5862C3457}"/>
    <cellStyle name="Normal 5 2 2 5 7" xfId="4797" xr:uid="{00000000-0005-0000-0000-000021180000}"/>
    <cellStyle name="Normal 5 2 2 5 7 2" xfId="13236" xr:uid="{4E2C3505-2512-445A-97B8-DA76787F0954}"/>
    <cellStyle name="Normal 5 2 2 5 8" xfId="9018" xr:uid="{1CC77B14-2766-4CF0-9755-F7CD2C7B47B1}"/>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D16D005A-29B9-401C-9E1F-A366E4AF62D1}"/>
    <cellStyle name="Normal 5 2 2 6 2 3" xfId="11561" xr:uid="{A2A9724B-DF26-4144-9D2B-2560001D4E66}"/>
    <cellStyle name="Normal 5 2 2 6 3" xfId="5195" xr:uid="{00000000-0005-0000-0000-000025180000}"/>
    <cellStyle name="Normal 5 2 2 6 3 2" xfId="13634" xr:uid="{4232EC93-FFA1-47F5-8AA1-8DDE155B824F}"/>
    <cellStyle name="Normal 5 2 2 6 4" xfId="9416" xr:uid="{00DE0A51-798B-4B3A-85A4-D2758EF19799}"/>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E78B2E93-F36D-49F5-B51F-F4008312DDAA}"/>
    <cellStyle name="Normal 5 2 2 7 2 3" xfId="11974" xr:uid="{611A27B5-BE08-4020-BFA7-960F3118649D}"/>
    <cellStyle name="Normal 5 2 2 7 3" xfId="5608" xr:uid="{00000000-0005-0000-0000-000029180000}"/>
    <cellStyle name="Normal 5 2 2 7 3 2" xfId="14047" xr:uid="{B2DA0BD3-845D-47E6-B8D5-09AC4CD16C70}"/>
    <cellStyle name="Normal 5 2 2 7 4" xfId="9829" xr:uid="{9D921D26-F271-44D3-9FA9-B7D87B8BE93D}"/>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BD159DA2-EF55-4C76-A55B-D73DB83016E0}"/>
    <cellStyle name="Normal 5 2 2 8 2 3" xfId="12387" xr:uid="{321D6660-8698-42C3-A2CE-5DAEB1BAA3BC}"/>
    <cellStyle name="Normal 5 2 2 8 3" xfId="6021" xr:uid="{00000000-0005-0000-0000-00002D180000}"/>
    <cellStyle name="Normal 5 2 2 8 3 2" xfId="14460" xr:uid="{2EF809AD-0C6D-4493-99DA-5A8E1AD90947}"/>
    <cellStyle name="Normal 5 2 2 8 4" xfId="10242" xr:uid="{97269B57-28F6-4BEB-95E8-956617DC323A}"/>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13E6599B-CBCE-461F-9341-7E6445F14F63}"/>
    <cellStyle name="Normal 5 2 2 9 2 3" xfId="12800" xr:uid="{BA56526F-4275-40FA-927C-53A9439B9D3B}"/>
    <cellStyle name="Normal 5 2 2 9 3" xfId="6434" xr:uid="{00000000-0005-0000-0000-000031180000}"/>
    <cellStyle name="Normal 5 2 2 9 3 2" xfId="14873" xr:uid="{150B49AE-F908-4758-952A-5773CBF89CD5}"/>
    <cellStyle name="Normal 5 2 2 9 4" xfId="10655" xr:uid="{87346E49-E161-4E44-946B-AC1BC3BAA5A1}"/>
    <cellStyle name="Normal 5 2 3" xfId="424" xr:uid="{00000000-0005-0000-0000-000032180000}"/>
    <cellStyle name="Normal 5 2 3 10" xfId="4798" xr:uid="{00000000-0005-0000-0000-000033180000}"/>
    <cellStyle name="Normal 5 2 3 10 2" xfId="13237" xr:uid="{EEBF8903-7B62-4A2A-9EA5-909A79F3F622}"/>
    <cellStyle name="Normal 5 2 3 11" xfId="9019" xr:uid="{113BF625-4195-4D67-881F-5FE1A4714F64}"/>
    <cellStyle name="Normal 5 2 3 2" xfId="425" xr:uid="{00000000-0005-0000-0000-000034180000}"/>
    <cellStyle name="Normal 5 2 3 2 10" xfId="9020" xr:uid="{7B0D535C-0D34-4A24-B64F-33031F4AD92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1394A2BA-B602-489D-8653-18547D5A8C9A}"/>
    <cellStyle name="Normal 5 2 3 2 2 2 2 2 3" xfId="11580" xr:uid="{23D3BE60-E05F-40A3-B51F-0B524B57052D}"/>
    <cellStyle name="Normal 5 2 3 2 2 2 2 3" xfId="5214" xr:uid="{00000000-0005-0000-0000-00003A180000}"/>
    <cellStyle name="Normal 5 2 3 2 2 2 2 3 2" xfId="13653" xr:uid="{93C2ABC2-846F-4D33-8260-FA1665F1D4B5}"/>
    <cellStyle name="Normal 5 2 3 2 2 2 2 4" xfId="9435" xr:uid="{A804AEFC-2870-4C7B-9B21-C18FA013FC63}"/>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CCBFB34E-AE22-4C2D-8DC2-07D504A22A6A}"/>
    <cellStyle name="Normal 5 2 3 2 2 2 3 2 3" xfId="11993" xr:uid="{3D5C4AA8-AE1B-4861-9117-906C0F55CAD1}"/>
    <cellStyle name="Normal 5 2 3 2 2 2 3 3" xfId="5627" xr:uid="{00000000-0005-0000-0000-00003E180000}"/>
    <cellStyle name="Normal 5 2 3 2 2 2 3 3 2" xfId="14066" xr:uid="{11129709-47AC-4F0F-B663-B164484F650D}"/>
    <cellStyle name="Normal 5 2 3 2 2 2 3 4" xfId="9848" xr:uid="{53CDE064-D36E-40EA-9FA4-8F5FE5EDCED3}"/>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70EB966A-EA69-4AEA-A509-A0F5F3682C06}"/>
    <cellStyle name="Normal 5 2 3 2 2 2 4 2 3" xfId="12406" xr:uid="{74D7B2E5-F589-47AD-99F8-872E9F2153FA}"/>
    <cellStyle name="Normal 5 2 3 2 2 2 4 3" xfId="6040" xr:uid="{00000000-0005-0000-0000-000042180000}"/>
    <cellStyle name="Normal 5 2 3 2 2 2 4 3 2" xfId="14479" xr:uid="{670BBECA-DA09-411D-B16B-E070A2888805}"/>
    <cellStyle name="Normal 5 2 3 2 2 2 4 4" xfId="10261" xr:uid="{96C0B9AB-C67B-41AE-9EA4-596023A6D97F}"/>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7ECD4D17-82ED-4C5F-8498-592C7AB7167B}"/>
    <cellStyle name="Normal 5 2 3 2 2 2 5 2 3" xfId="12819" xr:uid="{BAA9861E-98E1-4E12-A583-FCA7ECCDB68B}"/>
    <cellStyle name="Normal 5 2 3 2 2 2 5 3" xfId="6453" xr:uid="{00000000-0005-0000-0000-000046180000}"/>
    <cellStyle name="Normal 5 2 3 2 2 2 5 3 2" xfId="14892" xr:uid="{9BD40CBF-20A4-462E-A5B2-44A5905C9F73}"/>
    <cellStyle name="Normal 5 2 3 2 2 2 5 4" xfId="10674" xr:uid="{0BB98465-4CC5-4A3E-8E20-5A5D70446420}"/>
    <cellStyle name="Normal 5 2 3 2 2 2 6" xfId="2582" xr:uid="{00000000-0005-0000-0000-000047180000}"/>
    <cellStyle name="Normal 5 2 3 2 2 2 6 2" xfId="6866" xr:uid="{00000000-0005-0000-0000-000048180000}"/>
    <cellStyle name="Normal 5 2 3 2 2 2 6 2 2" xfId="15305" xr:uid="{271B5FBE-A4F9-4DEF-82A6-096CDA3A7CCC}"/>
    <cellStyle name="Normal 5 2 3 2 2 2 6 3" xfId="11087" xr:uid="{6A1B6AAD-DFDB-491D-8929-8E4C335C3FB3}"/>
    <cellStyle name="Normal 5 2 3 2 2 2 7" xfId="4801" xr:uid="{00000000-0005-0000-0000-000049180000}"/>
    <cellStyle name="Normal 5 2 3 2 2 2 7 2" xfId="13240" xr:uid="{CCF75773-6591-4502-896F-9F85650A1B40}"/>
    <cellStyle name="Normal 5 2 3 2 2 2 8" xfId="9022" xr:uid="{932DE336-94DB-4B35-B66A-A0DE501B151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995D1AEA-CC8D-4E94-B144-AED4B38E9B87}"/>
    <cellStyle name="Normal 5 2 3 2 2 3 2 3" xfId="11579" xr:uid="{54F52E0E-EAAA-4F7E-B173-4405B0334F22}"/>
    <cellStyle name="Normal 5 2 3 2 2 3 3" xfId="5213" xr:uid="{00000000-0005-0000-0000-00004D180000}"/>
    <cellStyle name="Normal 5 2 3 2 2 3 3 2" xfId="13652" xr:uid="{EBE341A2-9B28-4004-936F-8C3ED05638EB}"/>
    <cellStyle name="Normal 5 2 3 2 2 3 4" xfId="9434" xr:uid="{7F3FB428-FE2C-4B7D-BACF-04F9E3A8970D}"/>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757CAB6E-1C8A-45D4-A76F-0E4F8757C7C0}"/>
    <cellStyle name="Normal 5 2 3 2 2 4 2 3" xfId="11992" xr:uid="{9DD9B188-AE64-4477-8F04-9674AD2DBBFF}"/>
    <cellStyle name="Normal 5 2 3 2 2 4 3" xfId="5626" xr:uid="{00000000-0005-0000-0000-000051180000}"/>
    <cellStyle name="Normal 5 2 3 2 2 4 3 2" xfId="14065" xr:uid="{CCF7F403-DEE3-4E67-89A0-7361784727DE}"/>
    <cellStyle name="Normal 5 2 3 2 2 4 4" xfId="9847" xr:uid="{6A1CE471-1DC6-403B-8FBD-78F005532A51}"/>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38018C9A-4F10-46AA-A138-AA38C089EE26}"/>
    <cellStyle name="Normal 5 2 3 2 2 5 2 3" xfId="12405" xr:uid="{B78B285A-BDEA-4C59-BD7E-CD418DC94F68}"/>
    <cellStyle name="Normal 5 2 3 2 2 5 3" xfId="6039" xr:uid="{00000000-0005-0000-0000-000055180000}"/>
    <cellStyle name="Normal 5 2 3 2 2 5 3 2" xfId="14478" xr:uid="{46F51D3D-D5B6-4ED3-A509-954760309E2B}"/>
    <cellStyle name="Normal 5 2 3 2 2 5 4" xfId="10260" xr:uid="{0BF1CB45-9422-41F6-A5A9-893D444926A6}"/>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4EFA3289-8C40-494C-9C27-D1DE05C2E1F7}"/>
    <cellStyle name="Normal 5 2 3 2 2 6 2 3" xfId="12818" xr:uid="{C6428FB9-10AF-4845-9D8E-A7127067A0B0}"/>
    <cellStyle name="Normal 5 2 3 2 2 6 3" xfId="6452" xr:uid="{00000000-0005-0000-0000-000059180000}"/>
    <cellStyle name="Normal 5 2 3 2 2 6 3 2" xfId="14891" xr:uid="{B632FE78-47A6-4220-BE0E-588220506AFA}"/>
    <cellStyle name="Normal 5 2 3 2 2 6 4" xfId="10673" xr:uid="{EF2AD4A5-6289-47A6-A5D2-B64C26C3F8DE}"/>
    <cellStyle name="Normal 5 2 3 2 2 7" xfId="2581" xr:uid="{00000000-0005-0000-0000-00005A180000}"/>
    <cellStyle name="Normal 5 2 3 2 2 7 2" xfId="6865" xr:uid="{00000000-0005-0000-0000-00005B180000}"/>
    <cellStyle name="Normal 5 2 3 2 2 7 2 2" xfId="15304" xr:uid="{D95758A8-93B2-401C-93D8-C541DE6ED41A}"/>
    <cellStyle name="Normal 5 2 3 2 2 7 3" xfId="11086" xr:uid="{550A70E3-8520-4745-AA08-04DB7DB413B1}"/>
    <cellStyle name="Normal 5 2 3 2 2 8" xfId="4800" xr:uid="{00000000-0005-0000-0000-00005C180000}"/>
    <cellStyle name="Normal 5 2 3 2 2 8 2" xfId="13239" xr:uid="{50236FDE-31AD-4E48-B2C6-5C50DEA825B3}"/>
    <cellStyle name="Normal 5 2 3 2 2 9" xfId="9021" xr:uid="{CEA57320-3834-47A8-8B17-CA729C8ED65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75619A05-F1C3-4B01-AA9A-0D2866FF96F9}"/>
    <cellStyle name="Normal 5 2 3 2 3 2 2 3" xfId="11581" xr:uid="{CF36FD60-AE5B-467E-BF10-540F480A62D8}"/>
    <cellStyle name="Normal 5 2 3 2 3 2 3" xfId="5215" xr:uid="{00000000-0005-0000-0000-000061180000}"/>
    <cellStyle name="Normal 5 2 3 2 3 2 3 2" xfId="13654" xr:uid="{384F0794-E816-4DBD-8B36-4B2367373E08}"/>
    <cellStyle name="Normal 5 2 3 2 3 2 4" xfId="9436" xr:uid="{04E132BC-9C1A-4403-A4C9-F6A861EBF0A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843924F5-D182-4B0B-9FA7-280B2F73BD84}"/>
    <cellStyle name="Normal 5 2 3 2 3 3 2 3" xfId="11994" xr:uid="{F5958A97-4E85-41E4-A046-AC30CCBB6681}"/>
    <cellStyle name="Normal 5 2 3 2 3 3 3" xfId="5628" xr:uid="{00000000-0005-0000-0000-000065180000}"/>
    <cellStyle name="Normal 5 2 3 2 3 3 3 2" xfId="14067" xr:uid="{5A619704-BD29-4C2D-BF38-0A782C13F659}"/>
    <cellStyle name="Normal 5 2 3 2 3 3 4" xfId="9849" xr:uid="{69899E30-3E55-4CF1-B708-4B4225973FC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2016AAA3-E9F4-4929-A62F-8EB7AF91E26A}"/>
    <cellStyle name="Normal 5 2 3 2 3 4 2 3" xfId="12407" xr:uid="{4BBC082F-B20C-44A7-B50F-490AA5D69354}"/>
    <cellStyle name="Normal 5 2 3 2 3 4 3" xfId="6041" xr:uid="{00000000-0005-0000-0000-000069180000}"/>
    <cellStyle name="Normal 5 2 3 2 3 4 3 2" xfId="14480" xr:uid="{EE18CF0B-7BBA-482E-B272-E879175A9930}"/>
    <cellStyle name="Normal 5 2 3 2 3 4 4" xfId="10262" xr:uid="{0BA684B6-7452-475B-9B21-BDCD87C2630D}"/>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DC315CED-9C39-496E-A72A-6AD8322F5F3C}"/>
    <cellStyle name="Normal 5 2 3 2 3 5 2 3" xfId="12820" xr:uid="{13562061-D4BE-4124-8382-C990BAF9E47C}"/>
    <cellStyle name="Normal 5 2 3 2 3 5 3" xfId="6454" xr:uid="{00000000-0005-0000-0000-00006D180000}"/>
    <cellStyle name="Normal 5 2 3 2 3 5 3 2" xfId="14893" xr:uid="{4C861C8D-AC4C-418E-8C8E-35F89B9953C0}"/>
    <cellStyle name="Normal 5 2 3 2 3 5 4" xfId="10675" xr:uid="{8EB1C1BC-F351-4E25-A988-E905D8F69AF9}"/>
    <cellStyle name="Normal 5 2 3 2 3 6" xfId="2583" xr:uid="{00000000-0005-0000-0000-00006E180000}"/>
    <cellStyle name="Normal 5 2 3 2 3 6 2" xfId="6867" xr:uid="{00000000-0005-0000-0000-00006F180000}"/>
    <cellStyle name="Normal 5 2 3 2 3 6 2 2" xfId="15306" xr:uid="{2C33FF69-9C96-4819-A242-ABF4347EA056}"/>
    <cellStyle name="Normal 5 2 3 2 3 6 3" xfId="11088" xr:uid="{195548BF-F551-49E7-9371-1D7D7F396C65}"/>
    <cellStyle name="Normal 5 2 3 2 3 7" xfId="4802" xr:uid="{00000000-0005-0000-0000-000070180000}"/>
    <cellStyle name="Normal 5 2 3 2 3 7 2" xfId="13241" xr:uid="{674FC53E-AB59-40FB-9A54-C83071CA7220}"/>
    <cellStyle name="Normal 5 2 3 2 3 8" xfId="9023" xr:uid="{09970605-C205-4D89-8823-6F310201AE1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9F1A2040-5676-4E2D-9B0B-D23110B18382}"/>
    <cellStyle name="Normal 5 2 3 2 4 2 3" xfId="11578" xr:uid="{542B37D6-69E7-458C-809C-F878250F113C}"/>
    <cellStyle name="Normal 5 2 3 2 4 3" xfId="5212" xr:uid="{00000000-0005-0000-0000-000074180000}"/>
    <cellStyle name="Normal 5 2 3 2 4 3 2" xfId="13651" xr:uid="{2CE779B8-D83D-4861-A996-4322C95208CE}"/>
    <cellStyle name="Normal 5 2 3 2 4 4" xfId="9433" xr:uid="{E66A3982-B016-4285-8CDC-0D0A2333F8CA}"/>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2CC0F686-AC17-4A35-A259-30A017B353E2}"/>
    <cellStyle name="Normal 5 2 3 2 5 2 3" xfId="11991" xr:uid="{2B69DC01-BD8D-4FED-8489-FB9F03BA9BAD}"/>
    <cellStyle name="Normal 5 2 3 2 5 3" xfId="5625" xr:uid="{00000000-0005-0000-0000-000078180000}"/>
    <cellStyle name="Normal 5 2 3 2 5 3 2" xfId="14064" xr:uid="{47AD6DFE-1B6B-4531-933E-5AE78D4BE0BD}"/>
    <cellStyle name="Normal 5 2 3 2 5 4" xfId="9846" xr:uid="{2D17839E-7592-4269-95E4-94D2C17FE875}"/>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AC04C8AB-070D-47FB-8E60-BD5B417426CD}"/>
    <cellStyle name="Normal 5 2 3 2 6 2 3" xfId="12404" xr:uid="{E3CAEAD7-BFE9-430E-82B0-A8A517F86FF3}"/>
    <cellStyle name="Normal 5 2 3 2 6 3" xfId="6038" xr:uid="{00000000-0005-0000-0000-00007C180000}"/>
    <cellStyle name="Normal 5 2 3 2 6 3 2" xfId="14477" xr:uid="{1CA7A828-7257-476F-BA58-CB84FE10A9B0}"/>
    <cellStyle name="Normal 5 2 3 2 6 4" xfId="10259" xr:uid="{18215634-C106-4E0A-89CE-46609CAF93C8}"/>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93C1287B-FA0A-4854-B2CA-6041A75B8F7C}"/>
    <cellStyle name="Normal 5 2 3 2 7 2 3" xfId="12817" xr:uid="{A572A1ED-18A3-4401-9120-8E1A540F2710}"/>
    <cellStyle name="Normal 5 2 3 2 7 3" xfId="6451" xr:uid="{00000000-0005-0000-0000-000080180000}"/>
    <cellStyle name="Normal 5 2 3 2 7 3 2" xfId="14890" xr:uid="{ECC6DBAF-E30A-47B1-A446-4E4ADD24E156}"/>
    <cellStyle name="Normal 5 2 3 2 7 4" xfId="10672" xr:uid="{DDC90548-26F6-424E-956F-6067A51977CA}"/>
    <cellStyle name="Normal 5 2 3 2 8" xfId="2580" xr:uid="{00000000-0005-0000-0000-000081180000}"/>
    <cellStyle name="Normal 5 2 3 2 8 2" xfId="6864" xr:uid="{00000000-0005-0000-0000-000082180000}"/>
    <cellStyle name="Normal 5 2 3 2 8 2 2" xfId="15303" xr:uid="{DEB94A16-1594-449F-B4CD-A0CC98E896B3}"/>
    <cellStyle name="Normal 5 2 3 2 8 3" xfId="11085" xr:uid="{0E45990B-8D9D-47CC-8759-85480E144088}"/>
    <cellStyle name="Normal 5 2 3 2 9" xfId="4799" xr:uid="{00000000-0005-0000-0000-000083180000}"/>
    <cellStyle name="Normal 5 2 3 2 9 2" xfId="13238" xr:uid="{A073C42A-4EF1-42E2-B1FC-0F762417C563}"/>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4B2C39A3-5219-4A76-BF04-62971C65DC1F}"/>
    <cellStyle name="Normal 5 2 3 3 2 2 2 3" xfId="11583" xr:uid="{CE2FA3F8-534E-4217-989E-B499EB5D7C85}"/>
    <cellStyle name="Normal 5 2 3 3 2 2 3" xfId="5217" xr:uid="{00000000-0005-0000-0000-000089180000}"/>
    <cellStyle name="Normal 5 2 3 3 2 2 3 2" xfId="13656" xr:uid="{9E8C359E-4732-4D01-87C1-56B597CC1332}"/>
    <cellStyle name="Normal 5 2 3 3 2 2 4" xfId="9438" xr:uid="{E3FA0BF8-0E4F-47CB-82B5-2A2C1B00A9F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335C0F3A-1AB4-42AC-9F80-AC1A94E09AE0}"/>
    <cellStyle name="Normal 5 2 3 3 2 3 2 3" xfId="11996" xr:uid="{DB2A0BF7-84EE-4E72-B398-07631B6F40AF}"/>
    <cellStyle name="Normal 5 2 3 3 2 3 3" xfId="5630" xr:uid="{00000000-0005-0000-0000-00008D180000}"/>
    <cellStyle name="Normal 5 2 3 3 2 3 3 2" xfId="14069" xr:uid="{0F3ACA92-8FBC-4B21-841C-D09970093D59}"/>
    <cellStyle name="Normal 5 2 3 3 2 3 4" xfId="9851" xr:uid="{4E85D508-72AE-4F29-8B34-09A8B505FB77}"/>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26B2BEF7-A11B-4514-BAED-08336201F6E5}"/>
    <cellStyle name="Normal 5 2 3 3 2 4 2 3" xfId="12409" xr:uid="{961AC84F-A370-4CAF-9500-DF322549688B}"/>
    <cellStyle name="Normal 5 2 3 3 2 4 3" xfId="6043" xr:uid="{00000000-0005-0000-0000-000091180000}"/>
    <cellStyle name="Normal 5 2 3 3 2 4 3 2" xfId="14482" xr:uid="{D14D8A57-1BBE-4D9A-98C0-784AD6E15EF9}"/>
    <cellStyle name="Normal 5 2 3 3 2 4 4" xfId="10264" xr:uid="{EBA47E7D-98EB-445A-8D64-A9A767E9160E}"/>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0617CF03-3529-43FA-9819-1D08F4FD029C}"/>
    <cellStyle name="Normal 5 2 3 3 2 5 2 3" xfId="12822" xr:uid="{A27803EA-9A76-42D9-B676-35F451960203}"/>
    <cellStyle name="Normal 5 2 3 3 2 5 3" xfId="6456" xr:uid="{00000000-0005-0000-0000-000095180000}"/>
    <cellStyle name="Normal 5 2 3 3 2 5 3 2" xfId="14895" xr:uid="{0A323644-4D72-4367-9FF9-00DA50C629F0}"/>
    <cellStyle name="Normal 5 2 3 3 2 5 4" xfId="10677" xr:uid="{86EE7086-4877-4CCC-9D2F-CBD815E4003E}"/>
    <cellStyle name="Normal 5 2 3 3 2 6" xfId="2585" xr:uid="{00000000-0005-0000-0000-000096180000}"/>
    <cellStyle name="Normal 5 2 3 3 2 6 2" xfId="6869" xr:uid="{00000000-0005-0000-0000-000097180000}"/>
    <cellStyle name="Normal 5 2 3 3 2 6 2 2" xfId="15308" xr:uid="{37045E41-210F-45CB-A90C-445F011CC153}"/>
    <cellStyle name="Normal 5 2 3 3 2 6 3" xfId="11090" xr:uid="{5BDC68AE-03D7-4C65-8D7B-EA526454E2ED}"/>
    <cellStyle name="Normal 5 2 3 3 2 7" xfId="4804" xr:uid="{00000000-0005-0000-0000-000098180000}"/>
    <cellStyle name="Normal 5 2 3 3 2 7 2" xfId="13243" xr:uid="{0E0AB2D1-00B0-4C96-A230-C5E20D4D62E1}"/>
    <cellStyle name="Normal 5 2 3 3 2 8" xfId="9025" xr:uid="{44B662C7-8300-47AA-853C-B3CE48E8CA81}"/>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EC1D26AD-9FCC-4682-BFFA-53F20068E754}"/>
    <cellStyle name="Normal 5 2 3 3 3 2 3" xfId="11582" xr:uid="{D2B13C89-1E8A-4CB4-98F7-4F2793031EB2}"/>
    <cellStyle name="Normal 5 2 3 3 3 3" xfId="5216" xr:uid="{00000000-0005-0000-0000-00009C180000}"/>
    <cellStyle name="Normal 5 2 3 3 3 3 2" xfId="13655" xr:uid="{726F49BA-7128-4F8F-B182-CFB1C3A1D276}"/>
    <cellStyle name="Normal 5 2 3 3 3 4" xfId="9437" xr:uid="{0A05F021-D378-4A69-B8DF-CE7754FC2AAF}"/>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D7A665D7-74BB-4197-8B51-829CD267AC45}"/>
    <cellStyle name="Normal 5 2 3 3 4 2 3" xfId="11995" xr:uid="{D30EA9C0-D4BE-4618-9BB5-3E197760A121}"/>
    <cellStyle name="Normal 5 2 3 3 4 3" xfId="5629" xr:uid="{00000000-0005-0000-0000-0000A0180000}"/>
    <cellStyle name="Normal 5 2 3 3 4 3 2" xfId="14068" xr:uid="{ED066B60-16E8-4DA9-85A9-8DD32F764380}"/>
    <cellStyle name="Normal 5 2 3 3 4 4" xfId="9850" xr:uid="{6F44B5A8-B201-4ABC-99B4-BFC5B74C628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488D7537-CD46-4BCE-88F5-CBB8860FDFF2}"/>
    <cellStyle name="Normal 5 2 3 3 5 2 3" xfId="12408" xr:uid="{74A973CF-06CC-4C50-B9B4-2441AF998092}"/>
    <cellStyle name="Normal 5 2 3 3 5 3" xfId="6042" xr:uid="{00000000-0005-0000-0000-0000A4180000}"/>
    <cellStyle name="Normal 5 2 3 3 5 3 2" xfId="14481" xr:uid="{3A9E4FC4-3280-46FC-92D3-87FCED0AECDF}"/>
    <cellStyle name="Normal 5 2 3 3 5 4" xfId="10263" xr:uid="{ED200583-26FF-4F1E-98C3-C73AF92AC0AE}"/>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1DC96449-DEE2-45AE-A98E-D04EE8748F59}"/>
    <cellStyle name="Normal 5 2 3 3 6 2 3" xfId="12821" xr:uid="{18BBAC1B-5672-4689-8241-339C88A58454}"/>
    <cellStyle name="Normal 5 2 3 3 6 3" xfId="6455" xr:uid="{00000000-0005-0000-0000-0000A8180000}"/>
    <cellStyle name="Normal 5 2 3 3 6 3 2" xfId="14894" xr:uid="{274A0F53-6535-4E73-8FBF-4C8CD62F448C}"/>
    <cellStyle name="Normal 5 2 3 3 6 4" xfId="10676" xr:uid="{2CAE91AE-20DD-4EFC-B15A-CBF989100D63}"/>
    <cellStyle name="Normal 5 2 3 3 7" xfId="2584" xr:uid="{00000000-0005-0000-0000-0000A9180000}"/>
    <cellStyle name="Normal 5 2 3 3 7 2" xfId="6868" xr:uid="{00000000-0005-0000-0000-0000AA180000}"/>
    <cellStyle name="Normal 5 2 3 3 7 2 2" xfId="15307" xr:uid="{8D4999CF-0B3C-487F-A7B7-91321ECAC4DD}"/>
    <cellStyle name="Normal 5 2 3 3 7 3" xfId="11089" xr:uid="{DE6E19DE-6843-4846-84AD-A1B7F2A417D8}"/>
    <cellStyle name="Normal 5 2 3 3 8" xfId="4803" xr:uid="{00000000-0005-0000-0000-0000AB180000}"/>
    <cellStyle name="Normal 5 2 3 3 8 2" xfId="13242" xr:uid="{02B8A290-E306-4F3B-BBC8-1B1C69DCF426}"/>
    <cellStyle name="Normal 5 2 3 3 9" xfId="9024" xr:uid="{8AB943CE-6E2C-4D5D-A151-687851D6E908}"/>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FD767573-86E8-44E2-AFE2-1886A5AF4447}"/>
    <cellStyle name="Normal 5 2 3 4 2 2 3" xfId="11584" xr:uid="{50290540-4272-46E7-B621-3C3ED21DEC57}"/>
    <cellStyle name="Normal 5 2 3 4 2 3" xfId="5218" xr:uid="{00000000-0005-0000-0000-0000B0180000}"/>
    <cellStyle name="Normal 5 2 3 4 2 3 2" xfId="13657" xr:uid="{1DC0BCA9-4D68-417F-A845-1DB7319312FA}"/>
    <cellStyle name="Normal 5 2 3 4 2 4" xfId="9439" xr:uid="{C5786AD1-426E-46FE-9336-493F099278BF}"/>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A34BE040-3AFA-4FEE-9B12-B77A95761F36}"/>
    <cellStyle name="Normal 5 2 3 4 3 2 3" xfId="11997" xr:uid="{7B1A216F-5D97-4D56-B087-559EACF7DC17}"/>
    <cellStyle name="Normal 5 2 3 4 3 3" xfId="5631" xr:uid="{00000000-0005-0000-0000-0000B4180000}"/>
    <cellStyle name="Normal 5 2 3 4 3 3 2" xfId="14070" xr:uid="{90C4239D-C81D-49D1-9132-EEF7709A6674}"/>
    <cellStyle name="Normal 5 2 3 4 3 4" xfId="9852" xr:uid="{BCBE8892-F249-4003-ACB5-9190232FAE9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2597FC90-EB05-4CC4-B454-0E08958CD03A}"/>
    <cellStyle name="Normal 5 2 3 4 4 2 3" xfId="12410" xr:uid="{F94F98B7-031F-4929-A686-8CA8A6B4D501}"/>
    <cellStyle name="Normal 5 2 3 4 4 3" xfId="6044" xr:uid="{00000000-0005-0000-0000-0000B8180000}"/>
    <cellStyle name="Normal 5 2 3 4 4 3 2" xfId="14483" xr:uid="{5C663582-8B3A-4FB0-95CA-55FEA0F63038}"/>
    <cellStyle name="Normal 5 2 3 4 4 4" xfId="10265" xr:uid="{DC0FBE5D-2F24-41F3-8846-E75B9B09114E}"/>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FF41EC7C-0048-4479-A70F-8E25EE0EF29A}"/>
    <cellStyle name="Normal 5 2 3 4 5 2 3" xfId="12823" xr:uid="{91620A3A-E030-442F-8350-660107161B4B}"/>
    <cellStyle name="Normal 5 2 3 4 5 3" xfId="6457" xr:uid="{00000000-0005-0000-0000-0000BC180000}"/>
    <cellStyle name="Normal 5 2 3 4 5 3 2" xfId="14896" xr:uid="{505CBA06-08D0-47BE-A83E-9B5D39EC0028}"/>
    <cellStyle name="Normal 5 2 3 4 5 4" xfId="10678" xr:uid="{82D029DD-AE5C-4392-A842-A19EF3CFA4FE}"/>
    <cellStyle name="Normal 5 2 3 4 6" xfId="2586" xr:uid="{00000000-0005-0000-0000-0000BD180000}"/>
    <cellStyle name="Normal 5 2 3 4 6 2" xfId="6870" xr:uid="{00000000-0005-0000-0000-0000BE180000}"/>
    <cellStyle name="Normal 5 2 3 4 6 2 2" xfId="15309" xr:uid="{97B2653B-A8B2-4201-B5AC-AC72AE7CD297}"/>
    <cellStyle name="Normal 5 2 3 4 6 3" xfId="11091" xr:uid="{2D4F3C84-A2F4-423B-A740-4B61C8D3D404}"/>
    <cellStyle name="Normal 5 2 3 4 7" xfId="4805" xr:uid="{00000000-0005-0000-0000-0000BF180000}"/>
    <cellStyle name="Normal 5 2 3 4 7 2" xfId="13244" xr:uid="{04E5B7F5-BE46-4F06-97B5-CE43F0196A24}"/>
    <cellStyle name="Normal 5 2 3 4 8" xfId="9026" xr:uid="{1A34578A-EE09-4DAA-8E1F-FF1A5EED4223}"/>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F7F00AFF-E12E-45AF-AB59-758E09BADDF7}"/>
    <cellStyle name="Normal 5 2 3 5 2 3" xfId="11577" xr:uid="{C9254185-217E-403E-807E-9AA6641D31D6}"/>
    <cellStyle name="Normal 5 2 3 5 3" xfId="5211" xr:uid="{00000000-0005-0000-0000-0000C3180000}"/>
    <cellStyle name="Normal 5 2 3 5 3 2" xfId="13650" xr:uid="{AA066B99-4992-498F-9308-EA9F03DD46B6}"/>
    <cellStyle name="Normal 5 2 3 5 4" xfId="9432" xr:uid="{040600C1-19B2-4986-B2A1-A07E54735281}"/>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96A0DFB5-73A0-4955-B67D-20C8A7CF1385}"/>
    <cellStyle name="Normal 5 2 3 6 2 3" xfId="11990" xr:uid="{9D15580F-FA27-4395-814F-92098C07533E}"/>
    <cellStyle name="Normal 5 2 3 6 3" xfId="5624" xr:uid="{00000000-0005-0000-0000-0000C7180000}"/>
    <cellStyle name="Normal 5 2 3 6 3 2" xfId="14063" xr:uid="{01A19E1C-90E6-4E07-95BC-EA4D72D8488E}"/>
    <cellStyle name="Normal 5 2 3 6 4" xfId="9845" xr:uid="{0F28ABEB-9ED8-416A-8357-593B4592451A}"/>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34F31B3C-3797-4CA3-8257-D8D6F11BB3C6}"/>
    <cellStyle name="Normal 5 2 3 7 2 3" xfId="12403" xr:uid="{F41F63AD-7A7B-4472-99B6-5F533E3A76EC}"/>
    <cellStyle name="Normal 5 2 3 7 3" xfId="6037" xr:uid="{00000000-0005-0000-0000-0000CB180000}"/>
    <cellStyle name="Normal 5 2 3 7 3 2" xfId="14476" xr:uid="{514DC08E-6097-49F9-B50A-932090972FBA}"/>
    <cellStyle name="Normal 5 2 3 7 4" xfId="10258" xr:uid="{C6C2B93C-74B4-46D8-8101-34C637FAF81A}"/>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E340A472-3054-43BE-B1B3-2989859EE759}"/>
    <cellStyle name="Normal 5 2 3 8 2 3" xfId="12816" xr:uid="{00724C5E-DF3F-43C2-8637-D6C4A6363228}"/>
    <cellStyle name="Normal 5 2 3 8 3" xfId="6450" xr:uid="{00000000-0005-0000-0000-0000CF180000}"/>
    <cellStyle name="Normal 5 2 3 8 3 2" xfId="14889" xr:uid="{33B1E720-ACBF-4880-BFE7-BF4A9644337D}"/>
    <cellStyle name="Normal 5 2 3 8 4" xfId="10671" xr:uid="{AFDCEF44-2B11-4E38-BF9A-E17974CA8E82}"/>
    <cellStyle name="Normal 5 2 3 9" xfId="2579" xr:uid="{00000000-0005-0000-0000-0000D0180000}"/>
    <cellStyle name="Normal 5 2 3 9 2" xfId="6863" xr:uid="{00000000-0005-0000-0000-0000D1180000}"/>
    <cellStyle name="Normal 5 2 3 9 2 2" xfId="15302" xr:uid="{06D44925-A747-4C34-8BA9-267C72FD3AC0}"/>
    <cellStyle name="Normal 5 2 3 9 3" xfId="11084" xr:uid="{97E8BEAD-03FD-485D-99D7-373404EC5400}"/>
    <cellStyle name="Normal 5 2 4" xfId="432" xr:uid="{00000000-0005-0000-0000-0000D2180000}"/>
    <cellStyle name="Normal 5 2 4 10" xfId="9027" xr:uid="{DE106BCC-151D-4718-BBFF-594E59167BD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4D0C043B-E48C-4A6C-9D84-353992893423}"/>
    <cellStyle name="Normal 5 2 4 2 2 2 2 3" xfId="11587" xr:uid="{CDC2CBAB-0F5D-4503-9AF1-40997F2ECA0D}"/>
    <cellStyle name="Normal 5 2 4 2 2 2 3" xfId="5221" xr:uid="{00000000-0005-0000-0000-0000D8180000}"/>
    <cellStyle name="Normal 5 2 4 2 2 2 3 2" xfId="13660" xr:uid="{2EE76A20-44BF-4704-968D-8A73C4DAB2B8}"/>
    <cellStyle name="Normal 5 2 4 2 2 2 4" xfId="9442" xr:uid="{C1EA629D-C247-4B97-B047-6AE701D24EC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4B687FED-3034-44E2-9E5D-7723686FAD32}"/>
    <cellStyle name="Normal 5 2 4 2 2 3 2 3" xfId="12000" xr:uid="{4A176A6B-66E8-4114-9CD2-2B60E1336A0C}"/>
    <cellStyle name="Normal 5 2 4 2 2 3 3" xfId="5634" xr:uid="{00000000-0005-0000-0000-0000DC180000}"/>
    <cellStyle name="Normal 5 2 4 2 2 3 3 2" xfId="14073" xr:uid="{D0D61A0B-2B0E-40DF-9A11-439D3BEF3DEC}"/>
    <cellStyle name="Normal 5 2 4 2 2 3 4" xfId="9855" xr:uid="{82F2D947-BF31-4C20-978C-4C8AA8165837}"/>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C8E9CE1F-1F48-4572-8789-436DC78BBA83}"/>
    <cellStyle name="Normal 5 2 4 2 2 4 2 3" xfId="12413" xr:uid="{354D8C7E-1D2F-4EC2-89CE-2E30C9E9689C}"/>
    <cellStyle name="Normal 5 2 4 2 2 4 3" xfId="6047" xr:uid="{00000000-0005-0000-0000-0000E0180000}"/>
    <cellStyle name="Normal 5 2 4 2 2 4 3 2" xfId="14486" xr:uid="{7FA7DA73-FD00-4F6E-897F-88D341117680}"/>
    <cellStyle name="Normal 5 2 4 2 2 4 4" xfId="10268" xr:uid="{72417145-133C-431B-905E-9B8B938B9BC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85129AE9-CEC0-4E85-8B55-2FD841C59811}"/>
    <cellStyle name="Normal 5 2 4 2 2 5 2 3" xfId="12826" xr:uid="{1BA2AB15-0DB8-4B9E-A9AD-61059CBEF5A0}"/>
    <cellStyle name="Normal 5 2 4 2 2 5 3" xfId="6460" xr:uid="{00000000-0005-0000-0000-0000E4180000}"/>
    <cellStyle name="Normal 5 2 4 2 2 5 3 2" xfId="14899" xr:uid="{F9F866E6-8EF7-429E-A94D-271463903D57}"/>
    <cellStyle name="Normal 5 2 4 2 2 5 4" xfId="10681" xr:uid="{0444E558-C5A9-4E2C-867E-B29FFD386D6E}"/>
    <cellStyle name="Normal 5 2 4 2 2 6" xfId="2589" xr:uid="{00000000-0005-0000-0000-0000E5180000}"/>
    <cellStyle name="Normal 5 2 4 2 2 6 2" xfId="6873" xr:uid="{00000000-0005-0000-0000-0000E6180000}"/>
    <cellStyle name="Normal 5 2 4 2 2 6 2 2" xfId="15312" xr:uid="{88262F4A-F6DD-48D0-8E12-A45B5F96212D}"/>
    <cellStyle name="Normal 5 2 4 2 2 6 3" xfId="11094" xr:uid="{0BDE2178-0DBF-42B6-9168-3A8AC5A5E7F1}"/>
    <cellStyle name="Normal 5 2 4 2 2 7" xfId="4808" xr:uid="{00000000-0005-0000-0000-0000E7180000}"/>
    <cellStyle name="Normal 5 2 4 2 2 7 2" xfId="13247" xr:uid="{A31E22F2-2240-46CA-B1DD-8EA71A16A362}"/>
    <cellStyle name="Normal 5 2 4 2 2 8" xfId="9029" xr:uid="{F1219701-9990-4ACE-8FFD-F31B2B666A0A}"/>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9FE39615-3D9C-4341-84B7-A19377B3DB36}"/>
    <cellStyle name="Normal 5 2 4 2 3 2 3" xfId="11586" xr:uid="{EF701C42-CD54-42F9-86CB-A8D30D00C99D}"/>
    <cellStyle name="Normal 5 2 4 2 3 3" xfId="5220" xr:uid="{00000000-0005-0000-0000-0000EB180000}"/>
    <cellStyle name="Normal 5 2 4 2 3 3 2" xfId="13659" xr:uid="{33CA381C-D525-4DC7-A370-1F4DA12D394A}"/>
    <cellStyle name="Normal 5 2 4 2 3 4" xfId="9441" xr:uid="{196D6C23-2671-48F3-90B3-D9137940DC55}"/>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CA8B30A8-EC83-43AA-A4D0-FBC0366C9691}"/>
    <cellStyle name="Normal 5 2 4 2 4 2 3" xfId="11999" xr:uid="{BBD176E6-EEA3-4704-9777-A64D9CD67A57}"/>
    <cellStyle name="Normal 5 2 4 2 4 3" xfId="5633" xr:uid="{00000000-0005-0000-0000-0000EF180000}"/>
    <cellStyle name="Normal 5 2 4 2 4 3 2" xfId="14072" xr:uid="{CD978A2B-10C1-4302-8A62-183D0D2EADCA}"/>
    <cellStyle name="Normal 5 2 4 2 4 4" xfId="9854" xr:uid="{519309C8-192C-440E-9114-8755ED92784B}"/>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96C4CD0E-8BCB-4E8A-8194-4E9BD5E994D8}"/>
    <cellStyle name="Normal 5 2 4 2 5 2 3" xfId="12412" xr:uid="{110AAB96-2846-4464-A4A0-F1BF2CB5C760}"/>
    <cellStyle name="Normal 5 2 4 2 5 3" xfId="6046" xr:uid="{00000000-0005-0000-0000-0000F3180000}"/>
    <cellStyle name="Normal 5 2 4 2 5 3 2" xfId="14485" xr:uid="{D266E705-945F-482D-A964-D15A5C50AEF5}"/>
    <cellStyle name="Normal 5 2 4 2 5 4" xfId="10267" xr:uid="{71B6B27A-F248-4A59-93D1-0056DC9E32CC}"/>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0576D216-F657-4DF3-8797-80FCF90E05E2}"/>
    <cellStyle name="Normal 5 2 4 2 6 2 3" xfId="12825" xr:uid="{4B4A5EA5-919D-40E9-8DA1-B867F57AE5AE}"/>
    <cellStyle name="Normal 5 2 4 2 6 3" xfId="6459" xr:uid="{00000000-0005-0000-0000-0000F7180000}"/>
    <cellStyle name="Normal 5 2 4 2 6 3 2" xfId="14898" xr:uid="{DBDA0490-9283-4A90-AD81-581A247C9695}"/>
    <cellStyle name="Normal 5 2 4 2 6 4" xfId="10680" xr:uid="{74B78A71-93CD-4ECF-9E18-3BEB11F52A6E}"/>
    <cellStyle name="Normal 5 2 4 2 7" xfId="2588" xr:uid="{00000000-0005-0000-0000-0000F8180000}"/>
    <cellStyle name="Normal 5 2 4 2 7 2" xfId="6872" xr:uid="{00000000-0005-0000-0000-0000F9180000}"/>
    <cellStyle name="Normal 5 2 4 2 7 2 2" xfId="15311" xr:uid="{7530BF70-93F8-4227-BED9-C9E8D779AF44}"/>
    <cellStyle name="Normal 5 2 4 2 7 3" xfId="11093" xr:uid="{92F9DF1C-E52D-431B-93C2-BFF565C9D790}"/>
    <cellStyle name="Normal 5 2 4 2 8" xfId="4807" xr:uid="{00000000-0005-0000-0000-0000FA180000}"/>
    <cellStyle name="Normal 5 2 4 2 8 2" xfId="13246" xr:uid="{5A86F4DB-0F2D-4577-A1CE-A648D263EC53}"/>
    <cellStyle name="Normal 5 2 4 2 9" xfId="9028" xr:uid="{6D37C5FA-CCA9-4755-97E0-C3A5206AF233}"/>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86C66CBA-BD1C-4A4C-BA28-8AB38E5E52D1}"/>
    <cellStyle name="Normal 5 2 4 3 2 2 3" xfId="11588" xr:uid="{8C670BF4-939B-4D87-9935-6D8BB16CD8F9}"/>
    <cellStyle name="Normal 5 2 4 3 2 3" xfId="5222" xr:uid="{00000000-0005-0000-0000-0000FF180000}"/>
    <cellStyle name="Normal 5 2 4 3 2 3 2" xfId="13661" xr:uid="{FF7BF796-9FAF-4A33-AF76-C58A05F501A0}"/>
    <cellStyle name="Normal 5 2 4 3 2 4" xfId="9443" xr:uid="{19CDD2BA-66FE-4DF5-83E7-79EC6CF98C2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7E0DC703-2A00-41F5-864C-C9A195F97745}"/>
    <cellStyle name="Normal 5 2 4 3 3 2 3" xfId="12001" xr:uid="{851B8AA1-F3F3-4A9E-A153-4BDA6F1C08DF}"/>
    <cellStyle name="Normal 5 2 4 3 3 3" xfId="5635" xr:uid="{00000000-0005-0000-0000-000003190000}"/>
    <cellStyle name="Normal 5 2 4 3 3 3 2" xfId="14074" xr:uid="{32998A4A-2D82-40BE-84FB-1B2F76066052}"/>
    <cellStyle name="Normal 5 2 4 3 3 4" xfId="9856" xr:uid="{7A539BC4-F102-42EB-A10B-19F919B8683D}"/>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FEC0BF42-D8EF-449C-ADCA-8E77D41C49F2}"/>
    <cellStyle name="Normal 5 2 4 3 4 2 3" xfId="12414" xr:uid="{E94539BC-5C77-4C67-85B5-EC1607B8C0EC}"/>
    <cellStyle name="Normal 5 2 4 3 4 3" xfId="6048" xr:uid="{00000000-0005-0000-0000-000007190000}"/>
    <cellStyle name="Normal 5 2 4 3 4 3 2" xfId="14487" xr:uid="{F4660D78-BA79-46AD-AA5F-F7CF8F160629}"/>
    <cellStyle name="Normal 5 2 4 3 4 4" xfId="10269" xr:uid="{428E58BF-1EE5-4D3F-A8EA-09629736B534}"/>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4A20A201-7180-44F6-BFF3-E2C989277453}"/>
    <cellStyle name="Normal 5 2 4 3 5 2 3" xfId="12827" xr:uid="{7BAE90DF-1261-4302-8405-CBF2EA221287}"/>
    <cellStyle name="Normal 5 2 4 3 5 3" xfId="6461" xr:uid="{00000000-0005-0000-0000-00000B190000}"/>
    <cellStyle name="Normal 5 2 4 3 5 3 2" xfId="14900" xr:uid="{C326B7A2-9DDD-4C39-9893-FAEBA177EB80}"/>
    <cellStyle name="Normal 5 2 4 3 5 4" xfId="10682" xr:uid="{2E5469FF-389A-4BDC-9455-46CE232DCD3A}"/>
    <cellStyle name="Normal 5 2 4 3 6" xfId="2590" xr:uid="{00000000-0005-0000-0000-00000C190000}"/>
    <cellStyle name="Normal 5 2 4 3 6 2" xfId="6874" xr:uid="{00000000-0005-0000-0000-00000D190000}"/>
    <cellStyle name="Normal 5 2 4 3 6 2 2" xfId="15313" xr:uid="{851558AA-B4C6-4048-81F6-20737507E5BA}"/>
    <cellStyle name="Normal 5 2 4 3 6 3" xfId="11095" xr:uid="{21A75DC0-7695-4B5D-9C43-F7578EBADBCB}"/>
    <cellStyle name="Normal 5 2 4 3 7" xfId="4809" xr:uid="{00000000-0005-0000-0000-00000E190000}"/>
    <cellStyle name="Normal 5 2 4 3 7 2" xfId="13248" xr:uid="{5FC31E53-A902-4152-8D3A-58C8DF49D910}"/>
    <cellStyle name="Normal 5 2 4 3 8" xfId="9030" xr:uid="{1BC0DA58-F00C-4B78-A25B-8A02EEF71CF6}"/>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60F62C1B-A62E-4803-9FE5-4592C6881CA1}"/>
    <cellStyle name="Normal 5 2 4 4 2 3" xfId="11585" xr:uid="{7A1A495A-7ACE-483C-8910-05E36308E9F4}"/>
    <cellStyle name="Normal 5 2 4 4 3" xfId="5219" xr:uid="{00000000-0005-0000-0000-000012190000}"/>
    <cellStyle name="Normal 5 2 4 4 3 2" xfId="13658" xr:uid="{63FB2247-F883-4FE6-974F-301952BCED9D}"/>
    <cellStyle name="Normal 5 2 4 4 4" xfId="9440" xr:uid="{F7E9216A-2B69-4529-AA79-A27DB42EB4C6}"/>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73796D4D-2766-4C9F-844D-B02881598FF8}"/>
    <cellStyle name="Normal 5 2 4 5 2 3" xfId="11998" xr:uid="{D10E24D5-A109-4E20-8017-BA66BF813A4D}"/>
    <cellStyle name="Normal 5 2 4 5 3" xfId="5632" xr:uid="{00000000-0005-0000-0000-000016190000}"/>
    <cellStyle name="Normal 5 2 4 5 3 2" xfId="14071" xr:uid="{3B25D1D9-7018-4FE3-A215-5BB76C6AA8A5}"/>
    <cellStyle name="Normal 5 2 4 5 4" xfId="9853" xr:uid="{CB85F16C-A576-44A0-97AE-28AD424F4AF1}"/>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C6B85D4D-D530-4F8F-AE9B-26238EC1B22E}"/>
    <cellStyle name="Normal 5 2 4 6 2 3" xfId="12411" xr:uid="{D922743B-A14E-4404-839A-84C9C99DB330}"/>
    <cellStyle name="Normal 5 2 4 6 3" xfId="6045" xr:uid="{00000000-0005-0000-0000-00001A190000}"/>
    <cellStyle name="Normal 5 2 4 6 3 2" xfId="14484" xr:uid="{17AFF952-A7E6-4869-809B-9C47981BECA3}"/>
    <cellStyle name="Normal 5 2 4 6 4" xfId="10266" xr:uid="{840A3488-8DBB-464A-8679-F92D2D5F07CE}"/>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EF4E636D-60BE-46FE-9F55-7DEDE879326B}"/>
    <cellStyle name="Normal 5 2 4 7 2 3" xfId="12824" xr:uid="{410B83CE-41C9-4396-A38E-9DC13CBDBAD8}"/>
    <cellStyle name="Normal 5 2 4 7 3" xfId="6458" xr:uid="{00000000-0005-0000-0000-00001E190000}"/>
    <cellStyle name="Normal 5 2 4 7 3 2" xfId="14897" xr:uid="{E22704E7-D431-47C2-BCCC-FDEAB7698AC2}"/>
    <cellStyle name="Normal 5 2 4 7 4" xfId="10679" xr:uid="{185E8769-EB0F-47B9-86CF-45A4994126D1}"/>
    <cellStyle name="Normal 5 2 4 8" xfId="2587" xr:uid="{00000000-0005-0000-0000-00001F190000}"/>
    <cellStyle name="Normal 5 2 4 8 2" xfId="6871" xr:uid="{00000000-0005-0000-0000-000020190000}"/>
    <cellStyle name="Normal 5 2 4 8 2 2" xfId="15310" xr:uid="{B796B2D1-4F4D-4486-B697-FAEAD05D1F17}"/>
    <cellStyle name="Normal 5 2 4 8 3" xfId="11092" xr:uid="{0874C15D-90C2-4CFE-A80D-49CA2F04D5B7}"/>
    <cellStyle name="Normal 5 2 4 9" xfId="4806" xr:uid="{00000000-0005-0000-0000-000021190000}"/>
    <cellStyle name="Normal 5 2 4 9 2" xfId="13245" xr:uid="{9A1D0958-6CC9-4171-ACA0-20996963DDC1}"/>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B6A53EDD-8951-4BBC-99D8-BFC2BA31955B}"/>
    <cellStyle name="Normal 5 2 5 2 2 2 3" xfId="11590" xr:uid="{BE09DB87-47A1-4D6B-B73A-EECD16AC925F}"/>
    <cellStyle name="Normal 5 2 5 2 2 3" xfId="5224" xr:uid="{00000000-0005-0000-0000-000027190000}"/>
    <cellStyle name="Normal 5 2 5 2 2 3 2" xfId="13663" xr:uid="{DE6B3A07-84F1-405B-BE40-4858DA1AEFDA}"/>
    <cellStyle name="Normal 5 2 5 2 2 4" xfId="9445" xr:uid="{BDE2B954-D692-4C9A-9771-258A47336CBE}"/>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D5D02DCD-119E-49DC-A6A4-86CCC8273350}"/>
    <cellStyle name="Normal 5 2 5 2 3 2 3" xfId="12003" xr:uid="{11AEE20D-BD9C-4902-ADF0-CD5EC2A2ACB3}"/>
    <cellStyle name="Normal 5 2 5 2 3 3" xfId="5637" xr:uid="{00000000-0005-0000-0000-00002B190000}"/>
    <cellStyle name="Normal 5 2 5 2 3 3 2" xfId="14076" xr:uid="{31EA826D-6DCE-4513-95A6-7287B9E65FD1}"/>
    <cellStyle name="Normal 5 2 5 2 3 4" xfId="9858" xr:uid="{939F5AB2-5205-4DD7-9382-2930C4810653}"/>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92831965-21CF-4D1D-A766-5428AE565313}"/>
    <cellStyle name="Normal 5 2 5 2 4 2 3" xfId="12416" xr:uid="{413374A8-10B9-4925-AAAD-9228F21062A3}"/>
    <cellStyle name="Normal 5 2 5 2 4 3" xfId="6050" xr:uid="{00000000-0005-0000-0000-00002F190000}"/>
    <cellStyle name="Normal 5 2 5 2 4 3 2" xfId="14489" xr:uid="{1174C3D9-D86B-47C0-96BB-1DDC0406FADA}"/>
    <cellStyle name="Normal 5 2 5 2 4 4" xfId="10271" xr:uid="{E977A770-A144-45C8-ADB3-36CF3CF38AA9}"/>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D2E90857-7E11-4EA4-97E1-3CF8A3371E8C}"/>
    <cellStyle name="Normal 5 2 5 2 5 2 3" xfId="12829" xr:uid="{D9FDFD1A-D12C-4295-ABB7-E679ECC5637F}"/>
    <cellStyle name="Normal 5 2 5 2 5 3" xfId="6463" xr:uid="{00000000-0005-0000-0000-000033190000}"/>
    <cellStyle name="Normal 5 2 5 2 5 3 2" xfId="14902" xr:uid="{0A5B675E-1E9F-4540-A20C-5D1024716339}"/>
    <cellStyle name="Normal 5 2 5 2 5 4" xfId="10684" xr:uid="{1F8653EE-798A-4513-AC4D-AAD6D7C4E7BA}"/>
    <cellStyle name="Normal 5 2 5 2 6" xfId="2592" xr:uid="{00000000-0005-0000-0000-000034190000}"/>
    <cellStyle name="Normal 5 2 5 2 6 2" xfId="6876" xr:uid="{00000000-0005-0000-0000-000035190000}"/>
    <cellStyle name="Normal 5 2 5 2 6 2 2" xfId="15315" xr:uid="{E2316930-5B18-46DC-964E-FE0501DB9B7B}"/>
    <cellStyle name="Normal 5 2 5 2 6 3" xfId="11097" xr:uid="{A207682A-1BD6-4469-AAE1-62E1E12E7D89}"/>
    <cellStyle name="Normal 5 2 5 2 7" xfId="4811" xr:uid="{00000000-0005-0000-0000-000036190000}"/>
    <cellStyle name="Normal 5 2 5 2 7 2" xfId="13250" xr:uid="{FDD8B86D-617D-4593-AD54-B622A66F3D60}"/>
    <cellStyle name="Normal 5 2 5 2 8" xfId="9032" xr:uid="{82ADF04B-C3A2-48C7-B04E-1E3ED0C85FA8}"/>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638D7B07-63DD-40D4-8842-CAC44CC41D2A}"/>
    <cellStyle name="Normal 5 2 5 3 2 3" xfId="11589" xr:uid="{CD0EC481-55CC-4C91-AF5E-1F2B0CE00B1E}"/>
    <cellStyle name="Normal 5 2 5 3 3" xfId="5223" xr:uid="{00000000-0005-0000-0000-00003A190000}"/>
    <cellStyle name="Normal 5 2 5 3 3 2" xfId="13662" xr:uid="{EB41437A-4E11-4B3F-A001-87BC468B47B5}"/>
    <cellStyle name="Normal 5 2 5 3 4" xfId="9444" xr:uid="{921B14DD-5A9E-488F-8865-FA388807CFD2}"/>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62C670C4-7A62-4713-A2DF-B042BFB48A70}"/>
    <cellStyle name="Normal 5 2 5 4 2 3" xfId="12002" xr:uid="{8DEF5921-DFBB-456E-B314-4DC81DD4D84C}"/>
    <cellStyle name="Normal 5 2 5 4 3" xfId="5636" xr:uid="{00000000-0005-0000-0000-00003E190000}"/>
    <cellStyle name="Normal 5 2 5 4 3 2" xfId="14075" xr:uid="{8A4F2413-52DE-44D6-9BC5-21A7A7F5B61A}"/>
    <cellStyle name="Normal 5 2 5 4 4" xfId="9857" xr:uid="{8D22572C-2570-425E-9B5E-B85486A02CA3}"/>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A159DC2A-FE0A-47D8-9089-7BBC8A18E056}"/>
    <cellStyle name="Normal 5 2 5 5 2 3" xfId="12415" xr:uid="{B4EF1E3F-F966-4E1E-A38A-04C27E24E326}"/>
    <cellStyle name="Normal 5 2 5 5 3" xfId="6049" xr:uid="{00000000-0005-0000-0000-000042190000}"/>
    <cellStyle name="Normal 5 2 5 5 3 2" xfId="14488" xr:uid="{097FC27A-7DE7-40C9-B428-9D4DEE95D58F}"/>
    <cellStyle name="Normal 5 2 5 5 4" xfId="10270" xr:uid="{13C36A05-629C-44C3-8000-BD3363A8B7FD}"/>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3C3970E2-01B8-4F84-94D0-71A6E4251638}"/>
    <cellStyle name="Normal 5 2 5 6 2 3" xfId="12828" xr:uid="{966326B5-B425-4010-9EA9-8EB3ABF20BA7}"/>
    <cellStyle name="Normal 5 2 5 6 3" xfId="6462" xr:uid="{00000000-0005-0000-0000-000046190000}"/>
    <cellStyle name="Normal 5 2 5 6 3 2" xfId="14901" xr:uid="{04714779-FE84-4648-AA18-591460FF6CF6}"/>
    <cellStyle name="Normal 5 2 5 6 4" xfId="10683" xr:uid="{8D2E67A6-A76C-4857-AF4A-F4551DC1125F}"/>
    <cellStyle name="Normal 5 2 5 7" xfId="2591" xr:uid="{00000000-0005-0000-0000-000047190000}"/>
    <cellStyle name="Normal 5 2 5 7 2" xfId="6875" xr:uid="{00000000-0005-0000-0000-000048190000}"/>
    <cellStyle name="Normal 5 2 5 7 2 2" xfId="15314" xr:uid="{6831F29F-0DB1-4FAE-86F9-2A27023F04D1}"/>
    <cellStyle name="Normal 5 2 5 7 3" xfId="11096" xr:uid="{DF77F9DA-BC4C-4599-BEFF-DA5EA74E671F}"/>
    <cellStyle name="Normal 5 2 5 8" xfId="4810" xr:uid="{00000000-0005-0000-0000-000049190000}"/>
    <cellStyle name="Normal 5 2 5 8 2" xfId="13249" xr:uid="{3A1C6DC1-54FD-48F0-804B-A87570BC6B1F}"/>
    <cellStyle name="Normal 5 2 5 9" xfId="9031" xr:uid="{B1915D63-81C5-4D20-B63D-D253F77F7238}"/>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BDA34DE2-D6D2-4359-AC8D-A918E3F65547}"/>
    <cellStyle name="Normal 5 2 6 2 2 3" xfId="11591" xr:uid="{D621C98B-CBCF-4D46-B217-0A712BD9A3C3}"/>
    <cellStyle name="Normal 5 2 6 2 3" xfId="5225" xr:uid="{00000000-0005-0000-0000-00004E190000}"/>
    <cellStyle name="Normal 5 2 6 2 3 2" xfId="13664" xr:uid="{E7EC4ACE-3DC4-4FD1-A030-1DB8C15FCE08}"/>
    <cellStyle name="Normal 5 2 6 2 4" xfId="9446" xr:uid="{DC5CD465-C123-4390-B5E9-00C5F726314E}"/>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B4D58040-76F8-4001-8872-C4A088BD2E4A}"/>
    <cellStyle name="Normal 5 2 6 3 2 3" xfId="12004" xr:uid="{30F9F417-B210-4A58-A8E4-062267E9E0E8}"/>
    <cellStyle name="Normal 5 2 6 3 3" xfId="5638" xr:uid="{00000000-0005-0000-0000-000052190000}"/>
    <cellStyle name="Normal 5 2 6 3 3 2" xfId="14077" xr:uid="{ACC60606-05B0-4E9D-AD9A-64BB3D160847}"/>
    <cellStyle name="Normal 5 2 6 3 4" xfId="9859" xr:uid="{D223A9D0-3C66-4EC2-9574-53DF24270CEC}"/>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2F7D48F6-EC2F-47E5-AA5C-FAAA2F632C2C}"/>
    <cellStyle name="Normal 5 2 6 4 2 3" xfId="12417" xr:uid="{EB1C7C28-5E3D-4115-9BF8-688708647A66}"/>
    <cellStyle name="Normal 5 2 6 4 3" xfId="6051" xr:uid="{00000000-0005-0000-0000-000056190000}"/>
    <cellStyle name="Normal 5 2 6 4 3 2" xfId="14490" xr:uid="{20AE49BD-019A-4259-B528-FA8148FCE641}"/>
    <cellStyle name="Normal 5 2 6 4 4" xfId="10272" xr:uid="{296B2BE9-0D63-49E7-AB04-6DF93EC07766}"/>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7EC850E8-C0B9-432F-AF3F-81CFC197DC70}"/>
    <cellStyle name="Normal 5 2 6 5 2 3" xfId="12830" xr:uid="{F0B74BB0-C082-4716-B706-D75C4EE53BFF}"/>
    <cellStyle name="Normal 5 2 6 5 3" xfId="6464" xr:uid="{00000000-0005-0000-0000-00005A190000}"/>
    <cellStyle name="Normal 5 2 6 5 3 2" xfId="14903" xr:uid="{5C60FF2B-1EA7-46EF-B5EB-A27BBDB2518E}"/>
    <cellStyle name="Normal 5 2 6 5 4" xfId="10685" xr:uid="{23735A11-19FF-46B5-B105-934CAA73E0BF}"/>
    <cellStyle name="Normal 5 2 6 6" xfId="2593" xr:uid="{00000000-0005-0000-0000-00005B190000}"/>
    <cellStyle name="Normal 5 2 6 6 2" xfId="6877" xr:uid="{00000000-0005-0000-0000-00005C190000}"/>
    <cellStyle name="Normal 5 2 6 6 2 2" xfId="15316" xr:uid="{6F75A4F4-4205-4C06-96A5-1A1D330165A4}"/>
    <cellStyle name="Normal 5 2 6 6 3" xfId="11098" xr:uid="{D5AA7A39-BD11-4C29-A0A5-F25ED0AC79F4}"/>
    <cellStyle name="Normal 5 2 6 7" xfId="4812" xr:uid="{00000000-0005-0000-0000-00005D190000}"/>
    <cellStyle name="Normal 5 2 6 7 2" xfId="13251" xr:uid="{6519BA9A-DB6B-4E8A-80BF-67131EAA8BF2}"/>
    <cellStyle name="Normal 5 2 6 8" xfId="9033" xr:uid="{0F9C6404-B1CC-49B3-8FC3-B4211BC7AFB1}"/>
    <cellStyle name="Normal 5 2 7" xfId="881" xr:uid="{00000000-0005-0000-0000-00005E190000}"/>
    <cellStyle name="Normal 5 2 7 2" xfId="3116" xr:uid="{00000000-0005-0000-0000-00005F190000}"/>
    <cellStyle name="Normal 5 2 7 2 2" xfId="7339" xr:uid="{00000000-0005-0000-0000-000060190000}"/>
    <cellStyle name="Normal 5 2 7 2 2 2" xfId="15778" xr:uid="{BCB89E51-7174-438A-BE9D-A054D2E79605}"/>
    <cellStyle name="Normal 5 2 7 2 3" xfId="11560" xr:uid="{A15A946A-99F8-4A29-815E-C4D0D4CB2F53}"/>
    <cellStyle name="Normal 5 2 7 3" xfId="5194" xr:uid="{00000000-0005-0000-0000-000061190000}"/>
    <cellStyle name="Normal 5 2 7 3 2" xfId="13633" xr:uid="{659F1608-2702-4FB1-B61A-F12A5638D77D}"/>
    <cellStyle name="Normal 5 2 7 4" xfId="9415" xr:uid="{BB372E9A-38E7-4E02-95AF-9BC470183FBA}"/>
    <cellStyle name="Normal 5 2 8" xfId="1299" xr:uid="{00000000-0005-0000-0000-000062190000}"/>
    <cellStyle name="Normal 5 2 8 2" xfId="3529" xr:uid="{00000000-0005-0000-0000-000063190000}"/>
    <cellStyle name="Normal 5 2 8 2 2" xfId="7752" xr:uid="{00000000-0005-0000-0000-000064190000}"/>
    <cellStyle name="Normal 5 2 8 2 2 2" xfId="16191" xr:uid="{FB41A90D-73AD-4EEF-9392-69E38FBFA5FF}"/>
    <cellStyle name="Normal 5 2 8 2 3" xfId="11973" xr:uid="{FB5B8690-888F-4363-9AAA-902CC36FB411}"/>
    <cellStyle name="Normal 5 2 8 3" xfId="5607" xr:uid="{00000000-0005-0000-0000-000065190000}"/>
    <cellStyle name="Normal 5 2 8 3 2" xfId="14046" xr:uid="{242F367C-B1D3-4440-8904-A84408A0F939}"/>
    <cellStyle name="Normal 5 2 8 4" xfId="9828" xr:uid="{FADC41F9-4D51-4415-9E64-A6AD6931681C}"/>
    <cellStyle name="Normal 5 2 9" xfId="1712" xr:uid="{00000000-0005-0000-0000-000066190000}"/>
    <cellStyle name="Normal 5 2 9 2" xfId="3942" xr:uid="{00000000-0005-0000-0000-000067190000}"/>
    <cellStyle name="Normal 5 2 9 2 2" xfId="8165" xr:uid="{00000000-0005-0000-0000-000068190000}"/>
    <cellStyle name="Normal 5 2 9 2 2 2" xfId="16604" xr:uid="{2260EB68-E72A-41C7-B636-64CACEC0365C}"/>
    <cellStyle name="Normal 5 2 9 2 3" xfId="12386" xr:uid="{1625D5FC-645A-457F-8A1D-00C46BF65F37}"/>
    <cellStyle name="Normal 5 2 9 3" xfId="6020" xr:uid="{00000000-0005-0000-0000-000069190000}"/>
    <cellStyle name="Normal 5 2 9 3 2" xfId="14459" xr:uid="{263ACD20-75A7-40BA-A605-A72EBC89716D}"/>
    <cellStyle name="Normal 5 2 9 4" xfId="10241" xr:uid="{112F0A45-4329-43A3-8D68-5C276685C0F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9A58AC8B-8326-4658-9F52-8DAE65B022DE}"/>
    <cellStyle name="Normal 5 3 10 2 3" xfId="12831" xr:uid="{D16145B1-14F1-4831-8110-623C7FF94424}"/>
    <cellStyle name="Normal 5 3 10 3" xfId="6465" xr:uid="{00000000-0005-0000-0000-00006E190000}"/>
    <cellStyle name="Normal 5 3 10 3 2" xfId="14904" xr:uid="{189CFD1D-2377-4EBE-9C6B-C5302B05AAD9}"/>
    <cellStyle name="Normal 5 3 10 4" xfId="10686" xr:uid="{5B9EDC3E-4628-46EC-8195-BFFB289A77F3}"/>
    <cellStyle name="Normal 5 3 11" xfId="2594" xr:uid="{00000000-0005-0000-0000-00006F190000}"/>
    <cellStyle name="Normal 5 3 11 2" xfId="6878" xr:uid="{00000000-0005-0000-0000-000070190000}"/>
    <cellStyle name="Normal 5 3 11 2 2" xfId="15317" xr:uid="{AEA1464D-5A11-4238-AB1A-7461F71FD91E}"/>
    <cellStyle name="Normal 5 3 11 3" xfId="11099" xr:uid="{5ECEDC18-2A31-4D64-96CC-28B5CEC256DC}"/>
    <cellStyle name="Normal 5 3 12" xfId="4813" xr:uid="{00000000-0005-0000-0000-000071190000}"/>
    <cellStyle name="Normal 5 3 12 2" xfId="13252" xr:uid="{BB70B750-9704-4605-9A1D-B3FAA2577F74}"/>
    <cellStyle name="Normal 5 3 13" xfId="9034" xr:uid="{9281EDCE-1F7C-4AF7-ABC3-21A5B7D64C2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26752288-0753-4129-9FE3-2060BCF19C53}"/>
    <cellStyle name="Normal 5 3 3 11" xfId="9035" xr:uid="{D9DE935F-A924-4327-A3CC-FD118BA32D4E}"/>
    <cellStyle name="Normal 5 3 3 2" xfId="442" xr:uid="{00000000-0005-0000-0000-000076190000}"/>
    <cellStyle name="Normal 5 3 3 2 10" xfId="9036" xr:uid="{88502B39-5136-46F0-B407-24C2DD4D4D9A}"/>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767192BF-2BE9-4CF1-93C7-E21CB2880369}"/>
    <cellStyle name="Normal 5 3 3 2 2 2 2 2 3" xfId="11596" xr:uid="{33887F92-CC48-46A2-9371-16D65426A861}"/>
    <cellStyle name="Normal 5 3 3 2 2 2 2 3" xfId="5230" xr:uid="{00000000-0005-0000-0000-00007C190000}"/>
    <cellStyle name="Normal 5 3 3 2 2 2 2 3 2" xfId="13669" xr:uid="{58A52BA5-1E68-47F4-B099-BA5135E3EB94}"/>
    <cellStyle name="Normal 5 3 3 2 2 2 2 4" xfId="9451" xr:uid="{33F9B680-8DC6-41C2-A2C5-76C6CBCC33BA}"/>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EB3A0147-0C69-4853-A077-942B464B3EFA}"/>
    <cellStyle name="Normal 5 3 3 2 2 2 3 2 3" xfId="12009" xr:uid="{54174416-6AD2-4B47-AE06-50995368FA0E}"/>
    <cellStyle name="Normal 5 3 3 2 2 2 3 3" xfId="5643" xr:uid="{00000000-0005-0000-0000-000080190000}"/>
    <cellStyle name="Normal 5 3 3 2 2 2 3 3 2" xfId="14082" xr:uid="{43B0DA8B-AA17-480B-9329-D0038687BE44}"/>
    <cellStyle name="Normal 5 3 3 2 2 2 3 4" xfId="9864" xr:uid="{5AF58789-6BBD-4CEE-AC8B-F7CE3ACB6E52}"/>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A6829231-7B58-4E6B-9715-90109D6EB8AB}"/>
    <cellStyle name="Normal 5 3 3 2 2 2 4 2 3" xfId="12422" xr:uid="{4A34FD64-03FC-4D35-9EC2-B31A449F6674}"/>
    <cellStyle name="Normal 5 3 3 2 2 2 4 3" xfId="6056" xr:uid="{00000000-0005-0000-0000-000084190000}"/>
    <cellStyle name="Normal 5 3 3 2 2 2 4 3 2" xfId="14495" xr:uid="{404095DC-B2DC-485B-BB52-D8CFADBB604A}"/>
    <cellStyle name="Normal 5 3 3 2 2 2 4 4" xfId="10277" xr:uid="{DF2BB08F-3EAD-4BD6-8B15-D7176BC373BC}"/>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247F128D-2D35-4F4B-87F5-0162E2E42764}"/>
    <cellStyle name="Normal 5 3 3 2 2 2 5 2 3" xfId="12835" xr:uid="{C77E5549-984F-4890-953B-757E68046C70}"/>
    <cellStyle name="Normal 5 3 3 2 2 2 5 3" xfId="6469" xr:uid="{00000000-0005-0000-0000-000088190000}"/>
    <cellStyle name="Normal 5 3 3 2 2 2 5 3 2" xfId="14908" xr:uid="{ABB6CAAB-1AE8-47BB-BC8E-34053ADCF228}"/>
    <cellStyle name="Normal 5 3 3 2 2 2 5 4" xfId="10690" xr:uid="{C517F87E-5801-4B60-B911-507BDCF4E379}"/>
    <cellStyle name="Normal 5 3 3 2 2 2 6" xfId="2598" xr:uid="{00000000-0005-0000-0000-000089190000}"/>
    <cellStyle name="Normal 5 3 3 2 2 2 6 2" xfId="6882" xr:uid="{00000000-0005-0000-0000-00008A190000}"/>
    <cellStyle name="Normal 5 3 3 2 2 2 6 2 2" xfId="15321" xr:uid="{B173F33F-BD6C-4B10-9CFF-08BD43C0D398}"/>
    <cellStyle name="Normal 5 3 3 2 2 2 6 3" xfId="11103" xr:uid="{3BEC79A8-650B-4C1D-A15E-8D6B3C17E7F3}"/>
    <cellStyle name="Normal 5 3 3 2 2 2 7" xfId="4817" xr:uid="{00000000-0005-0000-0000-00008B190000}"/>
    <cellStyle name="Normal 5 3 3 2 2 2 7 2" xfId="13256" xr:uid="{D5708DC3-53EA-4462-A714-C538CAF903DC}"/>
    <cellStyle name="Normal 5 3 3 2 2 2 8" xfId="9038" xr:uid="{4D6E1A44-F354-4303-ABEB-F9E55101AEBA}"/>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7188337F-39C3-4629-8044-65381935F7C4}"/>
    <cellStyle name="Normal 5 3 3 2 2 3 2 3" xfId="11595" xr:uid="{0B027DF5-E181-4A49-A9CC-E0E0A60DEDE9}"/>
    <cellStyle name="Normal 5 3 3 2 2 3 3" xfId="5229" xr:uid="{00000000-0005-0000-0000-00008F190000}"/>
    <cellStyle name="Normal 5 3 3 2 2 3 3 2" xfId="13668" xr:uid="{D75C1FD9-6596-4794-9AC4-A2FD6781265C}"/>
    <cellStyle name="Normal 5 3 3 2 2 3 4" xfId="9450" xr:uid="{5D7A7EFA-D74F-4212-A4A7-189B2DB335CA}"/>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1DFAF5E4-F94A-4F78-8142-C1FD1B899823}"/>
    <cellStyle name="Normal 5 3 3 2 2 4 2 3" xfId="12008" xr:uid="{46208DF9-D03D-408B-AEA8-AF0FC93C6605}"/>
    <cellStyle name="Normal 5 3 3 2 2 4 3" xfId="5642" xr:uid="{00000000-0005-0000-0000-000093190000}"/>
    <cellStyle name="Normal 5 3 3 2 2 4 3 2" xfId="14081" xr:uid="{82FBB89D-949B-452C-8057-BAC6524E97B2}"/>
    <cellStyle name="Normal 5 3 3 2 2 4 4" xfId="9863" xr:uid="{9003339B-1D54-4794-8424-FC1AFC15B743}"/>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9E714489-FCD0-4756-8418-3313C663CCF4}"/>
    <cellStyle name="Normal 5 3 3 2 2 5 2 3" xfId="12421" xr:uid="{C0A5AA34-2704-4E51-BC8A-25C7E6759A36}"/>
    <cellStyle name="Normal 5 3 3 2 2 5 3" xfId="6055" xr:uid="{00000000-0005-0000-0000-000097190000}"/>
    <cellStyle name="Normal 5 3 3 2 2 5 3 2" xfId="14494" xr:uid="{0A57F4C2-FF64-4366-B2A6-B482B3ED252E}"/>
    <cellStyle name="Normal 5 3 3 2 2 5 4" xfId="10276" xr:uid="{DB33A31F-D8A0-494C-A56E-488ACEF90DF8}"/>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6B7E3984-AFE7-4503-89F8-71BFC980E0E8}"/>
    <cellStyle name="Normal 5 3 3 2 2 6 2 3" xfId="12834" xr:uid="{09DDF134-807D-4899-93AC-6250986DAF55}"/>
    <cellStyle name="Normal 5 3 3 2 2 6 3" xfId="6468" xr:uid="{00000000-0005-0000-0000-00009B190000}"/>
    <cellStyle name="Normal 5 3 3 2 2 6 3 2" xfId="14907" xr:uid="{6D2D3511-5040-4225-8FCD-DD08E7B05BA0}"/>
    <cellStyle name="Normal 5 3 3 2 2 6 4" xfId="10689" xr:uid="{48EC7E57-694E-4944-B9B8-E1ED6E031F62}"/>
    <cellStyle name="Normal 5 3 3 2 2 7" xfId="2597" xr:uid="{00000000-0005-0000-0000-00009C190000}"/>
    <cellStyle name="Normal 5 3 3 2 2 7 2" xfId="6881" xr:uid="{00000000-0005-0000-0000-00009D190000}"/>
    <cellStyle name="Normal 5 3 3 2 2 7 2 2" xfId="15320" xr:uid="{B6271145-9008-4B0C-90C8-A6C64BF98DA2}"/>
    <cellStyle name="Normal 5 3 3 2 2 7 3" xfId="11102" xr:uid="{A908D4CF-8CBE-475D-81B2-2C3F1768A8BD}"/>
    <cellStyle name="Normal 5 3 3 2 2 8" xfId="4816" xr:uid="{00000000-0005-0000-0000-00009E190000}"/>
    <cellStyle name="Normal 5 3 3 2 2 8 2" xfId="13255" xr:uid="{26CFE336-B96E-4DF3-95DC-D92361F25997}"/>
    <cellStyle name="Normal 5 3 3 2 2 9" xfId="9037" xr:uid="{91B9A32B-639C-4C95-A435-A24652E48314}"/>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202BF8EA-FD74-4F1C-9E98-487E2773520F}"/>
    <cellStyle name="Normal 5 3 3 2 3 2 2 3" xfId="11597" xr:uid="{13EFAD15-1A93-4937-97AC-61A1E5D59101}"/>
    <cellStyle name="Normal 5 3 3 2 3 2 3" xfId="5231" xr:uid="{00000000-0005-0000-0000-0000A3190000}"/>
    <cellStyle name="Normal 5 3 3 2 3 2 3 2" xfId="13670" xr:uid="{230B4DD9-6701-40DA-BD19-E217D148D024}"/>
    <cellStyle name="Normal 5 3 3 2 3 2 4" xfId="9452" xr:uid="{06C2EE22-401F-47D6-A582-A3840CC3815B}"/>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648FE847-AEBC-40AC-AC77-791C2DB5704D}"/>
    <cellStyle name="Normal 5 3 3 2 3 3 2 3" xfId="12010" xr:uid="{9987C0EF-88DE-4181-AC0D-98BE69479731}"/>
    <cellStyle name="Normal 5 3 3 2 3 3 3" xfId="5644" xr:uid="{00000000-0005-0000-0000-0000A7190000}"/>
    <cellStyle name="Normal 5 3 3 2 3 3 3 2" xfId="14083" xr:uid="{250C1DA9-2C1E-44AC-BC4C-5E9560E446CB}"/>
    <cellStyle name="Normal 5 3 3 2 3 3 4" xfId="9865" xr:uid="{4E10523F-A935-4148-BC3E-BBC90B660495}"/>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638DF2DD-82FB-4939-A1CA-DC1D7AB47A44}"/>
    <cellStyle name="Normal 5 3 3 2 3 4 2 3" xfId="12423" xr:uid="{63BD092F-E0E1-4D64-AE25-0D1DFC8B178A}"/>
    <cellStyle name="Normal 5 3 3 2 3 4 3" xfId="6057" xr:uid="{00000000-0005-0000-0000-0000AB190000}"/>
    <cellStyle name="Normal 5 3 3 2 3 4 3 2" xfId="14496" xr:uid="{0FEF7F71-DA84-407F-A04A-64A1EDC28576}"/>
    <cellStyle name="Normal 5 3 3 2 3 4 4" xfId="10278" xr:uid="{CF0DFA05-BE3D-4AE4-9F81-6A9F6DC77828}"/>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B602316D-F4DD-43CB-9530-D16D7EF9E419}"/>
    <cellStyle name="Normal 5 3 3 2 3 5 2 3" xfId="12836" xr:uid="{8DBF08CC-EB89-4072-AE8F-EC52C6AA382F}"/>
    <cellStyle name="Normal 5 3 3 2 3 5 3" xfId="6470" xr:uid="{00000000-0005-0000-0000-0000AF190000}"/>
    <cellStyle name="Normal 5 3 3 2 3 5 3 2" xfId="14909" xr:uid="{98CA8D14-822C-4FCF-A564-DC894C26DEE2}"/>
    <cellStyle name="Normal 5 3 3 2 3 5 4" xfId="10691" xr:uid="{48F07073-A0BA-4449-8A6E-4195B0E6CAFE}"/>
    <cellStyle name="Normal 5 3 3 2 3 6" xfId="2599" xr:uid="{00000000-0005-0000-0000-0000B0190000}"/>
    <cellStyle name="Normal 5 3 3 2 3 6 2" xfId="6883" xr:uid="{00000000-0005-0000-0000-0000B1190000}"/>
    <cellStyle name="Normal 5 3 3 2 3 6 2 2" xfId="15322" xr:uid="{33120399-E728-4450-B341-1B1D20D177CC}"/>
    <cellStyle name="Normal 5 3 3 2 3 6 3" xfId="11104" xr:uid="{C723BB0A-286A-409C-B826-ECDA8C3AD6D3}"/>
    <cellStyle name="Normal 5 3 3 2 3 7" xfId="4818" xr:uid="{00000000-0005-0000-0000-0000B2190000}"/>
    <cellStyle name="Normal 5 3 3 2 3 7 2" xfId="13257" xr:uid="{48B73E4F-5ACC-4A14-97B2-1C64141FE621}"/>
    <cellStyle name="Normal 5 3 3 2 3 8" xfId="9039" xr:uid="{DBC2FEFB-2810-4194-BB4B-A67D77D457C7}"/>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6441ED52-DE39-438F-A86D-A7721E81B8EA}"/>
    <cellStyle name="Normal 5 3 3 2 4 2 3" xfId="11594" xr:uid="{CB060998-C2E9-4C9D-8BAD-116BC5C2E257}"/>
    <cellStyle name="Normal 5 3 3 2 4 3" xfId="5228" xr:uid="{00000000-0005-0000-0000-0000B6190000}"/>
    <cellStyle name="Normal 5 3 3 2 4 3 2" xfId="13667" xr:uid="{00E32B08-F9FF-4C8A-A454-6751B97714EE}"/>
    <cellStyle name="Normal 5 3 3 2 4 4" xfId="9449" xr:uid="{D38DB93B-5B32-4862-B3E9-DC045D7907E5}"/>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8F79E970-60FD-45DE-8FBC-D3507AB3251E}"/>
    <cellStyle name="Normal 5 3 3 2 5 2 3" xfId="12007" xr:uid="{9D0CBF43-D0E9-4796-998C-2F9AA80F191C}"/>
    <cellStyle name="Normal 5 3 3 2 5 3" xfId="5641" xr:uid="{00000000-0005-0000-0000-0000BA190000}"/>
    <cellStyle name="Normal 5 3 3 2 5 3 2" xfId="14080" xr:uid="{14311A6A-9572-4DED-B13F-6B6271FAE445}"/>
    <cellStyle name="Normal 5 3 3 2 5 4" xfId="9862" xr:uid="{94779644-EBC7-4670-AC80-F08FD7D44346}"/>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9BFF8A0A-7837-4314-9781-72D1A59C3D43}"/>
    <cellStyle name="Normal 5 3 3 2 6 2 3" xfId="12420" xr:uid="{2660A6DB-B142-469A-AB23-84B13FF47826}"/>
    <cellStyle name="Normal 5 3 3 2 6 3" xfId="6054" xr:uid="{00000000-0005-0000-0000-0000BE190000}"/>
    <cellStyle name="Normal 5 3 3 2 6 3 2" xfId="14493" xr:uid="{1704231E-4CEF-46C9-8C58-EA60E2A6FA5F}"/>
    <cellStyle name="Normal 5 3 3 2 6 4" xfId="10275" xr:uid="{E070657E-8DE1-4036-8774-9E21ABD2FD9B}"/>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A31D6960-F159-43AE-A458-3AF44232B9E9}"/>
    <cellStyle name="Normal 5 3 3 2 7 2 3" xfId="12833" xr:uid="{62E9846E-459A-43DE-9FB6-EF1D4B2EDDBF}"/>
    <cellStyle name="Normal 5 3 3 2 7 3" xfId="6467" xr:uid="{00000000-0005-0000-0000-0000C2190000}"/>
    <cellStyle name="Normal 5 3 3 2 7 3 2" xfId="14906" xr:uid="{950D2BEF-6291-47B7-A2CC-F7BA653444B2}"/>
    <cellStyle name="Normal 5 3 3 2 7 4" xfId="10688" xr:uid="{BDF15E1F-A832-496D-AF01-6951C397A444}"/>
    <cellStyle name="Normal 5 3 3 2 8" xfId="2596" xr:uid="{00000000-0005-0000-0000-0000C3190000}"/>
    <cellStyle name="Normal 5 3 3 2 8 2" xfId="6880" xr:uid="{00000000-0005-0000-0000-0000C4190000}"/>
    <cellStyle name="Normal 5 3 3 2 8 2 2" xfId="15319" xr:uid="{176A8D9E-5420-4185-97F6-458CA9694B99}"/>
    <cellStyle name="Normal 5 3 3 2 8 3" xfId="11101" xr:uid="{9E2DFD11-EE75-4A8E-99FF-6D7D2AA1B5C0}"/>
    <cellStyle name="Normal 5 3 3 2 9" xfId="4815" xr:uid="{00000000-0005-0000-0000-0000C5190000}"/>
    <cellStyle name="Normal 5 3 3 2 9 2" xfId="13254" xr:uid="{F2BB19DB-EA37-4BF7-8F1B-9C655EFDBAF5}"/>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203B924D-CB8F-4714-A584-862C34771CCF}"/>
    <cellStyle name="Normal 5 3 3 3 2 2 2 3" xfId="11599" xr:uid="{69764157-4490-4C6D-933E-F8A9F572EB37}"/>
    <cellStyle name="Normal 5 3 3 3 2 2 3" xfId="5233" xr:uid="{00000000-0005-0000-0000-0000CB190000}"/>
    <cellStyle name="Normal 5 3 3 3 2 2 3 2" xfId="13672" xr:uid="{F010E7CD-02A3-4F1A-AB97-1EF781717E00}"/>
    <cellStyle name="Normal 5 3 3 3 2 2 4" xfId="9454" xr:uid="{E029EE7C-26FE-48C4-8FB5-474988D3E81F}"/>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2204BFB9-607A-41F3-B5F1-53589232B53B}"/>
    <cellStyle name="Normal 5 3 3 3 2 3 2 3" xfId="12012" xr:uid="{B05DE63B-F4C3-4F70-B2D7-BCB35EFDA4B7}"/>
    <cellStyle name="Normal 5 3 3 3 2 3 3" xfId="5646" xr:uid="{00000000-0005-0000-0000-0000CF190000}"/>
    <cellStyle name="Normal 5 3 3 3 2 3 3 2" xfId="14085" xr:uid="{227B878B-08CE-48A8-8F48-835676ADF3DC}"/>
    <cellStyle name="Normal 5 3 3 3 2 3 4" xfId="9867" xr:uid="{8B334BC8-4D95-49E0-8715-7369671882CC}"/>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CF1C8566-92E8-44C1-BDCD-04DCF7980541}"/>
    <cellStyle name="Normal 5 3 3 3 2 4 2 3" xfId="12425" xr:uid="{6EE977DA-FE2F-4842-B444-C5A200DC2B28}"/>
    <cellStyle name="Normal 5 3 3 3 2 4 3" xfId="6059" xr:uid="{00000000-0005-0000-0000-0000D3190000}"/>
    <cellStyle name="Normal 5 3 3 3 2 4 3 2" xfId="14498" xr:uid="{A87BD233-0C4F-4559-805F-8B0DFD7A5F01}"/>
    <cellStyle name="Normal 5 3 3 3 2 4 4" xfId="10280" xr:uid="{D84F1BBC-9538-480B-91B4-502C041157F3}"/>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FF54846A-9390-4C33-9EA6-385D984F7F48}"/>
    <cellStyle name="Normal 5 3 3 3 2 5 2 3" xfId="12838" xr:uid="{EE598D92-5E5A-469A-9D3D-F4CB97750259}"/>
    <cellStyle name="Normal 5 3 3 3 2 5 3" xfId="6472" xr:uid="{00000000-0005-0000-0000-0000D7190000}"/>
    <cellStyle name="Normal 5 3 3 3 2 5 3 2" xfId="14911" xr:uid="{D5525DFF-4DD6-42BC-A2A1-0A1C5188D408}"/>
    <cellStyle name="Normal 5 3 3 3 2 5 4" xfId="10693" xr:uid="{27E794CE-7F87-4FC2-A787-CE979EC70BD6}"/>
    <cellStyle name="Normal 5 3 3 3 2 6" xfId="2601" xr:uid="{00000000-0005-0000-0000-0000D8190000}"/>
    <cellStyle name="Normal 5 3 3 3 2 6 2" xfId="6885" xr:uid="{00000000-0005-0000-0000-0000D9190000}"/>
    <cellStyle name="Normal 5 3 3 3 2 6 2 2" xfId="15324" xr:uid="{9F7E53F6-45C3-4D1D-AD4B-7916B4B0B3FC}"/>
    <cellStyle name="Normal 5 3 3 3 2 6 3" xfId="11106" xr:uid="{59F448C7-9565-43B6-B59E-ECCA0021F215}"/>
    <cellStyle name="Normal 5 3 3 3 2 7" xfId="4820" xr:uid="{00000000-0005-0000-0000-0000DA190000}"/>
    <cellStyle name="Normal 5 3 3 3 2 7 2" xfId="13259" xr:uid="{680A24FD-20A4-46FA-ACAD-6D8157B305FB}"/>
    <cellStyle name="Normal 5 3 3 3 2 8" xfId="9041" xr:uid="{8C8A41B6-4DED-44A8-8691-1878FD82D079}"/>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6CB4DA85-6C4C-4795-BB4F-F8EB018C2D29}"/>
    <cellStyle name="Normal 5 3 3 3 3 2 3" xfId="11598" xr:uid="{3557D892-3094-4CE7-89CC-D3B6EEE8F60E}"/>
    <cellStyle name="Normal 5 3 3 3 3 3" xfId="5232" xr:uid="{00000000-0005-0000-0000-0000DE190000}"/>
    <cellStyle name="Normal 5 3 3 3 3 3 2" xfId="13671" xr:uid="{04D67B74-9396-4153-901C-432B6CA37512}"/>
    <cellStyle name="Normal 5 3 3 3 3 4" xfId="9453" xr:uid="{FA109EA0-B054-48EE-9E2D-A66F5527E612}"/>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64D19E29-EF9D-4475-B5AE-FDF7D0F4B2C4}"/>
    <cellStyle name="Normal 5 3 3 3 4 2 3" xfId="12011" xr:uid="{B48DCA5E-0783-4BD9-91CB-A70D1439A5FF}"/>
    <cellStyle name="Normal 5 3 3 3 4 3" xfId="5645" xr:uid="{00000000-0005-0000-0000-0000E2190000}"/>
    <cellStyle name="Normal 5 3 3 3 4 3 2" xfId="14084" xr:uid="{96303FC4-A33D-4B2B-8F1E-B850E66EEC80}"/>
    <cellStyle name="Normal 5 3 3 3 4 4" xfId="9866" xr:uid="{170242E0-EF1C-4C7A-830E-CFDDFFC714C0}"/>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05E7D3BC-E7E7-4450-9FB7-579E31468E72}"/>
    <cellStyle name="Normal 5 3 3 3 5 2 3" xfId="12424" xr:uid="{323188A2-B618-4570-93DA-A843058C8B64}"/>
    <cellStyle name="Normal 5 3 3 3 5 3" xfId="6058" xr:uid="{00000000-0005-0000-0000-0000E6190000}"/>
    <cellStyle name="Normal 5 3 3 3 5 3 2" xfId="14497" xr:uid="{E5D74CA8-5659-4945-A49A-31DFB2A5FAEB}"/>
    <cellStyle name="Normal 5 3 3 3 5 4" xfId="10279" xr:uid="{4C813B47-6024-4804-8ABA-406107122F3F}"/>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FAE7C8FC-AB3A-40C6-88E5-D28B561CB19C}"/>
    <cellStyle name="Normal 5 3 3 3 6 2 3" xfId="12837" xr:uid="{5BEC2F45-A90B-4F13-A8A2-333E7B6E2C87}"/>
    <cellStyle name="Normal 5 3 3 3 6 3" xfId="6471" xr:uid="{00000000-0005-0000-0000-0000EA190000}"/>
    <cellStyle name="Normal 5 3 3 3 6 3 2" xfId="14910" xr:uid="{EF3AB613-AE05-4F10-BB49-83863AFA1C8D}"/>
    <cellStyle name="Normal 5 3 3 3 6 4" xfId="10692" xr:uid="{F26511B2-1131-4AE7-839F-B033860C11F4}"/>
    <cellStyle name="Normal 5 3 3 3 7" xfId="2600" xr:uid="{00000000-0005-0000-0000-0000EB190000}"/>
    <cellStyle name="Normal 5 3 3 3 7 2" xfId="6884" xr:uid="{00000000-0005-0000-0000-0000EC190000}"/>
    <cellStyle name="Normal 5 3 3 3 7 2 2" xfId="15323" xr:uid="{BCDA7BC6-2524-453B-AA2F-68792EBF6C66}"/>
    <cellStyle name="Normal 5 3 3 3 7 3" xfId="11105" xr:uid="{49D8F6E5-D919-46F5-ABEE-AA8D7DE36A28}"/>
    <cellStyle name="Normal 5 3 3 3 8" xfId="4819" xr:uid="{00000000-0005-0000-0000-0000ED190000}"/>
    <cellStyle name="Normal 5 3 3 3 8 2" xfId="13258" xr:uid="{D99648C0-A5B1-40C5-B39F-F689E82C5422}"/>
    <cellStyle name="Normal 5 3 3 3 9" xfId="9040" xr:uid="{D2F22867-DBBC-40F8-BA4A-F889D145958E}"/>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5A30FD85-8F2A-4432-B635-EAEB854C9E4D}"/>
    <cellStyle name="Normal 5 3 3 4 2 2 3" xfId="11600" xr:uid="{0EAFB0EE-3E4C-47AC-9A93-259F193070B9}"/>
    <cellStyle name="Normal 5 3 3 4 2 3" xfId="5234" xr:uid="{00000000-0005-0000-0000-0000F2190000}"/>
    <cellStyle name="Normal 5 3 3 4 2 3 2" xfId="13673" xr:uid="{1B87B70E-FFEB-43CF-BD8A-986DCA9B7A3D}"/>
    <cellStyle name="Normal 5 3 3 4 2 4" xfId="9455" xr:uid="{7B67DABD-04AA-492F-BFDB-34D7F4D3595F}"/>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0E07AE1D-2A79-47F9-A9AC-A791EF1C29DA}"/>
    <cellStyle name="Normal 5 3 3 4 3 2 3" xfId="12013" xr:uid="{2246FF77-5DCE-46A1-A812-D07C419CE981}"/>
    <cellStyle name="Normal 5 3 3 4 3 3" xfId="5647" xr:uid="{00000000-0005-0000-0000-0000F6190000}"/>
    <cellStyle name="Normal 5 3 3 4 3 3 2" xfId="14086" xr:uid="{2BFBEEC6-4628-45DB-86DF-372855EBD2DD}"/>
    <cellStyle name="Normal 5 3 3 4 3 4" xfId="9868" xr:uid="{468F6ECD-BFEF-44CC-80DC-666B7EA934A2}"/>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CDF8A467-06C6-4092-BECA-53AE59C75BFA}"/>
    <cellStyle name="Normal 5 3 3 4 4 2 3" xfId="12426" xr:uid="{56C22053-A9DE-46B9-87AD-894D492381BD}"/>
    <cellStyle name="Normal 5 3 3 4 4 3" xfId="6060" xr:uid="{00000000-0005-0000-0000-0000FA190000}"/>
    <cellStyle name="Normal 5 3 3 4 4 3 2" xfId="14499" xr:uid="{304546F4-C890-4B4E-B640-4BF81DD64564}"/>
    <cellStyle name="Normal 5 3 3 4 4 4" xfId="10281" xr:uid="{4E426B2E-A56F-4D7B-ACE0-C571E931D769}"/>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B6BE6BE9-A791-4432-9D51-07A124EBF77C}"/>
    <cellStyle name="Normal 5 3 3 4 5 2 3" xfId="12839" xr:uid="{6971E242-DE1C-44A8-B31A-A55483C81AE5}"/>
    <cellStyle name="Normal 5 3 3 4 5 3" xfId="6473" xr:uid="{00000000-0005-0000-0000-0000FE190000}"/>
    <cellStyle name="Normal 5 3 3 4 5 3 2" xfId="14912" xr:uid="{CEB2A678-7FE2-46C6-A6F5-179049250588}"/>
    <cellStyle name="Normal 5 3 3 4 5 4" xfId="10694" xr:uid="{E914553C-62AB-47F1-9CE9-75586D497D2A}"/>
    <cellStyle name="Normal 5 3 3 4 6" xfId="2602" xr:uid="{00000000-0005-0000-0000-0000FF190000}"/>
    <cellStyle name="Normal 5 3 3 4 6 2" xfId="6886" xr:uid="{00000000-0005-0000-0000-0000001A0000}"/>
    <cellStyle name="Normal 5 3 3 4 6 2 2" xfId="15325" xr:uid="{6F1A53A2-AC58-41F7-BAA6-625854F18A48}"/>
    <cellStyle name="Normal 5 3 3 4 6 3" xfId="11107" xr:uid="{8F6D57C5-5B02-4546-A540-D2602A429698}"/>
    <cellStyle name="Normal 5 3 3 4 7" xfId="4821" xr:uid="{00000000-0005-0000-0000-0000011A0000}"/>
    <cellStyle name="Normal 5 3 3 4 7 2" xfId="13260" xr:uid="{8877862E-C407-4A3B-A550-354471DBF7ED}"/>
    <cellStyle name="Normal 5 3 3 4 8" xfId="9042" xr:uid="{EDDC0EFA-005D-4FA5-8BE3-48F1F9F9D795}"/>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7F290545-78AF-43D6-8BB1-FF4888B3D117}"/>
    <cellStyle name="Normal 5 3 3 5 2 3" xfId="11593" xr:uid="{23CF2F1A-C4AB-4313-9D58-E8190D81AB24}"/>
    <cellStyle name="Normal 5 3 3 5 3" xfId="5227" xr:uid="{00000000-0005-0000-0000-0000051A0000}"/>
    <cellStyle name="Normal 5 3 3 5 3 2" xfId="13666" xr:uid="{1F5953BE-E5CF-46A4-BEFD-58AB3736C09E}"/>
    <cellStyle name="Normal 5 3 3 5 4" xfId="9448" xr:uid="{AF4EB206-E3ED-4095-963D-CBF411B0219E}"/>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67418DFB-3E53-4957-B9F3-185EDF153F0B}"/>
    <cellStyle name="Normal 5 3 3 6 2 3" xfId="12006" xr:uid="{93D951BF-C8E7-4CA3-A616-EAD626F59EB0}"/>
    <cellStyle name="Normal 5 3 3 6 3" xfId="5640" xr:uid="{00000000-0005-0000-0000-0000091A0000}"/>
    <cellStyle name="Normal 5 3 3 6 3 2" xfId="14079" xr:uid="{BF580429-9D16-4523-B6C8-9B8B5FAD9E86}"/>
    <cellStyle name="Normal 5 3 3 6 4" xfId="9861" xr:uid="{B910334D-7E3C-4C3D-AABA-631BE5C8A44F}"/>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223125A4-486F-4D5B-8323-EFD17EB439BC}"/>
    <cellStyle name="Normal 5 3 3 7 2 3" xfId="12419" xr:uid="{A6411BEB-4754-4D94-8850-4B9B2F0708C5}"/>
    <cellStyle name="Normal 5 3 3 7 3" xfId="6053" xr:uid="{00000000-0005-0000-0000-00000D1A0000}"/>
    <cellStyle name="Normal 5 3 3 7 3 2" xfId="14492" xr:uid="{7D897FA2-CD94-430F-A391-544FBC4DEF7B}"/>
    <cellStyle name="Normal 5 3 3 7 4" xfId="10274" xr:uid="{BFE86CB9-E35C-46DB-AF0C-F2F12187B467}"/>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60AD2454-A98C-4F08-A0C6-614CC3F40934}"/>
    <cellStyle name="Normal 5 3 3 8 2 3" xfId="12832" xr:uid="{CB7FE72D-5F1C-443B-9743-3D8D9C18FB1D}"/>
    <cellStyle name="Normal 5 3 3 8 3" xfId="6466" xr:uid="{00000000-0005-0000-0000-0000111A0000}"/>
    <cellStyle name="Normal 5 3 3 8 3 2" xfId="14905" xr:uid="{6AF0DC23-2815-4946-9C2D-1E1CB0283B50}"/>
    <cellStyle name="Normal 5 3 3 8 4" xfId="10687" xr:uid="{A7172226-1B45-4EB6-8FF8-ED85A93EEDB8}"/>
    <cellStyle name="Normal 5 3 3 9" xfId="2595" xr:uid="{00000000-0005-0000-0000-0000121A0000}"/>
    <cellStyle name="Normal 5 3 3 9 2" xfId="6879" xr:uid="{00000000-0005-0000-0000-0000131A0000}"/>
    <cellStyle name="Normal 5 3 3 9 2 2" xfId="15318" xr:uid="{B92792A1-E57D-4240-ACC1-3537D39EA41D}"/>
    <cellStyle name="Normal 5 3 3 9 3" xfId="11100" xr:uid="{FF553CA2-978A-48DE-8F1B-BF4BC55287D8}"/>
    <cellStyle name="Normal 5 3 4" xfId="449" xr:uid="{00000000-0005-0000-0000-0000141A0000}"/>
    <cellStyle name="Normal 5 3 4 10" xfId="9043" xr:uid="{F5D98C98-DDDA-4070-91E1-253BE2BB40BF}"/>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76A2819C-1200-470D-BD1A-54AFEFF49355}"/>
    <cellStyle name="Normal 5 3 4 2 2 2 2 3" xfId="11603" xr:uid="{A67E5BC9-24E0-4CF6-804D-00D72F097ECA}"/>
    <cellStyle name="Normal 5 3 4 2 2 2 3" xfId="5237" xr:uid="{00000000-0005-0000-0000-00001A1A0000}"/>
    <cellStyle name="Normal 5 3 4 2 2 2 3 2" xfId="13676" xr:uid="{99111FF3-CF42-41BC-B6B6-D94B18D2EC03}"/>
    <cellStyle name="Normal 5 3 4 2 2 2 4" xfId="9458" xr:uid="{CFA45FED-D474-4A17-9F4E-444D70AEF00F}"/>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DCBD67FC-2FCF-4A6B-9A80-DEBE545653A6}"/>
    <cellStyle name="Normal 5 3 4 2 2 3 2 3" xfId="12016" xr:uid="{9E1E1CF7-6F81-48F0-9E14-9CB5AE39A0D8}"/>
    <cellStyle name="Normal 5 3 4 2 2 3 3" xfId="5650" xr:uid="{00000000-0005-0000-0000-00001E1A0000}"/>
    <cellStyle name="Normal 5 3 4 2 2 3 3 2" xfId="14089" xr:uid="{D5E3D9DC-29C0-4762-BF96-0293F250ABF6}"/>
    <cellStyle name="Normal 5 3 4 2 2 3 4" xfId="9871" xr:uid="{4EFCF334-BA0B-44E0-8EC5-FE1365B4FE2D}"/>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C76B7AB2-91E1-4E0E-BA7F-FF738B9C364D}"/>
    <cellStyle name="Normal 5 3 4 2 2 4 2 3" xfId="12429" xr:uid="{0281B462-89AF-4BD1-B70C-44D5F6D02AE3}"/>
    <cellStyle name="Normal 5 3 4 2 2 4 3" xfId="6063" xr:uid="{00000000-0005-0000-0000-0000221A0000}"/>
    <cellStyle name="Normal 5 3 4 2 2 4 3 2" xfId="14502" xr:uid="{D7C857E2-306D-462E-A319-9720596FE701}"/>
    <cellStyle name="Normal 5 3 4 2 2 4 4" xfId="10284" xr:uid="{2DB0DF0F-2E27-4C1A-B106-B485A30FAC0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CC6D78B6-7118-46F3-B1F4-32EB51CFE556}"/>
    <cellStyle name="Normal 5 3 4 2 2 5 2 3" xfId="12842" xr:uid="{8E1DAE44-87DE-48B1-9D7A-0B745DAB82BA}"/>
    <cellStyle name="Normal 5 3 4 2 2 5 3" xfId="6476" xr:uid="{00000000-0005-0000-0000-0000261A0000}"/>
    <cellStyle name="Normal 5 3 4 2 2 5 3 2" xfId="14915" xr:uid="{B7D48C99-78CF-47D7-AFBA-F5B9B816AE08}"/>
    <cellStyle name="Normal 5 3 4 2 2 5 4" xfId="10697" xr:uid="{B9FAE3E6-5379-444A-9366-F6B180E40740}"/>
    <cellStyle name="Normal 5 3 4 2 2 6" xfId="2605" xr:uid="{00000000-0005-0000-0000-0000271A0000}"/>
    <cellStyle name="Normal 5 3 4 2 2 6 2" xfId="6889" xr:uid="{00000000-0005-0000-0000-0000281A0000}"/>
    <cellStyle name="Normal 5 3 4 2 2 6 2 2" xfId="15328" xr:uid="{9C29CA69-90FF-4B0D-B1E7-8B5C503A4F4C}"/>
    <cellStyle name="Normal 5 3 4 2 2 6 3" xfId="11110" xr:uid="{A157C900-5421-4360-AD1F-0CAE3547A92C}"/>
    <cellStyle name="Normal 5 3 4 2 2 7" xfId="4824" xr:uid="{00000000-0005-0000-0000-0000291A0000}"/>
    <cellStyle name="Normal 5 3 4 2 2 7 2" xfId="13263" xr:uid="{627D2F7F-C085-4EA5-94C8-F26B429D5963}"/>
    <cellStyle name="Normal 5 3 4 2 2 8" xfId="9045" xr:uid="{FABE6F4D-EA80-4688-9AD6-185C6A0D2FA0}"/>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F08E00AA-9227-41AE-8A9B-8585E91D1CBF}"/>
    <cellStyle name="Normal 5 3 4 2 3 2 3" xfId="11602" xr:uid="{66FC757C-30C5-4F80-8824-395E458C3487}"/>
    <cellStyle name="Normal 5 3 4 2 3 3" xfId="5236" xr:uid="{00000000-0005-0000-0000-00002D1A0000}"/>
    <cellStyle name="Normal 5 3 4 2 3 3 2" xfId="13675" xr:uid="{B04A282B-5539-4FFB-88C1-86921D617230}"/>
    <cellStyle name="Normal 5 3 4 2 3 4" xfId="9457" xr:uid="{55DB652D-D2ED-45D7-8485-C42FE293FDB8}"/>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BC7E7D35-C327-4157-AB16-CDBA6EE03224}"/>
    <cellStyle name="Normal 5 3 4 2 4 2 3" xfId="12015" xr:uid="{82463148-1CB4-4371-A12A-80E09B00F0EF}"/>
    <cellStyle name="Normal 5 3 4 2 4 3" xfId="5649" xr:uid="{00000000-0005-0000-0000-0000311A0000}"/>
    <cellStyle name="Normal 5 3 4 2 4 3 2" xfId="14088" xr:uid="{68727D82-8291-422A-86C6-64A8979EC6F2}"/>
    <cellStyle name="Normal 5 3 4 2 4 4" xfId="9870" xr:uid="{C7A30FA3-3F41-439B-9157-73392552A47B}"/>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842C9D18-E4D1-4F74-8B73-50EE47D3261F}"/>
    <cellStyle name="Normal 5 3 4 2 5 2 3" xfId="12428" xr:uid="{3186862A-B394-46B3-AFFC-18180FD04A6E}"/>
    <cellStyle name="Normal 5 3 4 2 5 3" xfId="6062" xr:uid="{00000000-0005-0000-0000-0000351A0000}"/>
    <cellStyle name="Normal 5 3 4 2 5 3 2" xfId="14501" xr:uid="{7D516551-457A-46F8-9A73-E61F03B1D560}"/>
    <cellStyle name="Normal 5 3 4 2 5 4" xfId="10283" xr:uid="{B9CE94B8-F054-4FDE-8209-7F617B3ED27D}"/>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B7E6D2C9-2A9D-4B02-89F4-B4B3BCA6379C}"/>
    <cellStyle name="Normal 5 3 4 2 6 2 3" xfId="12841" xr:uid="{0CFCA2A5-5FC3-4557-A476-49306AA161FA}"/>
    <cellStyle name="Normal 5 3 4 2 6 3" xfId="6475" xr:uid="{00000000-0005-0000-0000-0000391A0000}"/>
    <cellStyle name="Normal 5 3 4 2 6 3 2" xfId="14914" xr:uid="{E9297784-75B9-4627-8CEF-0428C88E6C20}"/>
    <cellStyle name="Normal 5 3 4 2 6 4" xfId="10696" xr:uid="{47EDE3DF-3734-4570-A022-DFA9AC1111DC}"/>
    <cellStyle name="Normal 5 3 4 2 7" xfId="2604" xr:uid="{00000000-0005-0000-0000-00003A1A0000}"/>
    <cellStyle name="Normal 5 3 4 2 7 2" xfId="6888" xr:uid="{00000000-0005-0000-0000-00003B1A0000}"/>
    <cellStyle name="Normal 5 3 4 2 7 2 2" xfId="15327" xr:uid="{099ABD4F-2737-471D-982C-F96047B0EA9D}"/>
    <cellStyle name="Normal 5 3 4 2 7 3" xfId="11109" xr:uid="{7794773C-F4D1-4404-9803-ED17BBFDE7A6}"/>
    <cellStyle name="Normal 5 3 4 2 8" xfId="4823" xr:uid="{00000000-0005-0000-0000-00003C1A0000}"/>
    <cellStyle name="Normal 5 3 4 2 8 2" xfId="13262" xr:uid="{605C97EA-1B90-4651-925B-8D1D7E7155D8}"/>
    <cellStyle name="Normal 5 3 4 2 9" xfId="9044" xr:uid="{F8DECF85-B083-4AF8-9A62-85A7608FCA25}"/>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240959E7-6E21-4EF7-AA46-23A6D3077F22}"/>
    <cellStyle name="Normal 5 3 4 3 2 2 3" xfId="11604" xr:uid="{B6927353-EE39-4358-AE30-E0C1A1E973C1}"/>
    <cellStyle name="Normal 5 3 4 3 2 3" xfId="5238" xr:uid="{00000000-0005-0000-0000-0000411A0000}"/>
    <cellStyle name="Normal 5 3 4 3 2 3 2" xfId="13677" xr:uid="{E9D03A04-8048-4E7F-BAA7-B016D8F401A5}"/>
    <cellStyle name="Normal 5 3 4 3 2 4" xfId="9459" xr:uid="{C6B7C64A-94F3-45D8-9BE7-4531319F90DC}"/>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20EBAE00-8DF1-405E-9C24-610B43B24FE4}"/>
    <cellStyle name="Normal 5 3 4 3 3 2 3" xfId="12017" xr:uid="{4BB09C2B-F9EC-4989-80D5-CBB1503A5DCD}"/>
    <cellStyle name="Normal 5 3 4 3 3 3" xfId="5651" xr:uid="{00000000-0005-0000-0000-0000451A0000}"/>
    <cellStyle name="Normal 5 3 4 3 3 3 2" xfId="14090" xr:uid="{DC7BADF9-DE57-489C-ADBB-4E8DFF828B54}"/>
    <cellStyle name="Normal 5 3 4 3 3 4" xfId="9872" xr:uid="{7CD5DF5D-7D5D-4283-BC42-F6D6708C58D5}"/>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6E89F4CC-747C-4BE3-A5F3-A2EA54C3A917}"/>
    <cellStyle name="Normal 5 3 4 3 4 2 3" xfId="12430" xr:uid="{B3ECB83F-074D-4659-8CDF-FFAB29423FDB}"/>
    <cellStyle name="Normal 5 3 4 3 4 3" xfId="6064" xr:uid="{00000000-0005-0000-0000-0000491A0000}"/>
    <cellStyle name="Normal 5 3 4 3 4 3 2" xfId="14503" xr:uid="{6771D9EF-1DEF-41AE-90AC-BF163744D657}"/>
    <cellStyle name="Normal 5 3 4 3 4 4" xfId="10285" xr:uid="{A1EA2DF0-FFC2-4B53-87CD-C21DC125D369}"/>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C75661D7-5538-4972-A6DF-FB7B6E6FE8BA}"/>
    <cellStyle name="Normal 5 3 4 3 5 2 3" xfId="12843" xr:uid="{5D3C7D01-0859-41C6-B7C1-EF5A18BCE6A8}"/>
    <cellStyle name="Normal 5 3 4 3 5 3" xfId="6477" xr:uid="{00000000-0005-0000-0000-00004D1A0000}"/>
    <cellStyle name="Normal 5 3 4 3 5 3 2" xfId="14916" xr:uid="{971A534D-F646-443B-9DD4-66E178DAE74A}"/>
    <cellStyle name="Normal 5 3 4 3 5 4" xfId="10698" xr:uid="{F8156B13-22D7-4B1D-A46D-AB4783C8FF11}"/>
    <cellStyle name="Normal 5 3 4 3 6" xfId="2606" xr:uid="{00000000-0005-0000-0000-00004E1A0000}"/>
    <cellStyle name="Normal 5 3 4 3 6 2" xfId="6890" xr:uid="{00000000-0005-0000-0000-00004F1A0000}"/>
    <cellStyle name="Normal 5 3 4 3 6 2 2" xfId="15329" xr:uid="{F7870198-AF81-4FEA-AD7C-D05382FABF4E}"/>
    <cellStyle name="Normal 5 3 4 3 6 3" xfId="11111" xr:uid="{728C9DBA-2424-4F63-AFC0-5B11BD3E375E}"/>
    <cellStyle name="Normal 5 3 4 3 7" xfId="4825" xr:uid="{00000000-0005-0000-0000-0000501A0000}"/>
    <cellStyle name="Normal 5 3 4 3 7 2" xfId="13264" xr:uid="{5C6B0200-9102-47CC-8D81-0D253C269674}"/>
    <cellStyle name="Normal 5 3 4 3 8" xfId="9046" xr:uid="{E42285A6-D607-4C12-9894-C3465BD9DB3A}"/>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78B2D911-4204-48F4-A075-4D5D9C4E0C88}"/>
    <cellStyle name="Normal 5 3 4 4 2 3" xfId="11601" xr:uid="{D5B5DE7C-D205-4225-B52F-DDD65AF8569E}"/>
    <cellStyle name="Normal 5 3 4 4 3" xfId="5235" xr:uid="{00000000-0005-0000-0000-0000541A0000}"/>
    <cellStyle name="Normal 5 3 4 4 3 2" xfId="13674" xr:uid="{C51751A3-E04A-4E5A-AB97-D45E1E06D207}"/>
    <cellStyle name="Normal 5 3 4 4 4" xfId="9456" xr:uid="{3017A131-D3A7-43D4-AE77-D2DCF928BD0D}"/>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ECD7AE16-3B43-4667-B2E0-0169D112558F}"/>
    <cellStyle name="Normal 5 3 4 5 2 3" xfId="12014" xr:uid="{53693682-2EC9-4DBE-9A1B-4BB10398AB4E}"/>
    <cellStyle name="Normal 5 3 4 5 3" xfId="5648" xr:uid="{00000000-0005-0000-0000-0000581A0000}"/>
    <cellStyle name="Normal 5 3 4 5 3 2" xfId="14087" xr:uid="{8B558C98-E73A-4D43-BABD-92C4A14CE4F8}"/>
    <cellStyle name="Normal 5 3 4 5 4" xfId="9869" xr:uid="{81D105DF-490B-4565-8BB3-05B45D9C8104}"/>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049CFBB9-A9E5-4C5D-9ACA-0606CEC29387}"/>
    <cellStyle name="Normal 5 3 4 6 2 3" xfId="12427" xr:uid="{B62B9900-430B-4E03-9FC5-C7D2CCEBDD48}"/>
    <cellStyle name="Normal 5 3 4 6 3" xfId="6061" xr:uid="{00000000-0005-0000-0000-00005C1A0000}"/>
    <cellStyle name="Normal 5 3 4 6 3 2" xfId="14500" xr:uid="{8420C9F9-FBF7-4EF5-A542-7A5D96C97FC6}"/>
    <cellStyle name="Normal 5 3 4 6 4" xfId="10282" xr:uid="{ABEC4470-8E8D-49F9-BF46-D2DAE306416D}"/>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A5B2AECA-A80B-4B77-A715-AC5BE7A16724}"/>
    <cellStyle name="Normal 5 3 4 7 2 3" xfId="12840" xr:uid="{7E33071F-DEE1-4831-AB48-CC7D9BC5BFAE}"/>
    <cellStyle name="Normal 5 3 4 7 3" xfId="6474" xr:uid="{00000000-0005-0000-0000-0000601A0000}"/>
    <cellStyle name="Normal 5 3 4 7 3 2" xfId="14913" xr:uid="{ACFD540B-1B79-4295-89E6-84FA758BCD68}"/>
    <cellStyle name="Normal 5 3 4 7 4" xfId="10695" xr:uid="{4CBB4E60-66ED-4738-A7E3-760D41A3EA6C}"/>
    <cellStyle name="Normal 5 3 4 8" xfId="2603" xr:uid="{00000000-0005-0000-0000-0000611A0000}"/>
    <cellStyle name="Normal 5 3 4 8 2" xfId="6887" xr:uid="{00000000-0005-0000-0000-0000621A0000}"/>
    <cellStyle name="Normal 5 3 4 8 2 2" xfId="15326" xr:uid="{C37E9B69-CD99-4A93-ADE5-81FC1E5450F7}"/>
    <cellStyle name="Normal 5 3 4 8 3" xfId="11108" xr:uid="{F35FF26D-8A6D-4112-9595-B8E982AD2DAB}"/>
    <cellStyle name="Normal 5 3 4 9" xfId="4822" xr:uid="{00000000-0005-0000-0000-0000631A0000}"/>
    <cellStyle name="Normal 5 3 4 9 2" xfId="13261" xr:uid="{593A2514-1832-4297-AABB-9A1173C4E9E5}"/>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A0504975-C003-4C87-8CE6-3EDA1B6C65DF}"/>
    <cellStyle name="Normal 5 3 5 2 2 2 3" xfId="11606" xr:uid="{EB5C85D9-703E-435D-B32B-7FC90ACEF896}"/>
    <cellStyle name="Normal 5 3 5 2 2 3" xfId="5240" xr:uid="{00000000-0005-0000-0000-0000691A0000}"/>
    <cellStyle name="Normal 5 3 5 2 2 3 2" xfId="13679" xr:uid="{013BBBD3-26EF-4797-9280-2C984E2E52C6}"/>
    <cellStyle name="Normal 5 3 5 2 2 4" xfId="9461" xr:uid="{65ED83B8-F858-43D7-8354-03A957744742}"/>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6EB1DDFF-FB38-454A-9DDD-BBDC0D3DEA1D}"/>
    <cellStyle name="Normal 5 3 5 2 3 2 3" xfId="12019" xr:uid="{96657F3C-4324-434D-9618-1DD7B2159E2E}"/>
    <cellStyle name="Normal 5 3 5 2 3 3" xfId="5653" xr:uid="{00000000-0005-0000-0000-00006D1A0000}"/>
    <cellStyle name="Normal 5 3 5 2 3 3 2" xfId="14092" xr:uid="{305205E9-8FD9-4F1F-886E-DBB084B54511}"/>
    <cellStyle name="Normal 5 3 5 2 3 4" xfId="9874" xr:uid="{C3A7273B-AF39-4E2E-8C35-FC5F47BED308}"/>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4289CD45-472E-4085-AD49-8E445B4A1B54}"/>
    <cellStyle name="Normal 5 3 5 2 4 2 3" xfId="12432" xr:uid="{DF97B98B-3CA3-4706-9D45-8092897C3A55}"/>
    <cellStyle name="Normal 5 3 5 2 4 3" xfId="6066" xr:uid="{00000000-0005-0000-0000-0000711A0000}"/>
    <cellStyle name="Normal 5 3 5 2 4 3 2" xfId="14505" xr:uid="{A0E5C6C3-3158-4BB6-8349-C81C0424E15E}"/>
    <cellStyle name="Normal 5 3 5 2 4 4" xfId="10287" xr:uid="{7856161F-BE87-4863-AF82-B8884A915D4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17D68673-1C57-4831-889E-77E5E6C892F8}"/>
    <cellStyle name="Normal 5 3 5 2 5 2 3" xfId="12845" xr:uid="{6F520887-56D4-4F1D-AF60-0657E1829C48}"/>
    <cellStyle name="Normal 5 3 5 2 5 3" xfId="6479" xr:uid="{00000000-0005-0000-0000-0000751A0000}"/>
    <cellStyle name="Normal 5 3 5 2 5 3 2" xfId="14918" xr:uid="{8E4E22E8-39BE-46B0-9C4A-3C7547FE2CFA}"/>
    <cellStyle name="Normal 5 3 5 2 5 4" xfId="10700" xr:uid="{1194F59B-8E8A-4D65-8CC7-7608CAED2159}"/>
    <cellStyle name="Normal 5 3 5 2 6" xfId="2608" xr:uid="{00000000-0005-0000-0000-0000761A0000}"/>
    <cellStyle name="Normal 5 3 5 2 6 2" xfId="6892" xr:uid="{00000000-0005-0000-0000-0000771A0000}"/>
    <cellStyle name="Normal 5 3 5 2 6 2 2" xfId="15331" xr:uid="{EAE6674A-E770-4DDC-8FF5-6177072CB042}"/>
    <cellStyle name="Normal 5 3 5 2 6 3" xfId="11113" xr:uid="{78B9410F-7B05-4FFB-9FE2-F5741F978034}"/>
    <cellStyle name="Normal 5 3 5 2 7" xfId="4827" xr:uid="{00000000-0005-0000-0000-0000781A0000}"/>
    <cellStyle name="Normal 5 3 5 2 7 2" xfId="13266" xr:uid="{250BEEEF-3EAF-458E-842D-BF3C6E900B31}"/>
    <cellStyle name="Normal 5 3 5 2 8" xfId="9048" xr:uid="{CA109AFB-AA4E-4C4B-A601-C693734C2270}"/>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1C177864-0378-45C9-9B97-86810B689A52}"/>
    <cellStyle name="Normal 5 3 5 3 2 3" xfId="11605" xr:uid="{EA74BC42-FC8D-4A73-B866-1860E5DD62B8}"/>
    <cellStyle name="Normal 5 3 5 3 3" xfId="5239" xr:uid="{00000000-0005-0000-0000-00007C1A0000}"/>
    <cellStyle name="Normal 5 3 5 3 3 2" xfId="13678" xr:uid="{7D09BA9E-C6DF-4DF7-A171-A09F07E23EA5}"/>
    <cellStyle name="Normal 5 3 5 3 4" xfId="9460" xr:uid="{62291E8A-594B-47FA-BBF0-23FE4F609E14}"/>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7E4B7737-E774-46A6-97EE-D85DF13B4596}"/>
    <cellStyle name="Normal 5 3 5 4 2 3" xfId="12018" xr:uid="{54D29691-5F4C-4433-88E3-237C6AD47286}"/>
    <cellStyle name="Normal 5 3 5 4 3" xfId="5652" xr:uid="{00000000-0005-0000-0000-0000801A0000}"/>
    <cellStyle name="Normal 5 3 5 4 3 2" xfId="14091" xr:uid="{C3A15081-256A-4728-ABD7-033EEC866772}"/>
    <cellStyle name="Normal 5 3 5 4 4" xfId="9873" xr:uid="{B26A89B4-B3FB-45CE-926C-2254C5D8D95B}"/>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1CD5418C-1914-42D8-8DE8-5F1ADF287713}"/>
    <cellStyle name="Normal 5 3 5 5 2 3" xfId="12431" xr:uid="{DB91FA31-2086-4296-9910-CDE3F1C0C044}"/>
    <cellStyle name="Normal 5 3 5 5 3" xfId="6065" xr:uid="{00000000-0005-0000-0000-0000841A0000}"/>
    <cellStyle name="Normal 5 3 5 5 3 2" xfId="14504" xr:uid="{BAB08A99-4BAF-410B-92C1-B4F181236300}"/>
    <cellStyle name="Normal 5 3 5 5 4" xfId="10286" xr:uid="{C98F8858-EDE4-441F-8AA6-35642C81428C}"/>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D29902D4-74A8-41BF-A812-CBF9C84636F1}"/>
    <cellStyle name="Normal 5 3 5 6 2 3" xfId="12844" xr:uid="{F3967805-23D3-44D1-99D3-CA9E38914398}"/>
    <cellStyle name="Normal 5 3 5 6 3" xfId="6478" xr:uid="{00000000-0005-0000-0000-0000881A0000}"/>
    <cellStyle name="Normal 5 3 5 6 3 2" xfId="14917" xr:uid="{7A89A3F5-30FB-4CD8-B640-9A645F497A37}"/>
    <cellStyle name="Normal 5 3 5 6 4" xfId="10699" xr:uid="{5B075E04-E557-489B-9418-783C32CB5BFD}"/>
    <cellStyle name="Normal 5 3 5 7" xfId="2607" xr:uid="{00000000-0005-0000-0000-0000891A0000}"/>
    <cellStyle name="Normal 5 3 5 7 2" xfId="6891" xr:uid="{00000000-0005-0000-0000-00008A1A0000}"/>
    <cellStyle name="Normal 5 3 5 7 2 2" xfId="15330" xr:uid="{511998A8-3EF9-4799-A564-026B1BC4E62C}"/>
    <cellStyle name="Normal 5 3 5 7 3" xfId="11112" xr:uid="{46034229-CD01-44FB-88D8-2B061FB0C94A}"/>
    <cellStyle name="Normal 5 3 5 8" xfId="4826" xr:uid="{00000000-0005-0000-0000-00008B1A0000}"/>
    <cellStyle name="Normal 5 3 5 8 2" xfId="13265" xr:uid="{E9C8C5F7-2FC2-4666-95A7-91999C2F1E0A}"/>
    <cellStyle name="Normal 5 3 5 9" xfId="9047" xr:uid="{82C6F595-E2C3-44DC-A48D-2905E77A89C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6653B2CF-AA79-459A-AE03-859ABEDECD8A}"/>
    <cellStyle name="Normal 5 3 6 2 2 3" xfId="11607" xr:uid="{C787512A-C817-4E90-83A1-091862CEBA8E}"/>
    <cellStyle name="Normal 5 3 6 2 3" xfId="5241" xr:uid="{00000000-0005-0000-0000-0000901A0000}"/>
    <cellStyle name="Normal 5 3 6 2 3 2" xfId="13680" xr:uid="{56081564-E305-4AA5-829E-AB19FFB3479D}"/>
    <cellStyle name="Normal 5 3 6 2 4" xfId="9462" xr:uid="{89823796-3355-42C6-8ADE-1E9FD0F31A7C}"/>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7863D323-C09D-4D11-84DA-2404D4D2FC94}"/>
    <cellStyle name="Normal 5 3 6 3 2 3" xfId="12020" xr:uid="{E07D7FE4-7E3E-476A-9308-620ED5999B9E}"/>
    <cellStyle name="Normal 5 3 6 3 3" xfId="5654" xr:uid="{00000000-0005-0000-0000-0000941A0000}"/>
    <cellStyle name="Normal 5 3 6 3 3 2" xfId="14093" xr:uid="{B9477583-A3E3-439F-9EDF-CE3F1158B47B}"/>
    <cellStyle name="Normal 5 3 6 3 4" xfId="9875" xr:uid="{3722CD8A-3581-47C4-A56A-95443D8BCCFA}"/>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14E4A2AF-9ADA-4F14-AFBE-71EFAAAD627F}"/>
    <cellStyle name="Normal 5 3 6 4 2 3" xfId="12433" xr:uid="{B59A7D18-7D59-49ED-94A5-A09BACAD66A4}"/>
    <cellStyle name="Normal 5 3 6 4 3" xfId="6067" xr:uid="{00000000-0005-0000-0000-0000981A0000}"/>
    <cellStyle name="Normal 5 3 6 4 3 2" xfId="14506" xr:uid="{430246F9-6501-4020-B3B8-73AB161FE267}"/>
    <cellStyle name="Normal 5 3 6 4 4" xfId="10288" xr:uid="{FD3D61EF-A2A5-47BD-992E-0428D6E87723}"/>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ACE2CF97-7E00-42C6-9146-2C01D7FC37FE}"/>
    <cellStyle name="Normal 5 3 6 5 2 3" xfId="12846" xr:uid="{D3FF4CD7-3CBD-4F8F-9B34-58A80359B192}"/>
    <cellStyle name="Normal 5 3 6 5 3" xfId="6480" xr:uid="{00000000-0005-0000-0000-00009C1A0000}"/>
    <cellStyle name="Normal 5 3 6 5 3 2" xfId="14919" xr:uid="{943AA6A2-BCA9-47A9-A5C5-CD6BFF702444}"/>
    <cellStyle name="Normal 5 3 6 5 4" xfId="10701" xr:uid="{3C715BEB-1D08-48D6-A519-2B5D007D053A}"/>
    <cellStyle name="Normal 5 3 6 6" xfId="2609" xr:uid="{00000000-0005-0000-0000-00009D1A0000}"/>
    <cellStyle name="Normal 5 3 6 6 2" xfId="6893" xr:uid="{00000000-0005-0000-0000-00009E1A0000}"/>
    <cellStyle name="Normal 5 3 6 6 2 2" xfId="15332" xr:uid="{25396C9A-6E5A-4D77-9791-2E3E8050DF20}"/>
    <cellStyle name="Normal 5 3 6 6 3" xfId="11114" xr:uid="{1554357C-88B9-49C4-A0C5-EE01654AC337}"/>
    <cellStyle name="Normal 5 3 6 7" xfId="4828" xr:uid="{00000000-0005-0000-0000-00009F1A0000}"/>
    <cellStyle name="Normal 5 3 6 7 2" xfId="13267" xr:uid="{84537594-C7BC-4F05-B78F-C4162A6C3C75}"/>
    <cellStyle name="Normal 5 3 6 8" xfId="9049" xr:uid="{91E1C2A6-A21B-4D05-9406-7F4C64D5863F}"/>
    <cellStyle name="Normal 5 3 7" xfId="913" xr:uid="{00000000-0005-0000-0000-0000A01A0000}"/>
    <cellStyle name="Normal 5 3 7 2" xfId="3148" xr:uid="{00000000-0005-0000-0000-0000A11A0000}"/>
    <cellStyle name="Normal 5 3 7 2 2" xfId="7371" xr:uid="{00000000-0005-0000-0000-0000A21A0000}"/>
    <cellStyle name="Normal 5 3 7 2 2 2" xfId="15810" xr:uid="{EB254D6C-381F-444F-AFFA-8C5583913404}"/>
    <cellStyle name="Normal 5 3 7 2 3" xfId="11592" xr:uid="{65638DF2-6F2E-4916-80C1-88BD631CF182}"/>
    <cellStyle name="Normal 5 3 7 3" xfId="5226" xr:uid="{00000000-0005-0000-0000-0000A31A0000}"/>
    <cellStyle name="Normal 5 3 7 3 2" xfId="13665" xr:uid="{825BD5EE-CA59-43EE-94B9-E1B97B50AE23}"/>
    <cellStyle name="Normal 5 3 7 4" xfId="9447" xr:uid="{4C72ABA0-CCBB-4150-A8E4-25784DE59B0A}"/>
    <cellStyle name="Normal 5 3 8" xfId="1331" xr:uid="{00000000-0005-0000-0000-0000A41A0000}"/>
    <cellStyle name="Normal 5 3 8 2" xfId="3561" xr:uid="{00000000-0005-0000-0000-0000A51A0000}"/>
    <cellStyle name="Normal 5 3 8 2 2" xfId="7784" xr:uid="{00000000-0005-0000-0000-0000A61A0000}"/>
    <cellStyle name="Normal 5 3 8 2 2 2" xfId="16223" xr:uid="{A2CBA79D-878F-4861-ACE6-59E58759E8B4}"/>
    <cellStyle name="Normal 5 3 8 2 3" xfId="12005" xr:uid="{CC839CEB-57F5-432C-AA95-84D71D02191C}"/>
    <cellStyle name="Normal 5 3 8 3" xfId="5639" xr:uid="{00000000-0005-0000-0000-0000A71A0000}"/>
    <cellStyle name="Normal 5 3 8 3 2" xfId="14078" xr:uid="{CB918996-2F56-472A-B8E9-4B411F8F6DA7}"/>
    <cellStyle name="Normal 5 3 8 4" xfId="9860" xr:uid="{5F093B27-95D7-49B8-AD1E-576AD3B86EB9}"/>
    <cellStyle name="Normal 5 3 9" xfId="1744" xr:uid="{00000000-0005-0000-0000-0000A81A0000}"/>
    <cellStyle name="Normal 5 3 9 2" xfId="3974" xr:uid="{00000000-0005-0000-0000-0000A91A0000}"/>
    <cellStyle name="Normal 5 3 9 2 2" xfId="8197" xr:uid="{00000000-0005-0000-0000-0000AA1A0000}"/>
    <cellStyle name="Normal 5 3 9 2 2 2" xfId="16636" xr:uid="{C3A4A99A-0A25-42DE-9556-7BB35DCA6547}"/>
    <cellStyle name="Normal 5 3 9 2 3" xfId="12418" xr:uid="{079E92F6-04F1-4E60-AA7E-443AE5012374}"/>
    <cellStyle name="Normal 5 3 9 3" xfId="6052" xr:uid="{00000000-0005-0000-0000-0000AB1A0000}"/>
    <cellStyle name="Normal 5 3 9 3 2" xfId="14491" xr:uid="{05214699-0DE0-41A7-8042-D31FF78F07C7}"/>
    <cellStyle name="Normal 5 3 9 4" xfId="10273" xr:uid="{9AB87657-F0EA-45E6-9F35-AE5DD94DAAA5}"/>
    <cellStyle name="Normal 5 4" xfId="456" xr:uid="{00000000-0005-0000-0000-0000AC1A0000}"/>
    <cellStyle name="Normal 5 4 10" xfId="4829" xr:uid="{00000000-0005-0000-0000-0000AD1A0000}"/>
    <cellStyle name="Normal 5 4 10 2" xfId="13268" xr:uid="{7163B5AB-8634-4228-AD56-82F6EB01658F}"/>
    <cellStyle name="Normal 5 4 11" xfId="9050" xr:uid="{59982510-191E-4F71-BABB-78CC4BBA7DB0}"/>
    <cellStyle name="Normal 5 4 2" xfId="457" xr:uid="{00000000-0005-0000-0000-0000AE1A0000}"/>
    <cellStyle name="Normal 5 4 2 10" xfId="9051" xr:uid="{30729134-3598-4875-800F-BFFC76C0BA85}"/>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46762134-A6C1-4BD2-B3A8-018A1E860952}"/>
    <cellStyle name="Normal 5 4 2 2 2 2 2 3" xfId="11611" xr:uid="{4E79A767-5D06-4AA1-BA0B-CC82225532A8}"/>
    <cellStyle name="Normal 5 4 2 2 2 2 3" xfId="5245" xr:uid="{00000000-0005-0000-0000-0000B41A0000}"/>
    <cellStyle name="Normal 5 4 2 2 2 2 3 2" xfId="13684" xr:uid="{7B6D7B26-1327-4BA1-847B-85D533957251}"/>
    <cellStyle name="Normal 5 4 2 2 2 2 4" xfId="9466" xr:uid="{0C3BE5BB-F570-4301-AF66-45DEFA8E16FA}"/>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A501C71C-DDC8-4DE0-B569-253601EA4CAF}"/>
    <cellStyle name="Normal 5 4 2 2 2 3 2 3" xfId="12024" xr:uid="{3DEEA3FD-A53B-4FDA-84D9-D6011EB006AC}"/>
    <cellStyle name="Normal 5 4 2 2 2 3 3" xfId="5658" xr:uid="{00000000-0005-0000-0000-0000B81A0000}"/>
    <cellStyle name="Normal 5 4 2 2 2 3 3 2" xfId="14097" xr:uid="{52AB98A5-4C0B-4925-9EC4-863080A8E6BC}"/>
    <cellStyle name="Normal 5 4 2 2 2 3 4" xfId="9879" xr:uid="{F458092F-567F-4B88-9E6C-43B044062A5E}"/>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B492FA02-DF23-427F-939E-00D6294E62EE}"/>
    <cellStyle name="Normal 5 4 2 2 2 4 2 3" xfId="12437" xr:uid="{E00D0182-D389-45B0-943E-46EA28BEA828}"/>
    <cellStyle name="Normal 5 4 2 2 2 4 3" xfId="6071" xr:uid="{00000000-0005-0000-0000-0000BC1A0000}"/>
    <cellStyle name="Normal 5 4 2 2 2 4 3 2" xfId="14510" xr:uid="{C3AD980F-64FE-4E94-9505-318BA08254E0}"/>
    <cellStyle name="Normal 5 4 2 2 2 4 4" xfId="10292" xr:uid="{5B0591FB-3E7B-4FFA-AB16-561F1C230C29}"/>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A14C0BE4-A08C-442C-9089-1E965785186E}"/>
    <cellStyle name="Normal 5 4 2 2 2 5 2 3" xfId="12850" xr:uid="{EF088AD3-9951-4A35-9783-9AFA0DA2D409}"/>
    <cellStyle name="Normal 5 4 2 2 2 5 3" xfId="6484" xr:uid="{00000000-0005-0000-0000-0000C01A0000}"/>
    <cellStyle name="Normal 5 4 2 2 2 5 3 2" xfId="14923" xr:uid="{E6B3168C-4A57-451A-A2FD-9EFB2544772A}"/>
    <cellStyle name="Normal 5 4 2 2 2 5 4" xfId="10705" xr:uid="{86CABE67-E1F7-486F-AE01-563EFA819C63}"/>
    <cellStyle name="Normal 5 4 2 2 2 6" xfId="2613" xr:uid="{00000000-0005-0000-0000-0000C11A0000}"/>
    <cellStyle name="Normal 5 4 2 2 2 6 2" xfId="6897" xr:uid="{00000000-0005-0000-0000-0000C21A0000}"/>
    <cellStyle name="Normal 5 4 2 2 2 6 2 2" xfId="15336" xr:uid="{D96BCBD2-777C-4F3A-9B38-07CE2DF6074B}"/>
    <cellStyle name="Normal 5 4 2 2 2 6 3" xfId="11118" xr:uid="{B6C1AC9B-D144-4579-8855-D6DE26169309}"/>
    <cellStyle name="Normal 5 4 2 2 2 7" xfId="4832" xr:uid="{00000000-0005-0000-0000-0000C31A0000}"/>
    <cellStyle name="Normal 5 4 2 2 2 7 2" xfId="13271" xr:uid="{DE57B188-3844-4D4C-BCB7-040E90359813}"/>
    <cellStyle name="Normal 5 4 2 2 2 8" xfId="9053" xr:uid="{6B2F4728-D793-42B4-8C70-7555747F0685}"/>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ADFB2D3C-ACD4-42F6-8876-A38C766BB51D}"/>
    <cellStyle name="Normal 5 4 2 2 3 2 3" xfId="11610" xr:uid="{3F557BA5-F0B1-48F4-9696-A2769F33D599}"/>
    <cellStyle name="Normal 5 4 2 2 3 3" xfId="5244" xr:uid="{00000000-0005-0000-0000-0000C71A0000}"/>
    <cellStyle name="Normal 5 4 2 2 3 3 2" xfId="13683" xr:uid="{2032A0A1-E504-4BA1-B56D-E11A745B1677}"/>
    <cellStyle name="Normal 5 4 2 2 3 4" xfId="9465" xr:uid="{DED9BB33-C0D7-4174-9A48-4090604A5D54}"/>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85E95A35-B27B-4431-BC29-06F977C80922}"/>
    <cellStyle name="Normal 5 4 2 2 4 2 3" xfId="12023" xr:uid="{BDCCB7AA-DF8D-46AC-BE22-BB28CE6CA202}"/>
    <cellStyle name="Normal 5 4 2 2 4 3" xfId="5657" xr:uid="{00000000-0005-0000-0000-0000CB1A0000}"/>
    <cellStyle name="Normal 5 4 2 2 4 3 2" xfId="14096" xr:uid="{43556CE0-0B9A-4249-B650-3F8B84623A66}"/>
    <cellStyle name="Normal 5 4 2 2 4 4" xfId="9878" xr:uid="{46B24328-7664-41FE-8D21-578498E2A925}"/>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58ACD9E5-9A36-4579-8046-47EC964E9E39}"/>
    <cellStyle name="Normal 5 4 2 2 5 2 3" xfId="12436" xr:uid="{F756C732-732E-4E9E-83BD-94CBAA2DD0F0}"/>
    <cellStyle name="Normal 5 4 2 2 5 3" xfId="6070" xr:uid="{00000000-0005-0000-0000-0000CF1A0000}"/>
    <cellStyle name="Normal 5 4 2 2 5 3 2" xfId="14509" xr:uid="{CA69EBA7-342A-4DF9-8B6F-096EE66A266E}"/>
    <cellStyle name="Normal 5 4 2 2 5 4" xfId="10291" xr:uid="{DBCA7795-3ED8-40E9-A403-6D3466DAFB60}"/>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5FF55A47-376B-4DBB-8609-566D0074A576}"/>
    <cellStyle name="Normal 5 4 2 2 6 2 3" xfId="12849" xr:uid="{8E091A64-1760-4BAA-86C6-D6F0C120755B}"/>
    <cellStyle name="Normal 5 4 2 2 6 3" xfId="6483" xr:uid="{00000000-0005-0000-0000-0000D31A0000}"/>
    <cellStyle name="Normal 5 4 2 2 6 3 2" xfId="14922" xr:uid="{42942696-FF7C-47D2-A1A2-EEB027FAE1EA}"/>
    <cellStyle name="Normal 5 4 2 2 6 4" xfId="10704" xr:uid="{6952D60B-5A88-46D5-8F25-8F9DA18F9B0D}"/>
    <cellStyle name="Normal 5 4 2 2 7" xfId="2612" xr:uid="{00000000-0005-0000-0000-0000D41A0000}"/>
    <cellStyle name="Normal 5 4 2 2 7 2" xfId="6896" xr:uid="{00000000-0005-0000-0000-0000D51A0000}"/>
    <cellStyle name="Normal 5 4 2 2 7 2 2" xfId="15335" xr:uid="{18979B93-622A-40E7-8309-073D03B4CEC7}"/>
    <cellStyle name="Normal 5 4 2 2 7 3" xfId="11117" xr:uid="{E40A1336-357B-41C6-99E8-43F271ECAFB4}"/>
    <cellStyle name="Normal 5 4 2 2 8" xfId="4831" xr:uid="{00000000-0005-0000-0000-0000D61A0000}"/>
    <cellStyle name="Normal 5 4 2 2 8 2" xfId="13270" xr:uid="{A0FD92B7-D6F6-44AC-B917-909E093F7797}"/>
    <cellStyle name="Normal 5 4 2 2 9" xfId="9052" xr:uid="{C7DE3AD1-FA18-4610-ACC8-E02F0E6F376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302A4EB8-8069-4663-9664-C68C4831C846}"/>
    <cellStyle name="Normal 5 4 2 3 2 2 3" xfId="11612" xr:uid="{0087AAE2-79AA-4F51-AC3F-91904E9E09EC}"/>
    <cellStyle name="Normal 5 4 2 3 2 3" xfId="5246" xr:uid="{00000000-0005-0000-0000-0000DB1A0000}"/>
    <cellStyle name="Normal 5 4 2 3 2 3 2" xfId="13685" xr:uid="{CE492D86-5859-4B84-8EE0-E7A802E9CFBA}"/>
    <cellStyle name="Normal 5 4 2 3 2 4" xfId="9467" xr:uid="{DFB33096-64DD-4D4A-8F3B-F3FC2D483C79}"/>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4CF50968-5B0C-4862-B53D-15AC73E50E79}"/>
    <cellStyle name="Normal 5 4 2 3 3 2 3" xfId="12025" xr:uid="{20F09B13-2F00-4270-89A9-9B9B0AFE94A4}"/>
    <cellStyle name="Normal 5 4 2 3 3 3" xfId="5659" xr:uid="{00000000-0005-0000-0000-0000DF1A0000}"/>
    <cellStyle name="Normal 5 4 2 3 3 3 2" xfId="14098" xr:uid="{6F5DF862-47C3-4F2C-BF03-D35BCFD39973}"/>
    <cellStyle name="Normal 5 4 2 3 3 4" xfId="9880" xr:uid="{0EC5E5BF-60F8-4708-8E96-C795415DAE71}"/>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96C0CB12-E5CC-4994-AC7A-CEE23BAADCCA}"/>
    <cellStyle name="Normal 5 4 2 3 4 2 3" xfId="12438" xr:uid="{C35865C8-A507-463B-B425-47E04AAFC231}"/>
    <cellStyle name="Normal 5 4 2 3 4 3" xfId="6072" xr:uid="{00000000-0005-0000-0000-0000E31A0000}"/>
    <cellStyle name="Normal 5 4 2 3 4 3 2" xfId="14511" xr:uid="{26C6268B-DE91-4335-8830-E7957EB01D81}"/>
    <cellStyle name="Normal 5 4 2 3 4 4" xfId="10293" xr:uid="{5D13EB2F-4C03-458C-87FF-F917B0B16386}"/>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51CB77BC-F848-4EDB-8C78-3B2143C3D3D6}"/>
    <cellStyle name="Normal 5 4 2 3 5 2 3" xfId="12851" xr:uid="{E148DCFD-03F4-4FDD-AB93-5A110F3377F4}"/>
    <cellStyle name="Normal 5 4 2 3 5 3" xfId="6485" xr:uid="{00000000-0005-0000-0000-0000E71A0000}"/>
    <cellStyle name="Normal 5 4 2 3 5 3 2" xfId="14924" xr:uid="{2B7D8264-9986-43BE-8731-5B16A0D9E91D}"/>
    <cellStyle name="Normal 5 4 2 3 5 4" xfId="10706" xr:uid="{C5B47C5B-B9F4-40D1-81A7-0F523A1B2A50}"/>
    <cellStyle name="Normal 5 4 2 3 6" xfId="2614" xr:uid="{00000000-0005-0000-0000-0000E81A0000}"/>
    <cellStyle name="Normal 5 4 2 3 6 2" xfId="6898" xr:uid="{00000000-0005-0000-0000-0000E91A0000}"/>
    <cellStyle name="Normal 5 4 2 3 6 2 2" xfId="15337" xr:uid="{1BF1DBB8-4696-403E-8CE7-A9F9C3C4AC84}"/>
    <cellStyle name="Normal 5 4 2 3 6 3" xfId="11119" xr:uid="{2E48ACF7-40E8-4C5D-8EE7-E9213AA8B3E0}"/>
    <cellStyle name="Normal 5 4 2 3 7" xfId="4833" xr:uid="{00000000-0005-0000-0000-0000EA1A0000}"/>
    <cellStyle name="Normal 5 4 2 3 7 2" xfId="13272" xr:uid="{5F9FACBF-CF39-4AF3-9372-A90882C250DE}"/>
    <cellStyle name="Normal 5 4 2 3 8" xfId="9054" xr:uid="{B367CF01-8FED-4EDD-994E-D4AD08836963}"/>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455BF50F-19C3-488B-AF0A-96D141F3053B}"/>
    <cellStyle name="Normal 5 4 2 4 2 3" xfId="11609" xr:uid="{0F8A535B-726D-457E-AA2B-2E9E650B9BF9}"/>
    <cellStyle name="Normal 5 4 2 4 3" xfId="5243" xr:uid="{00000000-0005-0000-0000-0000EE1A0000}"/>
    <cellStyle name="Normal 5 4 2 4 3 2" xfId="13682" xr:uid="{52CCC96A-BF61-4C18-AEE6-E70339D3DCAF}"/>
    <cellStyle name="Normal 5 4 2 4 4" xfId="9464" xr:uid="{4B883124-BBAF-4AF2-98BC-A92B1DC3017E}"/>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34D11A93-17BB-4DEC-9201-1A2AB0E6AB76}"/>
    <cellStyle name="Normal 5 4 2 5 2 3" xfId="12022" xr:uid="{AEE6621B-79CA-4909-80E4-1CF4AFCD7ADC}"/>
    <cellStyle name="Normal 5 4 2 5 3" xfId="5656" xr:uid="{00000000-0005-0000-0000-0000F21A0000}"/>
    <cellStyle name="Normal 5 4 2 5 3 2" xfId="14095" xr:uid="{9387A6B6-3696-41B3-8A8F-C755D9E5A7AD}"/>
    <cellStyle name="Normal 5 4 2 5 4" xfId="9877" xr:uid="{2B21B0BB-807E-4FCA-B436-229C002D6A5B}"/>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09F516BE-1BC9-44F4-8C70-5F0AC0E8BC80}"/>
    <cellStyle name="Normal 5 4 2 6 2 3" xfId="12435" xr:uid="{CD8188D8-8F0E-4663-88B3-8207B6D417DC}"/>
    <cellStyle name="Normal 5 4 2 6 3" xfId="6069" xr:uid="{00000000-0005-0000-0000-0000F61A0000}"/>
    <cellStyle name="Normal 5 4 2 6 3 2" xfId="14508" xr:uid="{BC13E994-94F9-440C-B4A8-7F69AE1F5D7B}"/>
    <cellStyle name="Normal 5 4 2 6 4" xfId="10290" xr:uid="{4477326B-BBBA-451C-9954-0AE44ECE6BF2}"/>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1B4E25F7-5CA2-4545-A768-F5E7717B6A5F}"/>
    <cellStyle name="Normal 5 4 2 7 2 3" xfId="12848" xr:uid="{E8BF01E5-17B1-4B5B-8DD2-15E81B52D10C}"/>
    <cellStyle name="Normal 5 4 2 7 3" xfId="6482" xr:uid="{00000000-0005-0000-0000-0000FA1A0000}"/>
    <cellStyle name="Normal 5 4 2 7 3 2" xfId="14921" xr:uid="{03173213-2376-4965-88CB-374DB4D8F2FE}"/>
    <cellStyle name="Normal 5 4 2 7 4" xfId="10703" xr:uid="{2763613B-82B3-4A92-8469-E048C56F7D38}"/>
    <cellStyle name="Normal 5 4 2 8" xfId="2611" xr:uid="{00000000-0005-0000-0000-0000FB1A0000}"/>
    <cellStyle name="Normal 5 4 2 8 2" xfId="6895" xr:uid="{00000000-0005-0000-0000-0000FC1A0000}"/>
    <cellStyle name="Normal 5 4 2 8 2 2" xfId="15334" xr:uid="{E7727688-0FF3-4D5F-9465-098D74361128}"/>
    <cellStyle name="Normal 5 4 2 8 3" xfId="11116" xr:uid="{AEF3D71D-6428-4B62-96D3-266FCE79463C}"/>
    <cellStyle name="Normal 5 4 2 9" xfId="4830" xr:uid="{00000000-0005-0000-0000-0000FD1A0000}"/>
    <cellStyle name="Normal 5 4 2 9 2" xfId="13269" xr:uid="{35BF0FB2-91CD-4C58-96EF-A87EAA6AB02C}"/>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BE5E1D09-E4EC-4949-A2EF-54A143ABDE2E}"/>
    <cellStyle name="Normal 5 4 3 2 2 2 3" xfId="11614" xr:uid="{D4B314AB-2C76-4FB6-B3E4-E7BA65248639}"/>
    <cellStyle name="Normal 5 4 3 2 2 3" xfId="5248" xr:uid="{00000000-0005-0000-0000-0000031B0000}"/>
    <cellStyle name="Normal 5 4 3 2 2 3 2" xfId="13687" xr:uid="{D4E2BCB4-516B-4BBD-BD9C-0FF2589E2B4A}"/>
    <cellStyle name="Normal 5 4 3 2 2 4" xfId="9469" xr:uid="{B9DA2C0C-C51F-4F4E-BC46-181D54275217}"/>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7911F29A-9F91-43C2-B937-4C21DA1A5D4B}"/>
    <cellStyle name="Normal 5 4 3 2 3 2 3" xfId="12027" xr:uid="{8E2FFC29-4048-4514-A684-A931F21CAAFE}"/>
    <cellStyle name="Normal 5 4 3 2 3 3" xfId="5661" xr:uid="{00000000-0005-0000-0000-0000071B0000}"/>
    <cellStyle name="Normal 5 4 3 2 3 3 2" xfId="14100" xr:uid="{E362B5DD-35F8-40C0-9A63-506698060712}"/>
    <cellStyle name="Normal 5 4 3 2 3 4" xfId="9882" xr:uid="{81DE84A7-371F-4D6E-BFA9-8D3F9888B2A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87FA59C9-516C-4239-B696-A0DD1B2AAE5C}"/>
    <cellStyle name="Normal 5 4 3 2 4 2 3" xfId="12440" xr:uid="{E7C9C090-3DD9-4448-A338-8464484B14BC}"/>
    <cellStyle name="Normal 5 4 3 2 4 3" xfId="6074" xr:uid="{00000000-0005-0000-0000-00000B1B0000}"/>
    <cellStyle name="Normal 5 4 3 2 4 3 2" xfId="14513" xr:uid="{6709A06E-C2E2-4C0C-9611-BA2CAC1AB139}"/>
    <cellStyle name="Normal 5 4 3 2 4 4" xfId="10295" xr:uid="{1234078F-6C37-4B4D-94CB-0F0AB6D46E51}"/>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0152AB7F-143F-4DF6-B421-7DFD5A3187E8}"/>
    <cellStyle name="Normal 5 4 3 2 5 2 3" xfId="12853" xr:uid="{4C3278A4-0E12-4F18-9CFE-7936922851E8}"/>
    <cellStyle name="Normal 5 4 3 2 5 3" xfId="6487" xr:uid="{00000000-0005-0000-0000-00000F1B0000}"/>
    <cellStyle name="Normal 5 4 3 2 5 3 2" xfId="14926" xr:uid="{AEBB080E-9E78-4EDD-BD83-0EAC0D3C1C73}"/>
    <cellStyle name="Normal 5 4 3 2 5 4" xfId="10708" xr:uid="{EDCF6C10-DD1E-4932-9575-C40BDC32BBF3}"/>
    <cellStyle name="Normal 5 4 3 2 6" xfId="2616" xr:uid="{00000000-0005-0000-0000-0000101B0000}"/>
    <cellStyle name="Normal 5 4 3 2 6 2" xfId="6900" xr:uid="{00000000-0005-0000-0000-0000111B0000}"/>
    <cellStyle name="Normal 5 4 3 2 6 2 2" xfId="15339" xr:uid="{FC710A53-8204-4807-B96C-5C778D9DBDC4}"/>
    <cellStyle name="Normal 5 4 3 2 6 3" xfId="11121" xr:uid="{ACE83EB3-BAD5-4ABC-B3BB-4CEA59F1C842}"/>
    <cellStyle name="Normal 5 4 3 2 7" xfId="4835" xr:uid="{00000000-0005-0000-0000-0000121B0000}"/>
    <cellStyle name="Normal 5 4 3 2 7 2" xfId="13274" xr:uid="{54BACE6D-1AF4-42F4-B7F0-0981F370343B}"/>
    <cellStyle name="Normal 5 4 3 2 8" xfId="9056" xr:uid="{75806766-10C6-4B34-9015-4E6D8C5EA583}"/>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514399BC-B177-4C5F-94D8-B621E6A29096}"/>
    <cellStyle name="Normal 5 4 3 3 2 3" xfId="11613" xr:uid="{7F6415EE-786B-4B64-B5A0-458DA771B10F}"/>
    <cellStyle name="Normal 5 4 3 3 3" xfId="5247" xr:uid="{00000000-0005-0000-0000-0000161B0000}"/>
    <cellStyle name="Normal 5 4 3 3 3 2" xfId="13686" xr:uid="{D4A69DF0-29DD-4A45-A145-666106AEB538}"/>
    <cellStyle name="Normal 5 4 3 3 4" xfId="9468" xr:uid="{51ACC5CB-A504-4989-A50F-A7E6A14CF41F}"/>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30401761-7993-4435-B41A-EE82331E83FE}"/>
    <cellStyle name="Normal 5 4 3 4 2 3" xfId="12026" xr:uid="{8F798B6F-4462-4E71-8BF1-0D07B70B4536}"/>
    <cellStyle name="Normal 5 4 3 4 3" xfId="5660" xr:uid="{00000000-0005-0000-0000-00001A1B0000}"/>
    <cellStyle name="Normal 5 4 3 4 3 2" xfId="14099" xr:uid="{7B767561-0B4C-4BEF-B9D0-B2FC8F40DFFE}"/>
    <cellStyle name="Normal 5 4 3 4 4" xfId="9881" xr:uid="{10D6A44B-8A5A-4AC4-A9B3-33E836FFC4BC}"/>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35EEF4C6-9A8E-4A6E-BC08-4C62F9AB48B2}"/>
    <cellStyle name="Normal 5 4 3 5 2 3" xfId="12439" xr:uid="{2F575F63-8742-429A-80C4-41A3E6DC91D4}"/>
    <cellStyle name="Normal 5 4 3 5 3" xfId="6073" xr:uid="{00000000-0005-0000-0000-00001E1B0000}"/>
    <cellStyle name="Normal 5 4 3 5 3 2" xfId="14512" xr:uid="{DA6306F0-EE7F-48AF-B357-6466E6A06A6E}"/>
    <cellStyle name="Normal 5 4 3 5 4" xfId="10294" xr:uid="{214CC7FA-78DF-4F7D-B64E-2FD3E98ED277}"/>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D2865BA7-8C7A-4F05-BC14-AE097CC39571}"/>
    <cellStyle name="Normal 5 4 3 6 2 3" xfId="12852" xr:uid="{5FF82DB1-F3C7-464F-8F54-F9A71E685361}"/>
    <cellStyle name="Normal 5 4 3 6 3" xfId="6486" xr:uid="{00000000-0005-0000-0000-0000221B0000}"/>
    <cellStyle name="Normal 5 4 3 6 3 2" xfId="14925" xr:uid="{A3B0CEF7-1EC2-4A2A-8FF6-3B1B5C2673F1}"/>
    <cellStyle name="Normal 5 4 3 6 4" xfId="10707" xr:uid="{C5E9DEBC-8F65-436B-9BA7-8FD9DB92AE66}"/>
    <cellStyle name="Normal 5 4 3 7" xfId="2615" xr:uid="{00000000-0005-0000-0000-0000231B0000}"/>
    <cellStyle name="Normal 5 4 3 7 2" xfId="6899" xr:uid="{00000000-0005-0000-0000-0000241B0000}"/>
    <cellStyle name="Normal 5 4 3 7 2 2" xfId="15338" xr:uid="{6C6740FD-B66C-4599-B37E-53F7900DAB17}"/>
    <cellStyle name="Normal 5 4 3 7 3" xfId="11120" xr:uid="{F6D350C4-6F77-4BE7-B7E8-9724D820AF49}"/>
    <cellStyle name="Normal 5 4 3 8" xfId="4834" xr:uid="{00000000-0005-0000-0000-0000251B0000}"/>
    <cellStyle name="Normal 5 4 3 8 2" xfId="13273" xr:uid="{898A0CB4-687F-4EAD-8225-0608E3A34498}"/>
    <cellStyle name="Normal 5 4 3 9" xfId="9055" xr:uid="{4260D74A-F06B-49A4-8FC7-26C387ADB3A2}"/>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630AA245-0773-497D-9A15-6BBF22F75C21}"/>
    <cellStyle name="Normal 5 4 4 2 2 3" xfId="11615" xr:uid="{EDD72951-45B9-49FC-A3EB-58FBA9868F26}"/>
    <cellStyle name="Normal 5 4 4 2 3" xfId="5249" xr:uid="{00000000-0005-0000-0000-00002A1B0000}"/>
    <cellStyle name="Normal 5 4 4 2 3 2" xfId="13688" xr:uid="{301E5F2F-4D43-4B0D-858F-2D8BFCBCB45C}"/>
    <cellStyle name="Normal 5 4 4 2 4" xfId="9470" xr:uid="{A43E5F2B-7AB9-45E1-994C-22485490C870}"/>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684F2792-EFE0-4167-9BE5-42CCAA72EC51}"/>
    <cellStyle name="Normal 5 4 4 3 2 3" xfId="12028" xr:uid="{2F3E9348-6F46-4738-8A51-0DB884B0A4E4}"/>
    <cellStyle name="Normal 5 4 4 3 3" xfId="5662" xr:uid="{00000000-0005-0000-0000-00002E1B0000}"/>
    <cellStyle name="Normal 5 4 4 3 3 2" xfId="14101" xr:uid="{80667DB7-A66D-4410-AE55-4676E5862B90}"/>
    <cellStyle name="Normal 5 4 4 3 4" xfId="9883" xr:uid="{DA4427EE-0197-4005-BBE1-932D8EC1C64E}"/>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FD865683-AD6E-434C-A521-2E7B62B6B00C}"/>
    <cellStyle name="Normal 5 4 4 4 2 3" xfId="12441" xr:uid="{016B0404-DDC3-4427-9BCC-56BB0D836317}"/>
    <cellStyle name="Normal 5 4 4 4 3" xfId="6075" xr:uid="{00000000-0005-0000-0000-0000321B0000}"/>
    <cellStyle name="Normal 5 4 4 4 3 2" xfId="14514" xr:uid="{6E1EA0C9-3D67-4BA9-8AA4-7B7DCCBC1B79}"/>
    <cellStyle name="Normal 5 4 4 4 4" xfId="10296" xr:uid="{3C73912D-5599-4133-8F6D-67F4F7D049DF}"/>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9013B3D4-4918-467E-BE4B-63B0311F735D}"/>
    <cellStyle name="Normal 5 4 4 5 2 3" xfId="12854" xr:uid="{B0212A3F-4607-48BA-AAB1-0BB7C377DB6E}"/>
    <cellStyle name="Normal 5 4 4 5 3" xfId="6488" xr:uid="{00000000-0005-0000-0000-0000361B0000}"/>
    <cellStyle name="Normal 5 4 4 5 3 2" xfId="14927" xr:uid="{978315B4-1483-4E39-B7EE-BB015933C58E}"/>
    <cellStyle name="Normal 5 4 4 5 4" xfId="10709" xr:uid="{C0873CB4-70E6-49D2-8167-F778DEC38BF5}"/>
    <cellStyle name="Normal 5 4 4 6" xfId="2617" xr:uid="{00000000-0005-0000-0000-0000371B0000}"/>
    <cellStyle name="Normal 5 4 4 6 2" xfId="6901" xr:uid="{00000000-0005-0000-0000-0000381B0000}"/>
    <cellStyle name="Normal 5 4 4 6 2 2" xfId="15340" xr:uid="{14AA49B9-AC90-4451-8105-90646C35C9F8}"/>
    <cellStyle name="Normal 5 4 4 6 3" xfId="11122" xr:uid="{E736FD08-39B3-4F89-ACFB-ABC29E8884B3}"/>
    <cellStyle name="Normal 5 4 4 7" xfId="4836" xr:uid="{00000000-0005-0000-0000-0000391B0000}"/>
    <cellStyle name="Normal 5 4 4 7 2" xfId="13275" xr:uid="{B8343F7B-F9C6-4885-8736-68694B0AFD0B}"/>
    <cellStyle name="Normal 5 4 4 8" xfId="9057" xr:uid="{EAEDD15D-3984-49CB-8413-FFF8C049651F}"/>
    <cellStyle name="Normal 5 4 5" xfId="930" xr:uid="{00000000-0005-0000-0000-00003A1B0000}"/>
    <cellStyle name="Normal 5 4 5 2" xfId="3164" xr:uid="{00000000-0005-0000-0000-00003B1B0000}"/>
    <cellStyle name="Normal 5 4 5 2 2" xfId="7387" xr:uid="{00000000-0005-0000-0000-00003C1B0000}"/>
    <cellStyle name="Normal 5 4 5 2 2 2" xfId="15826" xr:uid="{95F4BB03-1023-4591-873A-3D132E6C2194}"/>
    <cellStyle name="Normal 5 4 5 2 3" xfId="11608" xr:uid="{EC1915BF-3FC7-433C-AB16-3A2F4C00910F}"/>
    <cellStyle name="Normal 5 4 5 3" xfId="5242" xr:uid="{00000000-0005-0000-0000-00003D1B0000}"/>
    <cellStyle name="Normal 5 4 5 3 2" xfId="13681" xr:uid="{B80FBC61-1630-4F16-9F57-5174557CB74E}"/>
    <cellStyle name="Normal 5 4 5 4" xfId="9463" xr:uid="{314C2285-4504-4984-87CD-3E7EB67C5410}"/>
    <cellStyle name="Normal 5 4 6" xfId="1347" xr:uid="{00000000-0005-0000-0000-00003E1B0000}"/>
    <cellStyle name="Normal 5 4 6 2" xfId="3577" xr:uid="{00000000-0005-0000-0000-00003F1B0000}"/>
    <cellStyle name="Normal 5 4 6 2 2" xfId="7800" xr:uid="{00000000-0005-0000-0000-0000401B0000}"/>
    <cellStyle name="Normal 5 4 6 2 2 2" xfId="16239" xr:uid="{2168D763-B5A4-4350-8389-7C3883315439}"/>
    <cellStyle name="Normal 5 4 6 2 3" xfId="12021" xr:uid="{A610072B-8F4B-47DC-9B9B-D114A722D183}"/>
    <cellStyle name="Normal 5 4 6 3" xfId="5655" xr:uid="{00000000-0005-0000-0000-0000411B0000}"/>
    <cellStyle name="Normal 5 4 6 3 2" xfId="14094" xr:uid="{93FEAD7E-6D90-4C53-9FAB-05A6D7EF4510}"/>
    <cellStyle name="Normal 5 4 6 4" xfId="9876" xr:uid="{1F12E14E-3C6B-40FA-B5B2-DA66EABA3ED4}"/>
    <cellStyle name="Normal 5 4 7" xfId="1760" xr:uid="{00000000-0005-0000-0000-0000421B0000}"/>
    <cellStyle name="Normal 5 4 7 2" xfId="3990" xr:uid="{00000000-0005-0000-0000-0000431B0000}"/>
    <cellStyle name="Normal 5 4 7 2 2" xfId="8213" xr:uid="{00000000-0005-0000-0000-0000441B0000}"/>
    <cellStyle name="Normal 5 4 7 2 2 2" xfId="16652" xr:uid="{DCA5A5B3-B773-4A91-BE42-1BC8D86FA5F9}"/>
    <cellStyle name="Normal 5 4 7 2 3" xfId="12434" xr:uid="{97FA225E-D4BF-4F35-BCBD-25D34C3FD953}"/>
    <cellStyle name="Normal 5 4 7 3" xfId="6068" xr:uid="{00000000-0005-0000-0000-0000451B0000}"/>
    <cellStyle name="Normal 5 4 7 3 2" xfId="14507" xr:uid="{6EFD8B72-18ED-4A91-B59C-14B611FCB775}"/>
    <cellStyle name="Normal 5 4 7 4" xfId="10289" xr:uid="{AB669CF8-606F-4413-84A0-89FA9C4BBC8B}"/>
    <cellStyle name="Normal 5 4 8" xfId="2174" xr:uid="{00000000-0005-0000-0000-0000461B0000}"/>
    <cellStyle name="Normal 5 4 8 2" xfId="4403" xr:uid="{00000000-0005-0000-0000-0000471B0000}"/>
    <cellStyle name="Normal 5 4 8 2 2" xfId="8626" xr:uid="{00000000-0005-0000-0000-0000481B0000}"/>
    <cellStyle name="Normal 5 4 8 2 2 2" xfId="17065" xr:uid="{76F10242-FA16-4AAA-8CB4-C87EF9CC3EA1}"/>
    <cellStyle name="Normal 5 4 8 2 3" xfId="12847" xr:uid="{536EAC50-CDBC-4156-9D41-D88EC8E4A509}"/>
    <cellStyle name="Normal 5 4 8 3" xfId="6481" xr:uid="{00000000-0005-0000-0000-0000491B0000}"/>
    <cellStyle name="Normal 5 4 8 3 2" xfId="14920" xr:uid="{331626CC-9CF9-4B06-8119-93BF5E99791D}"/>
    <cellStyle name="Normal 5 4 8 4" xfId="10702" xr:uid="{BA80A8BB-28EF-45F3-A959-99A856A57668}"/>
    <cellStyle name="Normal 5 4 9" xfId="2610" xr:uid="{00000000-0005-0000-0000-00004A1B0000}"/>
    <cellStyle name="Normal 5 4 9 2" xfId="6894" xr:uid="{00000000-0005-0000-0000-00004B1B0000}"/>
    <cellStyle name="Normal 5 4 9 2 2" xfId="15333" xr:uid="{60522EE0-DDB9-4AC7-8DF1-8DE716E8CC82}"/>
    <cellStyle name="Normal 5 4 9 3" xfId="11115" xr:uid="{07DB1FA5-A757-4E47-A56A-B0B17987F948}"/>
    <cellStyle name="Normal 5 5" xfId="464" xr:uid="{00000000-0005-0000-0000-00004C1B0000}"/>
    <cellStyle name="Normal 5 5 10" xfId="9058" xr:uid="{E9926702-9651-495D-BDB0-47D95A039908}"/>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E3D45510-7C0F-42D5-A1C5-27E4EC475420}"/>
    <cellStyle name="Normal 5 5 2 2 2 2 3" xfId="11618" xr:uid="{9D934B29-F8EF-48B9-ABA1-E2DD670102B4}"/>
    <cellStyle name="Normal 5 5 2 2 2 3" xfId="5252" xr:uid="{00000000-0005-0000-0000-0000521B0000}"/>
    <cellStyle name="Normal 5 5 2 2 2 3 2" xfId="13691" xr:uid="{EAF3BAF8-A714-4ABD-B040-A6DD466D7A0A}"/>
    <cellStyle name="Normal 5 5 2 2 2 4" xfId="9473" xr:uid="{745EFCF4-AA5E-4A8D-AC80-7554B0FA026E}"/>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C98B89E0-E26A-4267-A4EB-97289AA096F4}"/>
    <cellStyle name="Normal 5 5 2 2 3 2 3" xfId="12031" xr:uid="{D1B6F244-0B61-4A87-AF1E-A3CA9135A62E}"/>
    <cellStyle name="Normal 5 5 2 2 3 3" xfId="5665" xr:uid="{00000000-0005-0000-0000-0000561B0000}"/>
    <cellStyle name="Normal 5 5 2 2 3 3 2" xfId="14104" xr:uid="{3A9C87FA-9F12-4BD6-AD85-F16DE05667B7}"/>
    <cellStyle name="Normal 5 5 2 2 3 4" xfId="9886" xr:uid="{08A8A363-749F-49D9-8BA2-A54256F93067}"/>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3ACCF1CC-A636-47BE-9E70-BD0F9D39E08C}"/>
    <cellStyle name="Normal 5 5 2 2 4 2 3" xfId="12444" xr:uid="{70D64F97-8DAC-42F5-AC82-AA8D6914B6A5}"/>
    <cellStyle name="Normal 5 5 2 2 4 3" xfId="6078" xr:uid="{00000000-0005-0000-0000-00005A1B0000}"/>
    <cellStyle name="Normal 5 5 2 2 4 3 2" xfId="14517" xr:uid="{6535E133-6CF7-4D38-8E0B-12FB2C0EE017}"/>
    <cellStyle name="Normal 5 5 2 2 4 4" xfId="10299" xr:uid="{D1F2AEF3-F272-4225-B02C-3F162CD9FAC6}"/>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B8656028-F239-4F57-A30E-F18E14D5B7F2}"/>
    <cellStyle name="Normal 5 5 2 2 5 2 3" xfId="12857" xr:uid="{A3CCAFAB-9966-452B-BEDF-111A859441EE}"/>
    <cellStyle name="Normal 5 5 2 2 5 3" xfId="6491" xr:uid="{00000000-0005-0000-0000-00005E1B0000}"/>
    <cellStyle name="Normal 5 5 2 2 5 3 2" xfId="14930" xr:uid="{EDC43421-40C3-4B02-9C71-7FF095DD7191}"/>
    <cellStyle name="Normal 5 5 2 2 5 4" xfId="10712" xr:uid="{EC38F65D-E922-4F40-8E8D-3D51B9CF9275}"/>
    <cellStyle name="Normal 5 5 2 2 6" xfId="2620" xr:uid="{00000000-0005-0000-0000-00005F1B0000}"/>
    <cellStyle name="Normal 5 5 2 2 6 2" xfId="6904" xr:uid="{00000000-0005-0000-0000-0000601B0000}"/>
    <cellStyle name="Normal 5 5 2 2 6 2 2" xfId="15343" xr:uid="{F8BD607E-DF04-47F7-A0ED-E5BDAA1572FB}"/>
    <cellStyle name="Normal 5 5 2 2 6 3" xfId="11125" xr:uid="{05DC4CD4-CDBD-4090-B2BD-798B9485C541}"/>
    <cellStyle name="Normal 5 5 2 2 7" xfId="4839" xr:uid="{00000000-0005-0000-0000-0000611B0000}"/>
    <cellStyle name="Normal 5 5 2 2 7 2" xfId="13278" xr:uid="{568B0E71-0E62-4CAC-A8C0-2B82449AA963}"/>
    <cellStyle name="Normal 5 5 2 2 8" xfId="9060" xr:uid="{300CE3E9-F4E2-4876-9201-84F7B686D513}"/>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41995694-D888-48EB-9170-2CCC9ADAF80D}"/>
    <cellStyle name="Normal 5 5 2 3 2 3" xfId="11617" xr:uid="{32C30699-50FC-4FE8-9C93-0480F4AA808C}"/>
    <cellStyle name="Normal 5 5 2 3 3" xfId="5251" xr:uid="{00000000-0005-0000-0000-0000651B0000}"/>
    <cellStyle name="Normal 5 5 2 3 3 2" xfId="13690" xr:uid="{E9D959BE-D1C1-40B9-9CDB-6DBEEF5D789A}"/>
    <cellStyle name="Normal 5 5 2 3 4" xfId="9472" xr:uid="{32E714CF-BB7A-4014-8325-54D6D41DA40F}"/>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48E64736-E4E8-4B3E-B49C-4384A130EC9E}"/>
    <cellStyle name="Normal 5 5 2 4 2 3" xfId="12030" xr:uid="{BEA06AF9-376B-4A0E-BAB0-325159376AC0}"/>
    <cellStyle name="Normal 5 5 2 4 3" xfId="5664" xr:uid="{00000000-0005-0000-0000-0000691B0000}"/>
    <cellStyle name="Normal 5 5 2 4 3 2" xfId="14103" xr:uid="{6473B81A-9F29-43C6-8E18-8E2224E26ADD}"/>
    <cellStyle name="Normal 5 5 2 4 4" xfId="9885" xr:uid="{D3ACE3F4-29C7-469B-90ED-050AD44B7D1D}"/>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857A4D13-A517-45C4-BE2E-79963163E9F1}"/>
    <cellStyle name="Normal 5 5 2 5 2 3" xfId="12443" xr:uid="{69AD7D98-764C-4C38-B47B-4A0CEC2F9580}"/>
    <cellStyle name="Normal 5 5 2 5 3" xfId="6077" xr:uid="{00000000-0005-0000-0000-00006D1B0000}"/>
    <cellStyle name="Normal 5 5 2 5 3 2" xfId="14516" xr:uid="{79308CCF-6231-4A91-819D-1619AED0433D}"/>
    <cellStyle name="Normal 5 5 2 5 4" xfId="10298" xr:uid="{1F90B668-A29F-4506-8B06-3D13D907BDDD}"/>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A1039E53-F0EE-46DC-9614-D6F766E0E177}"/>
    <cellStyle name="Normal 5 5 2 6 2 3" xfId="12856" xr:uid="{C000F095-C032-4EFC-8FFD-7BAA551410E1}"/>
    <cellStyle name="Normal 5 5 2 6 3" xfId="6490" xr:uid="{00000000-0005-0000-0000-0000711B0000}"/>
    <cellStyle name="Normal 5 5 2 6 3 2" xfId="14929" xr:uid="{D6F96A21-6178-40BE-9E21-7F44FA04F95F}"/>
    <cellStyle name="Normal 5 5 2 6 4" xfId="10711" xr:uid="{2CCB5670-DA56-4EF2-9908-4724BD596DEE}"/>
    <cellStyle name="Normal 5 5 2 7" xfId="2619" xr:uid="{00000000-0005-0000-0000-0000721B0000}"/>
    <cellStyle name="Normal 5 5 2 7 2" xfId="6903" xr:uid="{00000000-0005-0000-0000-0000731B0000}"/>
    <cellStyle name="Normal 5 5 2 7 2 2" xfId="15342" xr:uid="{BC6B74A9-E4B9-4C99-AF90-DD86D9E1565C}"/>
    <cellStyle name="Normal 5 5 2 7 3" xfId="11124" xr:uid="{3F71958D-341E-489C-98F8-1EF2453E50B5}"/>
    <cellStyle name="Normal 5 5 2 8" xfId="4838" xr:uid="{00000000-0005-0000-0000-0000741B0000}"/>
    <cellStyle name="Normal 5 5 2 8 2" xfId="13277" xr:uid="{8DA411C3-897D-4BE0-8F17-DF88113E3EED}"/>
    <cellStyle name="Normal 5 5 2 9" xfId="9059" xr:uid="{C165A05D-DE5C-47F6-AACF-137E97B6538F}"/>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1E53EFB9-82D4-430B-B308-A82F2673B2A5}"/>
    <cellStyle name="Normal 5 5 3 2 2 3" xfId="11619" xr:uid="{B348D3CE-7D4A-4026-A840-B2068B914910}"/>
    <cellStyle name="Normal 5 5 3 2 3" xfId="5253" xr:uid="{00000000-0005-0000-0000-0000791B0000}"/>
    <cellStyle name="Normal 5 5 3 2 3 2" xfId="13692" xr:uid="{792E365A-5038-42F7-B975-BD6B07E14388}"/>
    <cellStyle name="Normal 5 5 3 2 4" xfId="9474" xr:uid="{F373FC15-53C0-4541-AC4D-14889BBBAAD9}"/>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36A1B5FE-D825-4479-B7FC-844BF63793F6}"/>
    <cellStyle name="Normal 5 5 3 3 2 3" xfId="12032" xr:uid="{3C9F7332-62E6-4A27-B471-79BBB00DC37C}"/>
    <cellStyle name="Normal 5 5 3 3 3" xfId="5666" xr:uid="{00000000-0005-0000-0000-00007D1B0000}"/>
    <cellStyle name="Normal 5 5 3 3 3 2" xfId="14105" xr:uid="{ADA888F1-6F6B-462E-9DA0-D25E15715B72}"/>
    <cellStyle name="Normal 5 5 3 3 4" xfId="9887" xr:uid="{58BDA823-1339-4468-9B8D-993958C47AF9}"/>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27D19BF9-9C72-49A5-AD48-F7D4E04311CD}"/>
    <cellStyle name="Normal 5 5 3 4 2 3" xfId="12445" xr:uid="{03AFFA99-020D-4315-BCD0-D5FE081DB43E}"/>
    <cellStyle name="Normal 5 5 3 4 3" xfId="6079" xr:uid="{00000000-0005-0000-0000-0000811B0000}"/>
    <cellStyle name="Normal 5 5 3 4 3 2" xfId="14518" xr:uid="{CB9BB827-247E-43B0-8272-B2460E303149}"/>
    <cellStyle name="Normal 5 5 3 4 4" xfId="10300" xr:uid="{80F7F0BD-D4BB-4274-BD32-9F8292489224}"/>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D1118CB5-17C0-4572-BEB9-D668DF4D4517}"/>
    <cellStyle name="Normal 5 5 3 5 2 3" xfId="12858" xr:uid="{DF65852F-0278-4488-86D3-9D2B25303FCE}"/>
    <cellStyle name="Normal 5 5 3 5 3" xfId="6492" xr:uid="{00000000-0005-0000-0000-0000851B0000}"/>
    <cellStyle name="Normal 5 5 3 5 3 2" xfId="14931" xr:uid="{A366AC64-4653-45A2-961A-A914825DBF44}"/>
    <cellStyle name="Normal 5 5 3 5 4" xfId="10713" xr:uid="{E23C4C12-CD05-4DBC-996D-F0599A98C49C}"/>
    <cellStyle name="Normal 5 5 3 6" xfId="2621" xr:uid="{00000000-0005-0000-0000-0000861B0000}"/>
    <cellStyle name="Normal 5 5 3 6 2" xfId="6905" xr:uid="{00000000-0005-0000-0000-0000871B0000}"/>
    <cellStyle name="Normal 5 5 3 6 2 2" xfId="15344" xr:uid="{75360CE3-B120-4B89-84CC-85ED5C885A6C}"/>
    <cellStyle name="Normal 5 5 3 6 3" xfId="11126" xr:uid="{8A059A03-1DA0-4ED0-87DC-D0F8FBEE40A1}"/>
    <cellStyle name="Normal 5 5 3 7" xfId="4840" xr:uid="{00000000-0005-0000-0000-0000881B0000}"/>
    <cellStyle name="Normal 5 5 3 7 2" xfId="13279" xr:uid="{1A678B92-C58E-4F21-B587-0A7C74192FDF}"/>
    <cellStyle name="Normal 5 5 3 8" xfId="9061" xr:uid="{21BA3D89-EBEB-4B4B-B46C-E6A6C6459650}"/>
    <cellStyle name="Normal 5 5 4" xfId="938" xr:uid="{00000000-0005-0000-0000-0000891B0000}"/>
    <cellStyle name="Normal 5 5 4 2" xfId="3172" xr:uid="{00000000-0005-0000-0000-00008A1B0000}"/>
    <cellStyle name="Normal 5 5 4 2 2" xfId="7395" xr:uid="{00000000-0005-0000-0000-00008B1B0000}"/>
    <cellStyle name="Normal 5 5 4 2 2 2" xfId="15834" xr:uid="{3E3C31E6-2245-4FFF-908B-8B8349FE7AE2}"/>
    <cellStyle name="Normal 5 5 4 2 3" xfId="11616" xr:uid="{F90AE69C-AC4E-41E2-B154-8798C61F1752}"/>
    <cellStyle name="Normal 5 5 4 3" xfId="5250" xr:uid="{00000000-0005-0000-0000-00008C1B0000}"/>
    <cellStyle name="Normal 5 5 4 3 2" xfId="13689" xr:uid="{DCD19D8A-7E83-4547-8C9E-5B975A33DEC5}"/>
    <cellStyle name="Normal 5 5 4 4" xfId="9471" xr:uid="{717BE212-BF2F-44A3-AF32-4078D99F8ADF}"/>
    <cellStyle name="Normal 5 5 5" xfId="1355" xr:uid="{00000000-0005-0000-0000-00008D1B0000}"/>
    <cellStyle name="Normal 5 5 5 2" xfId="3585" xr:uid="{00000000-0005-0000-0000-00008E1B0000}"/>
    <cellStyle name="Normal 5 5 5 2 2" xfId="7808" xr:uid="{00000000-0005-0000-0000-00008F1B0000}"/>
    <cellStyle name="Normal 5 5 5 2 2 2" xfId="16247" xr:uid="{4A461DC3-B1A6-4A11-B681-E3FE69504F7C}"/>
    <cellStyle name="Normal 5 5 5 2 3" xfId="12029" xr:uid="{7BF535D1-7CB0-44C1-A7E7-D744E6B2E7CD}"/>
    <cellStyle name="Normal 5 5 5 3" xfId="5663" xr:uid="{00000000-0005-0000-0000-0000901B0000}"/>
    <cellStyle name="Normal 5 5 5 3 2" xfId="14102" xr:uid="{558A0132-900D-4C9F-B643-C94D0BA554C8}"/>
    <cellStyle name="Normal 5 5 5 4" xfId="9884" xr:uid="{EC81BC25-BD86-4C6D-93A2-CAFEC1B72342}"/>
    <cellStyle name="Normal 5 5 6" xfId="1768" xr:uid="{00000000-0005-0000-0000-0000911B0000}"/>
    <cellStyle name="Normal 5 5 6 2" xfId="3998" xr:uid="{00000000-0005-0000-0000-0000921B0000}"/>
    <cellStyle name="Normal 5 5 6 2 2" xfId="8221" xr:uid="{00000000-0005-0000-0000-0000931B0000}"/>
    <cellStyle name="Normal 5 5 6 2 2 2" xfId="16660" xr:uid="{C9AB43A6-6BA9-49EF-AB5B-8E04E4D520CC}"/>
    <cellStyle name="Normal 5 5 6 2 3" xfId="12442" xr:uid="{EC1CE464-B442-4A2D-9FF1-DCC7C080E90A}"/>
    <cellStyle name="Normal 5 5 6 3" xfId="6076" xr:uid="{00000000-0005-0000-0000-0000941B0000}"/>
    <cellStyle name="Normal 5 5 6 3 2" xfId="14515" xr:uid="{715DDF23-CAEE-4F0C-AEAA-8C8DEDE0146E}"/>
    <cellStyle name="Normal 5 5 6 4" xfId="10297" xr:uid="{1D77592D-E743-4508-97EA-12A870B8B413}"/>
    <cellStyle name="Normal 5 5 7" xfId="2182" xr:uid="{00000000-0005-0000-0000-0000951B0000}"/>
    <cellStyle name="Normal 5 5 7 2" xfId="4411" xr:uid="{00000000-0005-0000-0000-0000961B0000}"/>
    <cellStyle name="Normal 5 5 7 2 2" xfId="8634" xr:uid="{00000000-0005-0000-0000-0000971B0000}"/>
    <cellStyle name="Normal 5 5 7 2 2 2" xfId="17073" xr:uid="{291C9EDC-3D3A-46B2-9AFB-C709005424F4}"/>
    <cellStyle name="Normal 5 5 7 2 3" xfId="12855" xr:uid="{F184E424-7602-466D-BD36-CE1916FDB233}"/>
    <cellStyle name="Normal 5 5 7 3" xfId="6489" xr:uid="{00000000-0005-0000-0000-0000981B0000}"/>
    <cellStyle name="Normal 5 5 7 3 2" xfId="14928" xr:uid="{82850F59-62AB-4177-A916-E344711D6ECF}"/>
    <cellStyle name="Normal 5 5 7 4" xfId="10710" xr:uid="{232DA3B8-FDA0-4BAF-A2FA-981087F96F53}"/>
    <cellStyle name="Normal 5 5 8" xfId="2618" xr:uid="{00000000-0005-0000-0000-0000991B0000}"/>
    <cellStyle name="Normal 5 5 8 2" xfId="6902" xr:uid="{00000000-0005-0000-0000-00009A1B0000}"/>
    <cellStyle name="Normal 5 5 8 2 2" xfId="15341" xr:uid="{629FD272-5823-4F47-9D77-E31DE2106D99}"/>
    <cellStyle name="Normal 5 5 8 3" xfId="11123" xr:uid="{821D1A40-3679-4C22-B043-B2C0E8E71B10}"/>
    <cellStyle name="Normal 5 5 9" xfId="4837" xr:uid="{00000000-0005-0000-0000-00009B1B0000}"/>
    <cellStyle name="Normal 5 5 9 2" xfId="13276" xr:uid="{0CE57E58-F791-4BA6-B2E4-782FE342D852}"/>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06310F17-17F2-4059-B2CF-7802515D7959}"/>
    <cellStyle name="Normal 5 6 2 2 2 3" xfId="11621" xr:uid="{9861C8A9-98F9-4E81-B0DC-2B7270BA5858}"/>
    <cellStyle name="Normal 5 6 2 2 3" xfId="5255" xr:uid="{00000000-0005-0000-0000-0000A11B0000}"/>
    <cellStyle name="Normal 5 6 2 2 3 2" xfId="13694" xr:uid="{68D652F3-22A4-4402-B017-994938E6A118}"/>
    <cellStyle name="Normal 5 6 2 2 4" xfId="9476" xr:uid="{A29EC6CB-4145-4AE9-91BD-4E2E73B46E3F}"/>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59AF5800-00F5-497C-A66A-BD642CADAA16}"/>
    <cellStyle name="Normal 5 6 2 3 2 3" xfId="12034" xr:uid="{46C8EE45-B0CF-48F5-90D5-AA955A6C07A1}"/>
    <cellStyle name="Normal 5 6 2 3 3" xfId="5668" xr:uid="{00000000-0005-0000-0000-0000A51B0000}"/>
    <cellStyle name="Normal 5 6 2 3 3 2" xfId="14107" xr:uid="{326BBFA1-6780-4830-8E4E-6476CF3F8EA1}"/>
    <cellStyle name="Normal 5 6 2 3 4" xfId="9889" xr:uid="{2C9BE969-BF7F-48EC-AEA4-55DF19F3DEFE}"/>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D93E05B3-968C-41C7-B6E4-D7256F91536F}"/>
    <cellStyle name="Normal 5 6 2 4 2 3" xfId="12447" xr:uid="{B741E01B-79A5-4A84-89FD-054FFBEABC27}"/>
    <cellStyle name="Normal 5 6 2 4 3" xfId="6081" xr:uid="{00000000-0005-0000-0000-0000A91B0000}"/>
    <cellStyle name="Normal 5 6 2 4 3 2" xfId="14520" xr:uid="{8D0661F5-D160-4FB2-9F13-A93E95292D2C}"/>
    <cellStyle name="Normal 5 6 2 4 4" xfId="10302" xr:uid="{19FDC966-E3E5-416C-8539-91AAE09376D2}"/>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2FB90A2F-DFA9-452B-9291-9AA767828C60}"/>
    <cellStyle name="Normal 5 6 2 5 2 3" xfId="12860" xr:uid="{E9535627-D80C-4E57-BA4A-5BFFCB5FC235}"/>
    <cellStyle name="Normal 5 6 2 5 3" xfId="6494" xr:uid="{00000000-0005-0000-0000-0000AD1B0000}"/>
    <cellStyle name="Normal 5 6 2 5 3 2" xfId="14933" xr:uid="{23B16867-43D1-4B97-A8FE-C8A1C9B0D290}"/>
    <cellStyle name="Normal 5 6 2 5 4" xfId="10715" xr:uid="{270DBD66-E095-43A1-A079-A089757CD83C}"/>
    <cellStyle name="Normal 5 6 2 6" xfId="2623" xr:uid="{00000000-0005-0000-0000-0000AE1B0000}"/>
    <cellStyle name="Normal 5 6 2 6 2" xfId="6907" xr:uid="{00000000-0005-0000-0000-0000AF1B0000}"/>
    <cellStyle name="Normal 5 6 2 6 2 2" xfId="15346" xr:uid="{E4BD6B92-93FB-46BD-9EE9-B7F794257010}"/>
    <cellStyle name="Normal 5 6 2 6 3" xfId="11128" xr:uid="{D1C5B107-34B8-446C-94CC-6742E5727161}"/>
    <cellStyle name="Normal 5 6 2 7" xfId="4842" xr:uid="{00000000-0005-0000-0000-0000B01B0000}"/>
    <cellStyle name="Normal 5 6 2 7 2" xfId="13281" xr:uid="{A66698D2-F82B-4D9F-8A5F-158D1018DC05}"/>
    <cellStyle name="Normal 5 6 2 8" xfId="9063" xr:uid="{188E78B0-3311-42E2-9C2E-98581B87F019}"/>
    <cellStyle name="Normal 5 6 3" xfId="942" xr:uid="{00000000-0005-0000-0000-0000B11B0000}"/>
    <cellStyle name="Normal 5 6 3 2" xfId="3176" xr:uid="{00000000-0005-0000-0000-0000B21B0000}"/>
    <cellStyle name="Normal 5 6 3 2 2" xfId="7399" xr:uid="{00000000-0005-0000-0000-0000B31B0000}"/>
    <cellStyle name="Normal 5 6 3 2 2 2" xfId="15838" xr:uid="{17255F3D-269F-42C8-9B57-1118A479F734}"/>
    <cellStyle name="Normal 5 6 3 2 3" xfId="11620" xr:uid="{0ADEBE54-9665-4421-BDB5-08E0C1C6CC51}"/>
    <cellStyle name="Normal 5 6 3 3" xfId="5254" xr:uid="{00000000-0005-0000-0000-0000B41B0000}"/>
    <cellStyle name="Normal 5 6 3 3 2" xfId="13693" xr:uid="{FE742DE4-D8F5-4741-AE79-D94E6CD10C81}"/>
    <cellStyle name="Normal 5 6 3 4" xfId="9475" xr:uid="{6E738A26-E6AB-4B35-8E9D-9A55D78B6E72}"/>
    <cellStyle name="Normal 5 6 4" xfId="1359" xr:uid="{00000000-0005-0000-0000-0000B51B0000}"/>
    <cellStyle name="Normal 5 6 4 2" xfId="3589" xr:uid="{00000000-0005-0000-0000-0000B61B0000}"/>
    <cellStyle name="Normal 5 6 4 2 2" xfId="7812" xr:uid="{00000000-0005-0000-0000-0000B71B0000}"/>
    <cellStyle name="Normal 5 6 4 2 2 2" xfId="16251" xr:uid="{CB5334C7-C02A-40DA-AD18-467175269518}"/>
    <cellStyle name="Normal 5 6 4 2 3" xfId="12033" xr:uid="{EAFCB178-6F7B-4581-A196-5EC57A4CDEB2}"/>
    <cellStyle name="Normal 5 6 4 3" xfId="5667" xr:uid="{00000000-0005-0000-0000-0000B81B0000}"/>
    <cellStyle name="Normal 5 6 4 3 2" xfId="14106" xr:uid="{888E2C4B-1249-490E-AA3B-D0A092AEAC54}"/>
    <cellStyle name="Normal 5 6 4 4" xfId="9888" xr:uid="{C34EEEAB-B71D-44F1-930E-1A95A4702B89}"/>
    <cellStyle name="Normal 5 6 5" xfId="1772" xr:uid="{00000000-0005-0000-0000-0000B91B0000}"/>
    <cellStyle name="Normal 5 6 5 2" xfId="4002" xr:uid="{00000000-0005-0000-0000-0000BA1B0000}"/>
    <cellStyle name="Normal 5 6 5 2 2" xfId="8225" xr:uid="{00000000-0005-0000-0000-0000BB1B0000}"/>
    <cellStyle name="Normal 5 6 5 2 2 2" xfId="16664" xr:uid="{E5428731-B0EA-4189-9BB5-24B609B5A24E}"/>
    <cellStyle name="Normal 5 6 5 2 3" xfId="12446" xr:uid="{012FDB52-4A4D-46E0-BC28-C5B81EF5660C}"/>
    <cellStyle name="Normal 5 6 5 3" xfId="6080" xr:uid="{00000000-0005-0000-0000-0000BC1B0000}"/>
    <cellStyle name="Normal 5 6 5 3 2" xfId="14519" xr:uid="{3AFC09C1-D4CA-4E4E-9693-702F816713C2}"/>
    <cellStyle name="Normal 5 6 5 4" xfId="10301" xr:uid="{64DB4D7E-ADAE-48A6-8C28-83822A4B0999}"/>
    <cellStyle name="Normal 5 6 6" xfId="2186" xr:uid="{00000000-0005-0000-0000-0000BD1B0000}"/>
    <cellStyle name="Normal 5 6 6 2" xfId="4415" xr:uid="{00000000-0005-0000-0000-0000BE1B0000}"/>
    <cellStyle name="Normal 5 6 6 2 2" xfId="8638" xr:uid="{00000000-0005-0000-0000-0000BF1B0000}"/>
    <cellStyle name="Normal 5 6 6 2 2 2" xfId="17077" xr:uid="{491B41FA-175A-41EA-A066-33AF3C9B96B7}"/>
    <cellStyle name="Normal 5 6 6 2 3" xfId="12859" xr:uid="{C79D818D-E142-4EAE-95C7-810AD5593807}"/>
    <cellStyle name="Normal 5 6 6 3" xfId="6493" xr:uid="{00000000-0005-0000-0000-0000C01B0000}"/>
    <cellStyle name="Normal 5 6 6 3 2" xfId="14932" xr:uid="{C52B6C0F-6576-4935-AA51-28B6DF0C1612}"/>
    <cellStyle name="Normal 5 6 6 4" xfId="10714" xr:uid="{89C6DB2E-A18F-4DD1-B6F6-D1E1CA6E7559}"/>
    <cellStyle name="Normal 5 6 7" xfId="2622" xr:uid="{00000000-0005-0000-0000-0000C11B0000}"/>
    <cellStyle name="Normal 5 6 7 2" xfId="6906" xr:uid="{00000000-0005-0000-0000-0000C21B0000}"/>
    <cellStyle name="Normal 5 6 7 2 2" xfId="15345" xr:uid="{0539129D-ECB7-43C1-A38B-5C29FD79BE1D}"/>
    <cellStyle name="Normal 5 6 7 3" xfId="11127" xr:uid="{D16478DB-85CA-4D27-8313-1499A5A1FB8A}"/>
    <cellStyle name="Normal 5 6 8" xfId="4841" xr:uid="{00000000-0005-0000-0000-0000C31B0000}"/>
    <cellStyle name="Normal 5 6 8 2" xfId="13280" xr:uid="{7225AA9C-B824-427D-A1FE-E9AF164FFF77}"/>
    <cellStyle name="Normal 5 6 9" xfId="9062" xr:uid="{89F42EC7-FFFE-49B3-89F4-4C5ABCF614CF}"/>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7B5A483A-2FFE-40F9-BC0D-154E84C3DAB6}"/>
    <cellStyle name="Normal 5 7 2 2 3" xfId="11622" xr:uid="{9FA8EA2D-2548-4EB9-BF13-9FE9550AC580}"/>
    <cellStyle name="Normal 5 7 2 3" xfId="5256" xr:uid="{00000000-0005-0000-0000-0000C81B0000}"/>
    <cellStyle name="Normal 5 7 2 3 2" xfId="13695" xr:uid="{41AF851B-42CD-4CE1-AE09-D339856555B9}"/>
    <cellStyle name="Normal 5 7 2 4" xfId="9477" xr:uid="{F114CE0C-9B6F-4DDF-9AC8-22F797913C3D}"/>
    <cellStyle name="Normal 5 7 3" xfId="1361" xr:uid="{00000000-0005-0000-0000-0000C91B0000}"/>
    <cellStyle name="Normal 5 7 3 2" xfId="3591" xr:uid="{00000000-0005-0000-0000-0000CA1B0000}"/>
    <cellStyle name="Normal 5 7 3 2 2" xfId="7814" xr:uid="{00000000-0005-0000-0000-0000CB1B0000}"/>
    <cellStyle name="Normal 5 7 3 2 2 2" xfId="16253" xr:uid="{148C8DFC-D2BB-4DB5-B8AC-1ABEDFDCF07F}"/>
    <cellStyle name="Normal 5 7 3 2 3" xfId="12035" xr:uid="{BFCCF924-53D2-49E1-97E6-11D28517E4D3}"/>
    <cellStyle name="Normal 5 7 3 3" xfId="5669" xr:uid="{00000000-0005-0000-0000-0000CC1B0000}"/>
    <cellStyle name="Normal 5 7 3 3 2" xfId="14108" xr:uid="{8ABD7040-0FC6-4A0A-B4DE-76488F07D3F9}"/>
    <cellStyle name="Normal 5 7 3 4" xfId="9890" xr:uid="{D700CA59-3CA9-4AA3-8E31-759398B54F17}"/>
    <cellStyle name="Normal 5 7 4" xfId="1774" xr:uid="{00000000-0005-0000-0000-0000CD1B0000}"/>
    <cellStyle name="Normal 5 7 4 2" xfId="4004" xr:uid="{00000000-0005-0000-0000-0000CE1B0000}"/>
    <cellStyle name="Normal 5 7 4 2 2" xfId="8227" xr:uid="{00000000-0005-0000-0000-0000CF1B0000}"/>
    <cellStyle name="Normal 5 7 4 2 2 2" xfId="16666" xr:uid="{8202A4E6-F95A-414C-83B0-A292B7411EEC}"/>
    <cellStyle name="Normal 5 7 4 2 3" xfId="12448" xr:uid="{1BF9EF3A-B47D-48C2-81D0-7BF9BBEA93A0}"/>
    <cellStyle name="Normal 5 7 4 3" xfId="6082" xr:uid="{00000000-0005-0000-0000-0000D01B0000}"/>
    <cellStyle name="Normal 5 7 4 3 2" xfId="14521" xr:uid="{C7B37445-B263-4C22-9017-BEFBFD3A19AE}"/>
    <cellStyle name="Normal 5 7 4 4" xfId="10303" xr:uid="{61780398-2B33-403B-B56B-431CA7CBE238}"/>
    <cellStyle name="Normal 5 7 5" xfId="2188" xr:uid="{00000000-0005-0000-0000-0000D11B0000}"/>
    <cellStyle name="Normal 5 7 5 2" xfId="4417" xr:uid="{00000000-0005-0000-0000-0000D21B0000}"/>
    <cellStyle name="Normal 5 7 5 2 2" xfId="8640" xr:uid="{00000000-0005-0000-0000-0000D31B0000}"/>
    <cellStyle name="Normal 5 7 5 2 2 2" xfId="17079" xr:uid="{08A6E124-ECD5-443C-94C2-E6DEA1716ADF}"/>
    <cellStyle name="Normal 5 7 5 2 3" xfId="12861" xr:uid="{B93D92EB-3A95-440F-979A-9C27E09E96D0}"/>
    <cellStyle name="Normal 5 7 5 3" xfId="6495" xr:uid="{00000000-0005-0000-0000-0000D41B0000}"/>
    <cellStyle name="Normal 5 7 5 3 2" xfId="14934" xr:uid="{37EAA17E-A78E-420D-B452-77C37BBF2C52}"/>
    <cellStyle name="Normal 5 7 5 4" xfId="10716" xr:uid="{6390E09D-8021-4D2C-9074-A9A149B68CD4}"/>
    <cellStyle name="Normal 5 7 6" xfId="2624" xr:uid="{00000000-0005-0000-0000-0000D51B0000}"/>
    <cellStyle name="Normal 5 7 6 2" xfId="6908" xr:uid="{00000000-0005-0000-0000-0000D61B0000}"/>
    <cellStyle name="Normal 5 7 6 2 2" xfId="15347" xr:uid="{92DADC3C-4173-414B-BBD2-A604938ACE13}"/>
    <cellStyle name="Normal 5 7 6 3" xfId="11129" xr:uid="{079585C4-A76F-4C55-B367-B40E7DCEEFA8}"/>
    <cellStyle name="Normal 5 7 7" xfId="4843" xr:uid="{00000000-0005-0000-0000-0000D71B0000}"/>
    <cellStyle name="Normal 5 7 7 2" xfId="13282" xr:uid="{2744F1C4-8787-4808-B8E0-5CA2CD1AA15C}"/>
    <cellStyle name="Normal 5 7 8" xfId="9064" xr:uid="{771544AB-F3CF-4992-A3CA-F5B054406DEA}"/>
    <cellStyle name="Normal 5 8" xfId="880" xr:uid="{00000000-0005-0000-0000-0000D81B0000}"/>
    <cellStyle name="Normal 5 8 2" xfId="3115" xr:uid="{00000000-0005-0000-0000-0000D91B0000}"/>
    <cellStyle name="Normal 5 8 2 2" xfId="7338" xr:uid="{00000000-0005-0000-0000-0000DA1B0000}"/>
    <cellStyle name="Normal 5 8 2 2 2" xfId="15777" xr:uid="{FDD8804C-D28A-4FCB-AF07-4F5487373E5C}"/>
    <cellStyle name="Normal 5 8 2 3" xfId="11559" xr:uid="{14BF4589-0B79-4B6F-9AAC-65FD0B2B97A8}"/>
    <cellStyle name="Normal 5 8 3" xfId="5193" xr:uid="{00000000-0005-0000-0000-0000DB1B0000}"/>
    <cellStyle name="Normal 5 8 3 2" xfId="13632" xr:uid="{7C7A52BF-1B73-48D1-8EC2-C7EA2073D767}"/>
    <cellStyle name="Normal 5 8 4" xfId="9414" xr:uid="{6CEBE6C1-CF8F-43D1-883A-34DFF6139DC7}"/>
    <cellStyle name="Normal 5 9" xfId="1298" xr:uid="{00000000-0005-0000-0000-0000DC1B0000}"/>
    <cellStyle name="Normal 5 9 2" xfId="3528" xr:uid="{00000000-0005-0000-0000-0000DD1B0000}"/>
    <cellStyle name="Normal 5 9 2 2" xfId="7751" xr:uid="{00000000-0005-0000-0000-0000DE1B0000}"/>
    <cellStyle name="Normal 5 9 2 2 2" xfId="16190" xr:uid="{90E8A954-A3F5-4645-B03F-0F9950C5A015}"/>
    <cellStyle name="Normal 5 9 2 3" xfId="11972" xr:uid="{0EAA8D87-B7F0-4040-95EC-C38F02725F72}"/>
    <cellStyle name="Normal 5 9 3" xfId="5606" xr:uid="{00000000-0005-0000-0000-0000DF1B0000}"/>
    <cellStyle name="Normal 5 9 3 2" xfId="14045" xr:uid="{8A6F1617-CFCE-4506-AE98-AE833BBA3A46}"/>
    <cellStyle name="Normal 5 9 4" xfId="9827" xr:uid="{899A63A5-9AE3-4484-94E4-AFB79B0C1F86}"/>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E49741CC-EA2E-4ED2-A209-49AEC3EB66C2}"/>
    <cellStyle name="Normal 8 10 2 3" xfId="12862" xr:uid="{226A09D7-065D-4471-98CA-B4D36CF44D63}"/>
    <cellStyle name="Normal 8 10 3" xfId="6496" xr:uid="{00000000-0005-0000-0000-0000EB1B0000}"/>
    <cellStyle name="Normal 8 10 3 2" xfId="14935" xr:uid="{505619BF-F82E-4C62-9384-EB184B46F8D3}"/>
    <cellStyle name="Normal 8 10 4" xfId="10717" xr:uid="{7F831C3D-6247-4465-B0C3-8190236B78B5}"/>
    <cellStyle name="Normal 8 11" xfId="2625" xr:uid="{00000000-0005-0000-0000-0000EC1B0000}"/>
    <cellStyle name="Normal 8 11 2" xfId="6909" xr:uid="{00000000-0005-0000-0000-0000ED1B0000}"/>
    <cellStyle name="Normal 8 11 2 2" xfId="15348" xr:uid="{46E06175-9E33-4E0E-90D0-BE785183B971}"/>
    <cellStyle name="Normal 8 11 3" xfId="11130" xr:uid="{A9C729AF-C8A5-4C3D-9790-CA77C63787ED}"/>
    <cellStyle name="Normal 8 12" xfId="4844" xr:uid="{00000000-0005-0000-0000-0000EE1B0000}"/>
    <cellStyle name="Normal 8 12 2" xfId="13283" xr:uid="{2D5A6071-ED56-4BC7-8777-9209CD7FC2A3}"/>
    <cellStyle name="Normal 8 13" xfId="9065" xr:uid="{FC1569B9-D5F5-4AA6-B5B1-9C79A5E000E9}"/>
    <cellStyle name="Normal 8 2" xfId="479" xr:uid="{00000000-0005-0000-0000-0000EF1B0000}"/>
    <cellStyle name="Normal 8 2 10" xfId="2626" xr:uid="{00000000-0005-0000-0000-0000F01B0000}"/>
    <cellStyle name="Normal 8 2 10 2" xfId="6910" xr:uid="{00000000-0005-0000-0000-0000F11B0000}"/>
    <cellStyle name="Normal 8 2 10 2 2" xfId="15349" xr:uid="{CC69314E-DE7E-499D-8F40-FD3FF3A744A7}"/>
    <cellStyle name="Normal 8 2 10 3" xfId="11131" xr:uid="{F7E96A51-950E-469C-947D-D63590D6A8AA}"/>
    <cellStyle name="Normal 8 2 11" xfId="4845" xr:uid="{00000000-0005-0000-0000-0000F21B0000}"/>
    <cellStyle name="Normal 8 2 11 2" xfId="13284" xr:uid="{C9AEBB92-B84C-4B32-9924-2382CE2DEB7F}"/>
    <cellStyle name="Normal 8 2 12" xfId="9066" xr:uid="{6C0BCB55-F9C1-4DB3-B31E-93239A4D7BB7}"/>
    <cellStyle name="Normal 8 2 2" xfId="480" xr:uid="{00000000-0005-0000-0000-0000F31B0000}"/>
    <cellStyle name="Normal 8 2 2 10" xfId="4846" xr:uid="{00000000-0005-0000-0000-0000F41B0000}"/>
    <cellStyle name="Normal 8 2 2 10 2" xfId="13285" xr:uid="{63835CA9-DB03-4F97-A999-8F4461727900}"/>
    <cellStyle name="Normal 8 2 2 11" xfId="9067" xr:uid="{AB309978-2328-4D28-A85B-7E7A1F775785}"/>
    <cellStyle name="Normal 8 2 2 2" xfId="481" xr:uid="{00000000-0005-0000-0000-0000F51B0000}"/>
    <cellStyle name="Normal 8 2 2 2 10" xfId="9068" xr:uid="{6309E46B-8361-42C1-B6BF-FF4ACB9C85D7}"/>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6D9C5A24-3B90-4C78-BD1D-EF8B4FA4DDAD}"/>
    <cellStyle name="Normal 8 2 2 2 2 2 2 2 3" xfId="11628" xr:uid="{EF19AF99-9F4C-4453-A261-B779D3B374C0}"/>
    <cellStyle name="Normal 8 2 2 2 2 2 2 3" xfId="5262" xr:uid="{00000000-0005-0000-0000-0000FB1B0000}"/>
    <cellStyle name="Normal 8 2 2 2 2 2 2 3 2" xfId="13701" xr:uid="{835CF460-6DA0-40E9-A43F-1FEA4E6C01EC}"/>
    <cellStyle name="Normal 8 2 2 2 2 2 2 4" xfId="9483" xr:uid="{8C6255E2-281B-48E1-955E-F48E58FB11F5}"/>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B9F5160A-C6C0-4551-A1DC-661E8F58A460}"/>
    <cellStyle name="Normal 8 2 2 2 2 2 3 2 3" xfId="12041" xr:uid="{712BEF87-2413-4D9C-8919-5FFC2266CD43}"/>
    <cellStyle name="Normal 8 2 2 2 2 2 3 3" xfId="5675" xr:uid="{00000000-0005-0000-0000-0000FF1B0000}"/>
    <cellStyle name="Normal 8 2 2 2 2 2 3 3 2" xfId="14114" xr:uid="{D930C0A2-E5F4-406A-81A2-DBAEEC22FA93}"/>
    <cellStyle name="Normal 8 2 2 2 2 2 3 4" xfId="9896" xr:uid="{582C2F1C-116D-4D8C-BBDE-0B878F708B42}"/>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5CF0B695-5A18-4026-A418-69D4F92F5122}"/>
    <cellStyle name="Normal 8 2 2 2 2 2 4 2 3" xfId="12454" xr:uid="{8626383F-0991-4773-84EE-634B5C13069E}"/>
    <cellStyle name="Normal 8 2 2 2 2 2 4 3" xfId="6088" xr:uid="{00000000-0005-0000-0000-0000031C0000}"/>
    <cellStyle name="Normal 8 2 2 2 2 2 4 3 2" xfId="14527" xr:uid="{D6AC53FD-9452-4015-A458-634CE8C81FEE}"/>
    <cellStyle name="Normal 8 2 2 2 2 2 4 4" xfId="10309" xr:uid="{F044AB6D-520F-4C2B-910F-E998BB7ABC1A}"/>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B98FAF70-F835-4D76-817E-F369D86C32C7}"/>
    <cellStyle name="Normal 8 2 2 2 2 2 5 2 3" xfId="12867" xr:uid="{D041BCC3-EEEC-461E-85EF-AFC10BA18B69}"/>
    <cellStyle name="Normal 8 2 2 2 2 2 5 3" xfId="6501" xr:uid="{00000000-0005-0000-0000-0000071C0000}"/>
    <cellStyle name="Normal 8 2 2 2 2 2 5 3 2" xfId="14940" xr:uid="{E84DB75F-F8FF-42A5-96D1-4A79FF8B9668}"/>
    <cellStyle name="Normal 8 2 2 2 2 2 5 4" xfId="10722" xr:uid="{84467B80-3931-4F68-870A-5415927D0235}"/>
    <cellStyle name="Normal 8 2 2 2 2 2 6" xfId="2630" xr:uid="{00000000-0005-0000-0000-0000081C0000}"/>
    <cellStyle name="Normal 8 2 2 2 2 2 6 2" xfId="6914" xr:uid="{00000000-0005-0000-0000-0000091C0000}"/>
    <cellStyle name="Normal 8 2 2 2 2 2 6 2 2" xfId="15353" xr:uid="{969C6CDD-9020-4FAA-8331-54665CB6395B}"/>
    <cellStyle name="Normal 8 2 2 2 2 2 6 3" xfId="11135" xr:uid="{FE492965-31C4-4B63-8028-8E74D6317243}"/>
    <cellStyle name="Normal 8 2 2 2 2 2 7" xfId="4849" xr:uid="{00000000-0005-0000-0000-00000A1C0000}"/>
    <cellStyle name="Normal 8 2 2 2 2 2 7 2" xfId="13288" xr:uid="{AF7ABE0D-68AE-496C-A22B-845B249A11D7}"/>
    <cellStyle name="Normal 8 2 2 2 2 2 8" xfId="9070" xr:uid="{C86D683E-514E-4619-B093-0E259728637A}"/>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13EFB264-4545-4CBB-B79D-06EB424AD4A2}"/>
    <cellStyle name="Normal 8 2 2 2 2 3 2 3" xfId="11627" xr:uid="{1B19E07E-A733-456F-9D36-DFC293EC83B9}"/>
    <cellStyle name="Normal 8 2 2 2 2 3 3" xfId="5261" xr:uid="{00000000-0005-0000-0000-00000E1C0000}"/>
    <cellStyle name="Normal 8 2 2 2 2 3 3 2" xfId="13700" xr:uid="{A7D3F3D4-CA42-4BE0-9686-2F07D6057B44}"/>
    <cellStyle name="Normal 8 2 2 2 2 3 4" xfId="9482" xr:uid="{3A625E00-8559-4C2E-B362-4257DECDCD1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183EABD8-8DBB-4F0E-A46F-3F723D836E90}"/>
    <cellStyle name="Normal 8 2 2 2 2 4 2 3" xfId="12040" xr:uid="{6509CEE1-E396-40BA-9CF3-8B46A2E8F356}"/>
    <cellStyle name="Normal 8 2 2 2 2 4 3" xfId="5674" xr:uid="{00000000-0005-0000-0000-0000121C0000}"/>
    <cellStyle name="Normal 8 2 2 2 2 4 3 2" xfId="14113" xr:uid="{016638C7-5F6E-4D36-BBD4-C8AC112AA71E}"/>
    <cellStyle name="Normal 8 2 2 2 2 4 4" xfId="9895" xr:uid="{2D49EC39-B3EB-40E5-941C-20F51DD112B8}"/>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562144E2-7D25-4CEB-98D0-880C8CEE4753}"/>
    <cellStyle name="Normal 8 2 2 2 2 5 2 3" xfId="12453" xr:uid="{07599294-C321-4906-A898-A9A25525248F}"/>
    <cellStyle name="Normal 8 2 2 2 2 5 3" xfId="6087" xr:uid="{00000000-0005-0000-0000-0000161C0000}"/>
    <cellStyle name="Normal 8 2 2 2 2 5 3 2" xfId="14526" xr:uid="{78080C46-EE6C-4113-90BC-816C7D98345C}"/>
    <cellStyle name="Normal 8 2 2 2 2 5 4" xfId="10308" xr:uid="{91417956-CFCC-45E1-AE2E-DE04252679C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EDF4EB36-7BE1-4536-A07B-00EC915D43DB}"/>
    <cellStyle name="Normal 8 2 2 2 2 6 2 3" xfId="12866" xr:uid="{EC41C452-675C-4ABF-B834-1124719FFECF}"/>
    <cellStyle name="Normal 8 2 2 2 2 6 3" xfId="6500" xr:uid="{00000000-0005-0000-0000-00001A1C0000}"/>
    <cellStyle name="Normal 8 2 2 2 2 6 3 2" xfId="14939" xr:uid="{D0EE3149-B2EF-4CA7-ACA6-7D3982AF3028}"/>
    <cellStyle name="Normal 8 2 2 2 2 6 4" xfId="10721" xr:uid="{48F6F302-34C9-454A-9495-C2C11F8676E0}"/>
    <cellStyle name="Normal 8 2 2 2 2 7" xfId="2629" xr:uid="{00000000-0005-0000-0000-00001B1C0000}"/>
    <cellStyle name="Normal 8 2 2 2 2 7 2" xfId="6913" xr:uid="{00000000-0005-0000-0000-00001C1C0000}"/>
    <cellStyle name="Normal 8 2 2 2 2 7 2 2" xfId="15352" xr:uid="{BE57F5AF-D809-4C98-BA1C-6F342B2E6883}"/>
    <cellStyle name="Normal 8 2 2 2 2 7 3" xfId="11134" xr:uid="{BF761A3F-43BB-478F-9498-C234B1B118D1}"/>
    <cellStyle name="Normal 8 2 2 2 2 8" xfId="4848" xr:uid="{00000000-0005-0000-0000-00001D1C0000}"/>
    <cellStyle name="Normal 8 2 2 2 2 8 2" xfId="13287" xr:uid="{B1FB72F4-DE6C-4B24-A5E8-D100360678FC}"/>
    <cellStyle name="Normal 8 2 2 2 2 9" xfId="9069" xr:uid="{16C164E6-CAF0-47A0-9EC6-53A65F70D75C}"/>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B5DD4B05-9452-4034-9723-6F44A66B493F}"/>
    <cellStyle name="Normal 8 2 2 2 3 2 2 3" xfId="11629" xr:uid="{4D24FDB2-D3C0-4A20-A0C0-3AB9DFF746EB}"/>
    <cellStyle name="Normal 8 2 2 2 3 2 3" xfId="5263" xr:uid="{00000000-0005-0000-0000-0000221C0000}"/>
    <cellStyle name="Normal 8 2 2 2 3 2 3 2" xfId="13702" xr:uid="{AD0AE829-D307-47F6-B6DA-421BF71D36F1}"/>
    <cellStyle name="Normal 8 2 2 2 3 2 4" xfId="9484" xr:uid="{7852FD76-DB68-42DB-8DA7-01390E3A04F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0F12FB8A-0445-49F4-8CE9-B69C14712E21}"/>
    <cellStyle name="Normal 8 2 2 2 3 3 2 3" xfId="12042" xr:uid="{7B3CB2B4-77C3-4E03-A1F4-9A0915F34D67}"/>
    <cellStyle name="Normal 8 2 2 2 3 3 3" xfId="5676" xr:uid="{00000000-0005-0000-0000-0000261C0000}"/>
    <cellStyle name="Normal 8 2 2 2 3 3 3 2" xfId="14115" xr:uid="{6FB10B5A-A7EA-4D51-B75C-74BC6D1EEA49}"/>
    <cellStyle name="Normal 8 2 2 2 3 3 4" xfId="9897" xr:uid="{1B2EE840-E097-4557-AC5A-02B16AAA5299}"/>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80F4C9E8-4B2B-4640-B391-6A42D428B7DA}"/>
    <cellStyle name="Normal 8 2 2 2 3 4 2 3" xfId="12455" xr:uid="{EE8F9298-9C34-4481-9524-0190C2F1C565}"/>
    <cellStyle name="Normal 8 2 2 2 3 4 3" xfId="6089" xr:uid="{00000000-0005-0000-0000-00002A1C0000}"/>
    <cellStyle name="Normal 8 2 2 2 3 4 3 2" xfId="14528" xr:uid="{F489FC5B-E9CF-4A63-BE1A-60D9A1A4AA0D}"/>
    <cellStyle name="Normal 8 2 2 2 3 4 4" xfId="10310" xr:uid="{CEEFDAF2-D262-4BA3-8A32-8915D4CD05C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0A14A8DC-DD7C-41EE-95A7-9D2E8822A8C6}"/>
    <cellStyle name="Normal 8 2 2 2 3 5 2 3" xfId="12868" xr:uid="{49B431FE-1640-4CB3-AB73-875DE592E249}"/>
    <cellStyle name="Normal 8 2 2 2 3 5 3" xfId="6502" xr:uid="{00000000-0005-0000-0000-00002E1C0000}"/>
    <cellStyle name="Normal 8 2 2 2 3 5 3 2" xfId="14941" xr:uid="{2898BC9C-1E5F-4F4D-A08E-C540312573D8}"/>
    <cellStyle name="Normal 8 2 2 2 3 5 4" xfId="10723" xr:uid="{CB9D88DB-5F71-45C5-9D30-2FD16396A521}"/>
    <cellStyle name="Normal 8 2 2 2 3 6" xfId="2631" xr:uid="{00000000-0005-0000-0000-00002F1C0000}"/>
    <cellStyle name="Normal 8 2 2 2 3 6 2" xfId="6915" xr:uid="{00000000-0005-0000-0000-0000301C0000}"/>
    <cellStyle name="Normal 8 2 2 2 3 6 2 2" xfId="15354" xr:uid="{C8263FCD-5FD4-42F2-85DC-F4EEB8421484}"/>
    <cellStyle name="Normal 8 2 2 2 3 6 3" xfId="11136" xr:uid="{CC8D7A7D-2B31-4419-A81A-B1D4351EA7E6}"/>
    <cellStyle name="Normal 8 2 2 2 3 7" xfId="4850" xr:uid="{00000000-0005-0000-0000-0000311C0000}"/>
    <cellStyle name="Normal 8 2 2 2 3 7 2" xfId="13289" xr:uid="{7A66384A-11C9-4A68-B79B-C550AD6C567F}"/>
    <cellStyle name="Normal 8 2 2 2 3 8" xfId="9071" xr:uid="{A4F8FA7E-3362-4B4A-8C87-A4D397B4DD69}"/>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F4195351-80AE-475C-B1AC-5D9A83F25214}"/>
    <cellStyle name="Normal 8 2 2 2 4 2 3" xfId="11626" xr:uid="{84A2A201-7313-4193-A772-B70040B94690}"/>
    <cellStyle name="Normal 8 2 2 2 4 3" xfId="5260" xr:uid="{00000000-0005-0000-0000-0000351C0000}"/>
    <cellStyle name="Normal 8 2 2 2 4 3 2" xfId="13699" xr:uid="{01A4B390-0B5A-4C60-B5B2-24A03579C2BF}"/>
    <cellStyle name="Normal 8 2 2 2 4 4" xfId="9481" xr:uid="{FC035A51-2689-4375-B6FE-31390E0901A2}"/>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0DAAEC83-4B7A-417D-A708-2A893B48726F}"/>
    <cellStyle name="Normal 8 2 2 2 5 2 3" xfId="12039" xr:uid="{71132250-8976-4EAE-A56B-0225CE9532C0}"/>
    <cellStyle name="Normal 8 2 2 2 5 3" xfId="5673" xr:uid="{00000000-0005-0000-0000-0000391C0000}"/>
    <cellStyle name="Normal 8 2 2 2 5 3 2" xfId="14112" xr:uid="{A47BCB41-8FB6-4649-BAE0-43D0E3FC905A}"/>
    <cellStyle name="Normal 8 2 2 2 5 4" xfId="9894" xr:uid="{7E1C84DF-FAC5-4649-87DC-B4C67CEC668A}"/>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981F75B7-F522-486C-AFE3-92DA3F81755A}"/>
    <cellStyle name="Normal 8 2 2 2 6 2 3" xfId="12452" xr:uid="{CC0D6ED6-8C20-4F7A-AE44-0D1EC156E2FF}"/>
    <cellStyle name="Normal 8 2 2 2 6 3" xfId="6086" xr:uid="{00000000-0005-0000-0000-00003D1C0000}"/>
    <cellStyle name="Normal 8 2 2 2 6 3 2" xfId="14525" xr:uid="{6F6FF3AA-2DEB-4D33-B2E7-6932342E6DCA}"/>
    <cellStyle name="Normal 8 2 2 2 6 4" xfId="10307" xr:uid="{D7D6D96A-D063-43AC-9D0A-947F7DD5261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5F39F24C-FEEA-43C5-AD4D-09A26FB4B7B5}"/>
    <cellStyle name="Normal 8 2 2 2 7 2 3" xfId="12865" xr:uid="{CD2A1F4F-5269-44A7-AA1F-499D972C9894}"/>
    <cellStyle name="Normal 8 2 2 2 7 3" xfId="6499" xr:uid="{00000000-0005-0000-0000-0000411C0000}"/>
    <cellStyle name="Normal 8 2 2 2 7 3 2" xfId="14938" xr:uid="{BB20B65B-EF17-44CB-BE03-5DFE631705D3}"/>
    <cellStyle name="Normal 8 2 2 2 7 4" xfId="10720" xr:uid="{0D943753-4A11-4673-99F4-14EB78749624}"/>
    <cellStyle name="Normal 8 2 2 2 8" xfId="2628" xr:uid="{00000000-0005-0000-0000-0000421C0000}"/>
    <cellStyle name="Normal 8 2 2 2 8 2" xfId="6912" xr:uid="{00000000-0005-0000-0000-0000431C0000}"/>
    <cellStyle name="Normal 8 2 2 2 8 2 2" xfId="15351" xr:uid="{7D0458A5-090C-40DF-9D61-D893DE468B54}"/>
    <cellStyle name="Normal 8 2 2 2 8 3" xfId="11133" xr:uid="{8D51D334-F75C-4C3B-BA05-D9F70CC76B12}"/>
    <cellStyle name="Normal 8 2 2 2 9" xfId="4847" xr:uid="{00000000-0005-0000-0000-0000441C0000}"/>
    <cellStyle name="Normal 8 2 2 2 9 2" xfId="13286" xr:uid="{9E14651C-33C4-43F9-A24D-4898597AAC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007C1F23-42E2-489D-B146-F5099014D925}"/>
    <cellStyle name="Normal 8 2 2 3 2 2 2 3" xfId="11631" xr:uid="{C207FF78-09F4-4C71-A075-CF3EB7796CE2}"/>
    <cellStyle name="Normal 8 2 2 3 2 2 3" xfId="5265" xr:uid="{00000000-0005-0000-0000-00004A1C0000}"/>
    <cellStyle name="Normal 8 2 2 3 2 2 3 2" xfId="13704" xr:uid="{EEC02937-0E3F-4340-836C-466A616CDE8E}"/>
    <cellStyle name="Normal 8 2 2 3 2 2 4" xfId="9486" xr:uid="{15ED922C-735F-4033-A603-D6CE8E80FB8F}"/>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2D3CA96F-D254-4937-8EF9-D5836C913D8A}"/>
    <cellStyle name="Normal 8 2 2 3 2 3 2 3" xfId="12044" xr:uid="{22175A4D-869D-444A-AA4F-86A37BC154CC}"/>
    <cellStyle name="Normal 8 2 2 3 2 3 3" xfId="5678" xr:uid="{00000000-0005-0000-0000-00004E1C0000}"/>
    <cellStyle name="Normal 8 2 2 3 2 3 3 2" xfId="14117" xr:uid="{CE944CD3-3F90-4545-9326-6E6274253AD0}"/>
    <cellStyle name="Normal 8 2 2 3 2 3 4" xfId="9899" xr:uid="{194DCB99-4F94-4BB5-94D2-0758E2653EF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DB11C176-CF2E-4AA9-B103-7D402591745D}"/>
    <cellStyle name="Normal 8 2 2 3 2 4 2 3" xfId="12457" xr:uid="{685ED9C2-B3E2-4013-979F-90D97C547AB9}"/>
    <cellStyle name="Normal 8 2 2 3 2 4 3" xfId="6091" xr:uid="{00000000-0005-0000-0000-0000521C0000}"/>
    <cellStyle name="Normal 8 2 2 3 2 4 3 2" xfId="14530" xr:uid="{AD49EBA6-7B0D-4343-A877-F42733AB5C17}"/>
    <cellStyle name="Normal 8 2 2 3 2 4 4" xfId="10312" xr:uid="{CD280C72-0F6B-4E23-A842-FE572524814F}"/>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BEF8FAE5-6B26-4E5B-91FE-6DFCF4BD1FE1}"/>
    <cellStyle name="Normal 8 2 2 3 2 5 2 3" xfId="12870" xr:uid="{2AFA2CDC-6ED8-4CD8-81FC-3842EBBB287D}"/>
    <cellStyle name="Normal 8 2 2 3 2 5 3" xfId="6504" xr:uid="{00000000-0005-0000-0000-0000561C0000}"/>
    <cellStyle name="Normal 8 2 2 3 2 5 3 2" xfId="14943" xr:uid="{995CDE36-E6F7-4758-A9AD-EF0BA80C62D1}"/>
    <cellStyle name="Normal 8 2 2 3 2 5 4" xfId="10725" xr:uid="{40A7657F-CFAF-4E3A-BA3B-1F3F7052FBAA}"/>
    <cellStyle name="Normal 8 2 2 3 2 6" xfId="2633" xr:uid="{00000000-0005-0000-0000-0000571C0000}"/>
    <cellStyle name="Normal 8 2 2 3 2 6 2" xfId="6917" xr:uid="{00000000-0005-0000-0000-0000581C0000}"/>
    <cellStyle name="Normal 8 2 2 3 2 6 2 2" xfId="15356" xr:uid="{1D8249F8-0277-472B-B984-55F8792E3601}"/>
    <cellStyle name="Normal 8 2 2 3 2 6 3" xfId="11138" xr:uid="{FACF8C01-0110-41E8-8B0B-A337DFEDF27D}"/>
    <cellStyle name="Normal 8 2 2 3 2 7" xfId="4852" xr:uid="{00000000-0005-0000-0000-0000591C0000}"/>
    <cellStyle name="Normal 8 2 2 3 2 7 2" xfId="13291" xr:uid="{42C88B4B-F5BA-403A-97A2-1A0F883938A5}"/>
    <cellStyle name="Normal 8 2 2 3 2 8" xfId="9073" xr:uid="{17E9702A-CF79-420A-8F4E-24A5359E806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29B5A67C-9003-4B0F-B06C-8EEE84DFD399}"/>
    <cellStyle name="Normal 8 2 2 3 3 2 3" xfId="11630" xr:uid="{8165A273-665C-4D49-AB82-A027ACEE488B}"/>
    <cellStyle name="Normal 8 2 2 3 3 3" xfId="5264" xr:uid="{00000000-0005-0000-0000-00005D1C0000}"/>
    <cellStyle name="Normal 8 2 2 3 3 3 2" xfId="13703" xr:uid="{B053EBD5-1CB2-407B-BA03-2008D553388D}"/>
    <cellStyle name="Normal 8 2 2 3 3 4" xfId="9485" xr:uid="{EC84736B-98A0-48F9-9D36-3E7BC147B3E1}"/>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F4C3605B-A731-4A98-B5AA-7303F03D2809}"/>
    <cellStyle name="Normal 8 2 2 3 4 2 3" xfId="12043" xr:uid="{6EBF9973-F54D-44D0-84C9-7CC53E67DB70}"/>
    <cellStyle name="Normal 8 2 2 3 4 3" xfId="5677" xr:uid="{00000000-0005-0000-0000-0000611C0000}"/>
    <cellStyle name="Normal 8 2 2 3 4 3 2" xfId="14116" xr:uid="{EE13066C-4137-4EA5-AE52-A18E1068E907}"/>
    <cellStyle name="Normal 8 2 2 3 4 4" xfId="9898" xr:uid="{7238F8BE-D9FD-4D3A-AC6C-543964396A25}"/>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2E51FBAD-9D62-4D0D-8E04-B07657FDBF0D}"/>
    <cellStyle name="Normal 8 2 2 3 5 2 3" xfId="12456" xr:uid="{1D190DEB-7C5D-436B-BF91-2B56DBA6ECD7}"/>
    <cellStyle name="Normal 8 2 2 3 5 3" xfId="6090" xr:uid="{00000000-0005-0000-0000-0000651C0000}"/>
    <cellStyle name="Normal 8 2 2 3 5 3 2" xfId="14529" xr:uid="{0E7CEB9B-4CB0-4881-B809-C2B62E29FBC3}"/>
    <cellStyle name="Normal 8 2 2 3 5 4" xfId="10311" xr:uid="{715B905D-D660-46E3-9963-5C4CFBC623D5}"/>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DD1027D8-0C60-41AB-9BFB-37779C9DF8C4}"/>
    <cellStyle name="Normal 8 2 2 3 6 2 3" xfId="12869" xr:uid="{22EF0F58-F767-40A0-818E-BA2908B0E1F5}"/>
    <cellStyle name="Normal 8 2 2 3 6 3" xfId="6503" xr:uid="{00000000-0005-0000-0000-0000691C0000}"/>
    <cellStyle name="Normal 8 2 2 3 6 3 2" xfId="14942" xr:uid="{7DE17555-BA23-46DC-95C0-C15218863662}"/>
    <cellStyle name="Normal 8 2 2 3 6 4" xfId="10724" xr:uid="{33299E66-58D5-47D3-B98E-0576F1AC59E2}"/>
    <cellStyle name="Normal 8 2 2 3 7" xfId="2632" xr:uid="{00000000-0005-0000-0000-00006A1C0000}"/>
    <cellStyle name="Normal 8 2 2 3 7 2" xfId="6916" xr:uid="{00000000-0005-0000-0000-00006B1C0000}"/>
    <cellStyle name="Normal 8 2 2 3 7 2 2" xfId="15355" xr:uid="{78BAA4EB-B309-4C70-A6E0-5A1B4EEBCC2E}"/>
    <cellStyle name="Normal 8 2 2 3 7 3" xfId="11137" xr:uid="{DF8ADB25-6556-48F5-8CB3-D7C258443A6E}"/>
    <cellStyle name="Normal 8 2 2 3 8" xfId="4851" xr:uid="{00000000-0005-0000-0000-00006C1C0000}"/>
    <cellStyle name="Normal 8 2 2 3 8 2" xfId="13290" xr:uid="{767A811B-8432-46DE-A518-9633FBBA7B2E}"/>
    <cellStyle name="Normal 8 2 2 3 9" xfId="9072" xr:uid="{CA36B0E1-E86C-47E1-9E15-59EB2E9D7AC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BEE6CF61-5291-4BA3-B8D8-D27C56E7B11B}"/>
    <cellStyle name="Normal 8 2 2 4 2 2 3" xfId="11632" xr:uid="{94006DA2-570D-46CE-98F6-2C994CD8C051}"/>
    <cellStyle name="Normal 8 2 2 4 2 3" xfId="5266" xr:uid="{00000000-0005-0000-0000-0000711C0000}"/>
    <cellStyle name="Normal 8 2 2 4 2 3 2" xfId="13705" xr:uid="{092F2EEA-6DEB-424A-BDE6-82D4D7AD50D1}"/>
    <cellStyle name="Normal 8 2 2 4 2 4" xfId="9487" xr:uid="{7224BC9C-DA08-4C84-82E7-6017D5005961}"/>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40536379-3C5D-4D9C-B614-28F07074C808}"/>
    <cellStyle name="Normal 8 2 2 4 3 2 3" xfId="12045" xr:uid="{019EFF6A-99C2-4EAB-8AD0-173112F0B745}"/>
    <cellStyle name="Normal 8 2 2 4 3 3" xfId="5679" xr:uid="{00000000-0005-0000-0000-0000751C0000}"/>
    <cellStyle name="Normal 8 2 2 4 3 3 2" xfId="14118" xr:uid="{3C92B979-4AD7-4AB6-825C-48C23A67EC32}"/>
    <cellStyle name="Normal 8 2 2 4 3 4" xfId="9900" xr:uid="{C1FA569B-3CA7-4EB1-B494-E4CE4375D79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A52D1FB0-E117-4000-B1E7-4E2EAE70827D}"/>
    <cellStyle name="Normal 8 2 2 4 4 2 3" xfId="12458" xr:uid="{F65FA270-7677-4076-A756-5D6ACA223B7F}"/>
    <cellStyle name="Normal 8 2 2 4 4 3" xfId="6092" xr:uid="{00000000-0005-0000-0000-0000791C0000}"/>
    <cellStyle name="Normal 8 2 2 4 4 3 2" xfId="14531" xr:uid="{AD69F219-6B1F-4177-949A-4E588DD590D4}"/>
    <cellStyle name="Normal 8 2 2 4 4 4" xfId="10313" xr:uid="{B0625993-B9B6-4839-94F2-2048792A778C}"/>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C067DFDD-D5E1-4F45-90DD-5EBC8FA947A3}"/>
    <cellStyle name="Normal 8 2 2 4 5 2 3" xfId="12871" xr:uid="{A39335B8-8C17-4CB5-8D49-05ADA15057B1}"/>
    <cellStyle name="Normal 8 2 2 4 5 3" xfId="6505" xr:uid="{00000000-0005-0000-0000-00007D1C0000}"/>
    <cellStyle name="Normal 8 2 2 4 5 3 2" xfId="14944" xr:uid="{ED0DF255-42DB-477F-91B4-22271DDA7FEE}"/>
    <cellStyle name="Normal 8 2 2 4 5 4" xfId="10726" xr:uid="{868FB6AC-7A71-4862-9551-293148723599}"/>
    <cellStyle name="Normal 8 2 2 4 6" xfId="2634" xr:uid="{00000000-0005-0000-0000-00007E1C0000}"/>
    <cellStyle name="Normal 8 2 2 4 6 2" xfId="6918" xr:uid="{00000000-0005-0000-0000-00007F1C0000}"/>
    <cellStyle name="Normal 8 2 2 4 6 2 2" xfId="15357" xr:uid="{671235A3-61EF-44BF-AFD6-FE27DC124CDD}"/>
    <cellStyle name="Normal 8 2 2 4 6 3" xfId="11139" xr:uid="{933EFE97-1429-47A9-A67F-D8F0077685C1}"/>
    <cellStyle name="Normal 8 2 2 4 7" xfId="4853" xr:uid="{00000000-0005-0000-0000-0000801C0000}"/>
    <cellStyle name="Normal 8 2 2 4 7 2" xfId="13292" xr:uid="{6AFF960B-C949-4641-AD75-77F9F575CD9C}"/>
    <cellStyle name="Normal 8 2 2 4 8" xfId="9074" xr:uid="{ED0DCF71-C501-432F-B1A6-406C37132844}"/>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08BAF5DC-5F00-4CFF-A80E-21F0449C9741}"/>
    <cellStyle name="Normal 8 2 2 5 2 3" xfId="11625" xr:uid="{8C1D4B22-B33D-4474-A298-8B9B04577CE3}"/>
    <cellStyle name="Normal 8 2 2 5 3" xfId="5259" xr:uid="{00000000-0005-0000-0000-0000841C0000}"/>
    <cellStyle name="Normal 8 2 2 5 3 2" xfId="13698" xr:uid="{8439F652-9A55-4C8E-926B-04F434434741}"/>
    <cellStyle name="Normal 8 2 2 5 4" xfId="9480" xr:uid="{946C2F10-BB15-407D-8255-AB5C1291F240}"/>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6E8C8F69-AB30-4AD7-AAA2-57C4E2B4A012}"/>
    <cellStyle name="Normal 8 2 2 6 2 3" xfId="12038" xr:uid="{037E0810-6D66-41B9-9286-28BD7A36B236}"/>
    <cellStyle name="Normal 8 2 2 6 3" xfId="5672" xr:uid="{00000000-0005-0000-0000-0000881C0000}"/>
    <cellStyle name="Normal 8 2 2 6 3 2" xfId="14111" xr:uid="{BAAC0C2E-1D29-4641-AEDB-EB35AF0456C2}"/>
    <cellStyle name="Normal 8 2 2 6 4" xfId="9893" xr:uid="{8D912920-F9E1-410A-BC4A-3D6B5B8A9792}"/>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A47FE2B3-3E1D-4C2D-8F84-B9482D2F78D3}"/>
    <cellStyle name="Normal 8 2 2 7 2 3" xfId="12451" xr:uid="{10F14178-12A5-49FC-8389-E924981D07CE}"/>
    <cellStyle name="Normal 8 2 2 7 3" xfId="6085" xr:uid="{00000000-0005-0000-0000-00008C1C0000}"/>
    <cellStyle name="Normal 8 2 2 7 3 2" xfId="14524" xr:uid="{1EB8DA57-59D3-402D-8599-52D6234F8AF4}"/>
    <cellStyle name="Normal 8 2 2 7 4" xfId="10306" xr:uid="{602A979D-5D3E-460D-AFD0-BFCC82B78B49}"/>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EB88D035-13BD-4D48-ABF4-6DD48C70A422}"/>
    <cellStyle name="Normal 8 2 2 8 2 3" xfId="12864" xr:uid="{B3227021-2EA1-4073-ADDF-BDAC05B45829}"/>
    <cellStyle name="Normal 8 2 2 8 3" xfId="6498" xr:uid="{00000000-0005-0000-0000-0000901C0000}"/>
    <cellStyle name="Normal 8 2 2 8 3 2" xfId="14937" xr:uid="{702F5097-E308-488D-A793-6157CD774612}"/>
    <cellStyle name="Normal 8 2 2 8 4" xfId="10719" xr:uid="{2BC316BE-0BAA-461A-B8C4-1AD8D474EE09}"/>
    <cellStyle name="Normal 8 2 2 9" xfId="2627" xr:uid="{00000000-0005-0000-0000-0000911C0000}"/>
    <cellStyle name="Normal 8 2 2 9 2" xfId="6911" xr:uid="{00000000-0005-0000-0000-0000921C0000}"/>
    <cellStyle name="Normal 8 2 2 9 2 2" xfId="15350" xr:uid="{0C96C910-906F-4FF3-8B97-30C84282E15C}"/>
    <cellStyle name="Normal 8 2 2 9 3" xfId="11132" xr:uid="{9CAF2F6E-8DDD-4330-A2D6-4DE4CAB52A47}"/>
    <cellStyle name="Normal 8 2 3" xfId="488" xr:uid="{00000000-0005-0000-0000-0000931C0000}"/>
    <cellStyle name="Normal 8 2 3 10" xfId="9075" xr:uid="{7B0E817A-F110-4D78-A933-EC71DA694B3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0970A992-3EDE-480D-85EB-9BB9F4090FE7}"/>
    <cellStyle name="Normal 8 2 3 2 2 2 2 3" xfId="11635" xr:uid="{A4E88F0B-8B03-4C20-99D6-3992C990DE3A}"/>
    <cellStyle name="Normal 8 2 3 2 2 2 3" xfId="5269" xr:uid="{00000000-0005-0000-0000-0000991C0000}"/>
    <cellStyle name="Normal 8 2 3 2 2 2 3 2" xfId="13708" xr:uid="{81CBA8EA-2AA3-40F1-AC96-00425F87108B}"/>
    <cellStyle name="Normal 8 2 3 2 2 2 4" xfId="9490" xr:uid="{62520FE2-260F-4E9D-B5D3-D740BDBE6C9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9B12368C-024D-48C3-845E-DD4D6D2B103B}"/>
    <cellStyle name="Normal 8 2 3 2 2 3 2 3" xfId="12048" xr:uid="{E9A44922-4B45-47E4-A8A8-CC55519A0297}"/>
    <cellStyle name="Normal 8 2 3 2 2 3 3" xfId="5682" xr:uid="{00000000-0005-0000-0000-00009D1C0000}"/>
    <cellStyle name="Normal 8 2 3 2 2 3 3 2" xfId="14121" xr:uid="{513AA485-DF42-4903-A994-04A7BF82278C}"/>
    <cellStyle name="Normal 8 2 3 2 2 3 4" xfId="9903" xr:uid="{7D9CDA34-E16D-4241-91C8-C6BF93F5C7B9}"/>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65A8D924-D0B0-4D07-90DC-C335F0A1619E}"/>
    <cellStyle name="Normal 8 2 3 2 2 4 2 3" xfId="12461" xr:uid="{59D61317-D643-44C3-83DE-8B3433235D3B}"/>
    <cellStyle name="Normal 8 2 3 2 2 4 3" xfId="6095" xr:uid="{00000000-0005-0000-0000-0000A11C0000}"/>
    <cellStyle name="Normal 8 2 3 2 2 4 3 2" xfId="14534" xr:uid="{1CFE9C59-77FB-4FBF-B713-8385E52264E2}"/>
    <cellStyle name="Normal 8 2 3 2 2 4 4" xfId="10316" xr:uid="{D2108BBA-B587-4034-B5B6-236A9802D554}"/>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1043B646-4309-4597-8175-1ECD6A9A7D28}"/>
    <cellStyle name="Normal 8 2 3 2 2 5 2 3" xfId="12874" xr:uid="{DC076A31-F5EB-4841-B76B-6E7D0D3AFCB5}"/>
    <cellStyle name="Normal 8 2 3 2 2 5 3" xfId="6508" xr:uid="{00000000-0005-0000-0000-0000A51C0000}"/>
    <cellStyle name="Normal 8 2 3 2 2 5 3 2" xfId="14947" xr:uid="{4C52EB0F-2FC7-491C-996F-76C95E6E5575}"/>
    <cellStyle name="Normal 8 2 3 2 2 5 4" xfId="10729" xr:uid="{E1D3D6B8-0ED3-4EDD-BF6C-40C0D6112E97}"/>
    <cellStyle name="Normal 8 2 3 2 2 6" xfId="2637" xr:uid="{00000000-0005-0000-0000-0000A61C0000}"/>
    <cellStyle name="Normal 8 2 3 2 2 6 2" xfId="6921" xr:uid="{00000000-0005-0000-0000-0000A71C0000}"/>
    <cellStyle name="Normal 8 2 3 2 2 6 2 2" xfId="15360" xr:uid="{A56C5D96-CC4E-415F-A91C-4F372E981248}"/>
    <cellStyle name="Normal 8 2 3 2 2 6 3" xfId="11142" xr:uid="{A38E82F9-9DCE-4E17-AA40-4E4D5AA2E123}"/>
    <cellStyle name="Normal 8 2 3 2 2 7" xfId="4856" xr:uid="{00000000-0005-0000-0000-0000A81C0000}"/>
    <cellStyle name="Normal 8 2 3 2 2 7 2" xfId="13295" xr:uid="{32C7CA76-484A-4068-864E-5DD2025D0F60}"/>
    <cellStyle name="Normal 8 2 3 2 2 8" xfId="9077" xr:uid="{40C9A8B7-CBB5-463A-8EEC-5AACFC065154}"/>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AAF8666E-CE43-4D1F-8D24-C67F8046792B}"/>
    <cellStyle name="Normal 8 2 3 2 3 2 3" xfId="11634" xr:uid="{E7584C42-83CA-4FF9-B166-B89CBFAC15C3}"/>
    <cellStyle name="Normal 8 2 3 2 3 3" xfId="5268" xr:uid="{00000000-0005-0000-0000-0000AC1C0000}"/>
    <cellStyle name="Normal 8 2 3 2 3 3 2" xfId="13707" xr:uid="{D6D20138-7F00-4A6D-8CD7-32A34DA0E1C6}"/>
    <cellStyle name="Normal 8 2 3 2 3 4" xfId="9489" xr:uid="{C5D6698A-5B46-45F0-BA8F-EE4EEFEDC5A6}"/>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0BC029A5-4C63-496C-8CD7-32645768C87F}"/>
    <cellStyle name="Normal 8 2 3 2 4 2 3" xfId="12047" xr:uid="{6B047774-84E9-4EA9-962A-448E372F9FDD}"/>
    <cellStyle name="Normal 8 2 3 2 4 3" xfId="5681" xr:uid="{00000000-0005-0000-0000-0000B01C0000}"/>
    <cellStyle name="Normal 8 2 3 2 4 3 2" xfId="14120" xr:uid="{D48B3F6E-84AE-411C-8B9F-502394ACF1F1}"/>
    <cellStyle name="Normal 8 2 3 2 4 4" xfId="9902" xr:uid="{2C3A3F7C-1B0E-4397-8515-FF845034851D}"/>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747997EC-0927-42B4-A69E-7C6C42C003FF}"/>
    <cellStyle name="Normal 8 2 3 2 5 2 3" xfId="12460" xr:uid="{C5FCA649-62F0-46DC-994D-6CB65C84C025}"/>
    <cellStyle name="Normal 8 2 3 2 5 3" xfId="6094" xr:uid="{00000000-0005-0000-0000-0000B41C0000}"/>
    <cellStyle name="Normal 8 2 3 2 5 3 2" xfId="14533" xr:uid="{03B87CFD-B84C-429D-93A2-77E2AA722F5F}"/>
    <cellStyle name="Normal 8 2 3 2 5 4" xfId="10315" xr:uid="{2D2850EA-3F3F-467E-8661-B7239AD74C99}"/>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430EB500-B2F6-424F-BF9F-97DEE73A8BC3}"/>
    <cellStyle name="Normal 8 2 3 2 6 2 3" xfId="12873" xr:uid="{DAF26CBB-05CC-4322-A317-0835677A066B}"/>
    <cellStyle name="Normal 8 2 3 2 6 3" xfId="6507" xr:uid="{00000000-0005-0000-0000-0000B81C0000}"/>
    <cellStyle name="Normal 8 2 3 2 6 3 2" xfId="14946" xr:uid="{58268E39-893B-4135-9758-5E9CB4216E7D}"/>
    <cellStyle name="Normal 8 2 3 2 6 4" xfId="10728" xr:uid="{A96963D7-FC27-4C30-9F71-1AC2BD9E925A}"/>
    <cellStyle name="Normal 8 2 3 2 7" xfId="2636" xr:uid="{00000000-0005-0000-0000-0000B91C0000}"/>
    <cellStyle name="Normal 8 2 3 2 7 2" xfId="6920" xr:uid="{00000000-0005-0000-0000-0000BA1C0000}"/>
    <cellStyle name="Normal 8 2 3 2 7 2 2" xfId="15359" xr:uid="{4E2367C3-8AE2-4B5A-879F-3DA3BB7F23B0}"/>
    <cellStyle name="Normal 8 2 3 2 7 3" xfId="11141" xr:uid="{1A4B0E18-25C2-4453-8674-91041DCA5029}"/>
    <cellStyle name="Normal 8 2 3 2 8" xfId="4855" xr:uid="{00000000-0005-0000-0000-0000BB1C0000}"/>
    <cellStyle name="Normal 8 2 3 2 8 2" xfId="13294" xr:uid="{4E651CDC-95F0-4498-8875-B08FC08A66AF}"/>
    <cellStyle name="Normal 8 2 3 2 9" xfId="9076" xr:uid="{6DAFC72B-C3E4-42CC-97ED-16859FB7C098}"/>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EA60D269-5A4F-413F-8470-2446E00C614A}"/>
    <cellStyle name="Normal 8 2 3 3 2 2 3" xfId="11636" xr:uid="{3964CAA6-EC58-4BE9-8BD4-7FD4893E8B6F}"/>
    <cellStyle name="Normal 8 2 3 3 2 3" xfId="5270" xr:uid="{00000000-0005-0000-0000-0000C01C0000}"/>
    <cellStyle name="Normal 8 2 3 3 2 3 2" xfId="13709" xr:uid="{374A0264-3676-4D6A-8EEE-CB70F248EE28}"/>
    <cellStyle name="Normal 8 2 3 3 2 4" xfId="9491" xr:uid="{FCF2F734-32AE-4F30-96E0-C718E6D0A536}"/>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E19566FD-40DB-4567-BCD1-AE58737EFC9F}"/>
    <cellStyle name="Normal 8 2 3 3 3 2 3" xfId="12049" xr:uid="{D0F589C7-3275-4E08-8B90-C82ABF668F36}"/>
    <cellStyle name="Normal 8 2 3 3 3 3" xfId="5683" xr:uid="{00000000-0005-0000-0000-0000C41C0000}"/>
    <cellStyle name="Normal 8 2 3 3 3 3 2" xfId="14122" xr:uid="{A171AB91-BEA2-4F51-BB0B-EEC7C212E798}"/>
    <cellStyle name="Normal 8 2 3 3 3 4" xfId="9904" xr:uid="{E86C8BFD-2485-48CB-8DCA-F260C7D43608}"/>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9FC24218-57FB-4982-8693-689609E87A23}"/>
    <cellStyle name="Normal 8 2 3 3 4 2 3" xfId="12462" xr:uid="{6711C45D-DBF7-4952-93A6-C8111619B621}"/>
    <cellStyle name="Normal 8 2 3 3 4 3" xfId="6096" xr:uid="{00000000-0005-0000-0000-0000C81C0000}"/>
    <cellStyle name="Normal 8 2 3 3 4 3 2" xfId="14535" xr:uid="{F62E07D7-E3CF-4922-AFF9-AE4C3E32C97E}"/>
    <cellStyle name="Normal 8 2 3 3 4 4" xfId="10317" xr:uid="{537FF118-9AF0-47BE-8E1F-8CC7F7A11ACB}"/>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2EA09182-BD9F-4AC1-A539-53DE0408539C}"/>
    <cellStyle name="Normal 8 2 3 3 5 2 3" xfId="12875" xr:uid="{2DB78B06-22A0-4FDF-BA2D-A3333AFBE1A8}"/>
    <cellStyle name="Normal 8 2 3 3 5 3" xfId="6509" xr:uid="{00000000-0005-0000-0000-0000CC1C0000}"/>
    <cellStyle name="Normal 8 2 3 3 5 3 2" xfId="14948" xr:uid="{CDF129A6-2A14-460F-862E-413C078E59B8}"/>
    <cellStyle name="Normal 8 2 3 3 5 4" xfId="10730" xr:uid="{6BE3B2E2-41EA-492C-A455-E02354A96586}"/>
    <cellStyle name="Normal 8 2 3 3 6" xfId="2638" xr:uid="{00000000-0005-0000-0000-0000CD1C0000}"/>
    <cellStyle name="Normal 8 2 3 3 6 2" xfId="6922" xr:uid="{00000000-0005-0000-0000-0000CE1C0000}"/>
    <cellStyle name="Normal 8 2 3 3 6 2 2" xfId="15361" xr:uid="{80C23501-1F2C-498B-8822-E97B4F73B404}"/>
    <cellStyle name="Normal 8 2 3 3 6 3" xfId="11143" xr:uid="{B63CB123-E9E9-4840-A0A3-ACFD35E81793}"/>
    <cellStyle name="Normal 8 2 3 3 7" xfId="4857" xr:uid="{00000000-0005-0000-0000-0000CF1C0000}"/>
    <cellStyle name="Normal 8 2 3 3 7 2" xfId="13296" xr:uid="{A7B2931E-1EDB-4035-B99F-4AC2201E80E8}"/>
    <cellStyle name="Normal 8 2 3 3 8" xfId="9078" xr:uid="{BBCF9543-71BE-478A-BE3C-E5A644D4DAE6}"/>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0236B8B6-F425-4667-AB72-3C9530339C01}"/>
    <cellStyle name="Normal 8 2 3 4 2 3" xfId="11633" xr:uid="{33BD67FF-BC4F-4D08-B925-036881143948}"/>
    <cellStyle name="Normal 8 2 3 4 3" xfId="5267" xr:uid="{00000000-0005-0000-0000-0000D31C0000}"/>
    <cellStyle name="Normal 8 2 3 4 3 2" xfId="13706" xr:uid="{0985AB4E-E64A-4E44-96F7-816ABEE0CE1B}"/>
    <cellStyle name="Normal 8 2 3 4 4" xfId="9488" xr:uid="{C28130F8-D5D6-499E-BDB9-0F2E5BB08666}"/>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F2E19100-8979-4F7F-9639-B88BFAD0F6E5}"/>
    <cellStyle name="Normal 8 2 3 5 2 3" xfId="12046" xr:uid="{12CB0766-C10D-4DA5-84CB-B1B7150E3F56}"/>
    <cellStyle name="Normal 8 2 3 5 3" xfId="5680" xr:uid="{00000000-0005-0000-0000-0000D71C0000}"/>
    <cellStyle name="Normal 8 2 3 5 3 2" xfId="14119" xr:uid="{884A7D98-7601-491F-8560-F8CB1CB5BF98}"/>
    <cellStyle name="Normal 8 2 3 5 4" xfId="9901" xr:uid="{363074FE-2BB4-4933-9659-326FF275F3EF}"/>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1A856590-1998-42B9-BB88-0478226330A6}"/>
    <cellStyle name="Normal 8 2 3 6 2 3" xfId="12459" xr:uid="{4FB00FD8-C4C0-45B0-83F6-1BE015C84A74}"/>
    <cellStyle name="Normal 8 2 3 6 3" xfId="6093" xr:uid="{00000000-0005-0000-0000-0000DB1C0000}"/>
    <cellStyle name="Normal 8 2 3 6 3 2" xfId="14532" xr:uid="{898B9CBE-F9B4-42D3-B7AB-1A4278CEE90D}"/>
    <cellStyle name="Normal 8 2 3 6 4" xfId="10314" xr:uid="{1DA1EBA3-A7DF-4937-A7F2-E2BF1775A13A}"/>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AC0F7E30-34F3-4111-9785-3F8AB064F140}"/>
    <cellStyle name="Normal 8 2 3 7 2 3" xfId="12872" xr:uid="{510AED3E-B502-460A-8BBC-48F91C46B579}"/>
    <cellStyle name="Normal 8 2 3 7 3" xfId="6506" xr:uid="{00000000-0005-0000-0000-0000DF1C0000}"/>
    <cellStyle name="Normal 8 2 3 7 3 2" xfId="14945" xr:uid="{B0154746-5E0A-4A35-9324-4C673A9D87B0}"/>
    <cellStyle name="Normal 8 2 3 7 4" xfId="10727" xr:uid="{E60FE56D-FF7A-48BF-948E-3C55810A187B}"/>
    <cellStyle name="Normal 8 2 3 8" xfId="2635" xr:uid="{00000000-0005-0000-0000-0000E01C0000}"/>
    <cellStyle name="Normal 8 2 3 8 2" xfId="6919" xr:uid="{00000000-0005-0000-0000-0000E11C0000}"/>
    <cellStyle name="Normal 8 2 3 8 2 2" xfId="15358" xr:uid="{398C87E0-237F-44E7-9AA2-74AED56A5F3F}"/>
    <cellStyle name="Normal 8 2 3 8 3" xfId="11140" xr:uid="{067D58C9-3095-4749-A806-2FFA0A70E9E4}"/>
    <cellStyle name="Normal 8 2 3 9" xfId="4854" xr:uid="{00000000-0005-0000-0000-0000E21C0000}"/>
    <cellStyle name="Normal 8 2 3 9 2" xfId="13293" xr:uid="{B768D541-0163-4A34-84D6-5D00FBCEC2B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14A083B2-1A92-472A-810C-CD59DF1A8429}"/>
    <cellStyle name="Normal 8 2 4 2 2 2 3" xfId="11638" xr:uid="{B74A69BC-5D71-4793-836A-CDBF62E634BE}"/>
    <cellStyle name="Normal 8 2 4 2 2 3" xfId="5272" xr:uid="{00000000-0005-0000-0000-0000E81C0000}"/>
    <cellStyle name="Normal 8 2 4 2 2 3 2" xfId="13711" xr:uid="{62244B45-084E-4FCE-A596-418DE1F7E887}"/>
    <cellStyle name="Normal 8 2 4 2 2 4" xfId="9493" xr:uid="{F4451FFC-6E2B-4C65-B9DA-AAF8DAA08895}"/>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9969ED20-4618-4DFC-9567-61A7796D3B0F}"/>
    <cellStyle name="Normal 8 2 4 2 3 2 3" xfId="12051" xr:uid="{8AB83BB7-AA67-41BF-A9BA-3188C52C2DFD}"/>
    <cellStyle name="Normal 8 2 4 2 3 3" xfId="5685" xr:uid="{00000000-0005-0000-0000-0000EC1C0000}"/>
    <cellStyle name="Normal 8 2 4 2 3 3 2" xfId="14124" xr:uid="{BDF3D343-D56D-4E2C-B7F5-56C60D6E4855}"/>
    <cellStyle name="Normal 8 2 4 2 3 4" xfId="9906" xr:uid="{EF27BCE5-8EBC-4C62-A5AC-68F99A0FA8EC}"/>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369FFD4E-2F25-4BCD-BA4F-FB4A881F6831}"/>
    <cellStyle name="Normal 8 2 4 2 4 2 3" xfId="12464" xr:uid="{CAA826CE-273B-40E7-8639-F4784FC0CA69}"/>
    <cellStyle name="Normal 8 2 4 2 4 3" xfId="6098" xr:uid="{00000000-0005-0000-0000-0000F01C0000}"/>
    <cellStyle name="Normal 8 2 4 2 4 3 2" xfId="14537" xr:uid="{72CC65D6-E4A1-47F4-BEDF-257DDFEA42C2}"/>
    <cellStyle name="Normal 8 2 4 2 4 4" xfId="10319" xr:uid="{6C8913F4-23BE-4868-AB42-04684971646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5B5464B4-0F22-483D-828C-E77A41D43F0A}"/>
    <cellStyle name="Normal 8 2 4 2 5 2 3" xfId="12877" xr:uid="{93D66AAE-84F2-4A6E-A118-C6B7F16D0B66}"/>
    <cellStyle name="Normal 8 2 4 2 5 3" xfId="6511" xr:uid="{00000000-0005-0000-0000-0000F41C0000}"/>
    <cellStyle name="Normal 8 2 4 2 5 3 2" xfId="14950" xr:uid="{C20B50E2-AF36-4666-B98B-3A4A29137385}"/>
    <cellStyle name="Normal 8 2 4 2 5 4" xfId="10732" xr:uid="{889F706A-EBA7-4523-9DC5-C62CAE1E95B0}"/>
    <cellStyle name="Normal 8 2 4 2 6" xfId="2640" xr:uid="{00000000-0005-0000-0000-0000F51C0000}"/>
    <cellStyle name="Normal 8 2 4 2 6 2" xfId="6924" xr:uid="{00000000-0005-0000-0000-0000F61C0000}"/>
    <cellStyle name="Normal 8 2 4 2 6 2 2" xfId="15363" xr:uid="{F71F50CB-C246-4894-812F-E19FBD4F7C19}"/>
    <cellStyle name="Normal 8 2 4 2 6 3" xfId="11145" xr:uid="{F208816F-60EC-4B76-824E-5CA181F0C9D4}"/>
    <cellStyle name="Normal 8 2 4 2 7" xfId="4859" xr:uid="{00000000-0005-0000-0000-0000F71C0000}"/>
    <cellStyle name="Normal 8 2 4 2 7 2" xfId="13298" xr:uid="{A9C57C1B-235B-453E-849E-3C434F4B66F9}"/>
    <cellStyle name="Normal 8 2 4 2 8" xfId="9080" xr:uid="{2ED81F61-21E6-4763-94E9-50367762567A}"/>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CB4962E0-4A80-4686-9FAB-BC4A5C7BF75F}"/>
    <cellStyle name="Normal 8 2 4 3 2 3" xfId="11637" xr:uid="{170AB566-3166-4C41-80A1-72439DA7DE0D}"/>
    <cellStyle name="Normal 8 2 4 3 3" xfId="5271" xr:uid="{00000000-0005-0000-0000-0000FB1C0000}"/>
    <cellStyle name="Normal 8 2 4 3 3 2" xfId="13710" xr:uid="{9FD43C3F-ACA1-4817-8173-42F081553319}"/>
    <cellStyle name="Normal 8 2 4 3 4" xfId="9492" xr:uid="{1247443A-0535-41A8-89ED-C662405B18A7}"/>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BCA25C14-A489-4A0E-A214-7BFA430B791B}"/>
    <cellStyle name="Normal 8 2 4 4 2 3" xfId="12050" xr:uid="{541C0357-C8D3-474F-A9EA-DEBF13BFCAF9}"/>
    <cellStyle name="Normal 8 2 4 4 3" xfId="5684" xr:uid="{00000000-0005-0000-0000-0000FF1C0000}"/>
    <cellStyle name="Normal 8 2 4 4 3 2" xfId="14123" xr:uid="{3A206BA3-433B-4358-A166-9C031AAC7107}"/>
    <cellStyle name="Normal 8 2 4 4 4" xfId="9905" xr:uid="{74DDA9B4-7F7C-45E3-A7B5-31C1F9E7EB1A}"/>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D618C3BC-4E3A-4C64-B6D5-BE3BB46C70E1}"/>
    <cellStyle name="Normal 8 2 4 5 2 3" xfId="12463" xr:uid="{DB311D26-9180-4E68-96CC-ED526C964C4D}"/>
    <cellStyle name="Normal 8 2 4 5 3" xfId="6097" xr:uid="{00000000-0005-0000-0000-0000031D0000}"/>
    <cellStyle name="Normal 8 2 4 5 3 2" xfId="14536" xr:uid="{1F7AAFB8-ED7A-4209-B0CE-8D24BC9AEAC6}"/>
    <cellStyle name="Normal 8 2 4 5 4" xfId="10318" xr:uid="{1F8FA4EE-81E5-4D90-8007-835B91A6D776}"/>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4CDB5FCC-BAE6-4F13-958D-1581E3BC1407}"/>
    <cellStyle name="Normal 8 2 4 6 2 3" xfId="12876" xr:uid="{A07A25E7-6E93-4BB6-B937-2F4153F00770}"/>
    <cellStyle name="Normal 8 2 4 6 3" xfId="6510" xr:uid="{00000000-0005-0000-0000-0000071D0000}"/>
    <cellStyle name="Normal 8 2 4 6 3 2" xfId="14949" xr:uid="{ECB3F575-A54B-41FE-9855-90FD9E590E35}"/>
    <cellStyle name="Normal 8 2 4 6 4" xfId="10731" xr:uid="{1BB15A3E-5E52-4C02-8473-37F6B9B5E38F}"/>
    <cellStyle name="Normal 8 2 4 7" xfId="2639" xr:uid="{00000000-0005-0000-0000-0000081D0000}"/>
    <cellStyle name="Normal 8 2 4 7 2" xfId="6923" xr:uid="{00000000-0005-0000-0000-0000091D0000}"/>
    <cellStyle name="Normal 8 2 4 7 2 2" xfId="15362" xr:uid="{0339848F-BFEC-46EE-A5D6-CC405E9BFDC0}"/>
    <cellStyle name="Normal 8 2 4 7 3" xfId="11144" xr:uid="{B20301F7-4409-46BA-B99D-AA8B14E44AD2}"/>
    <cellStyle name="Normal 8 2 4 8" xfId="4858" xr:uid="{00000000-0005-0000-0000-00000A1D0000}"/>
    <cellStyle name="Normal 8 2 4 8 2" xfId="13297" xr:uid="{EB9C14F5-F2C3-4C15-B24C-C3C26FBABA4F}"/>
    <cellStyle name="Normal 8 2 4 9" xfId="9079" xr:uid="{EC0929B1-3170-4FE2-9B97-ECB9F0FA71EF}"/>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A39D13AC-51C2-46D7-902B-ECF872B5E189}"/>
    <cellStyle name="Normal 8 2 5 2 2 3" xfId="11639" xr:uid="{AE2AACF3-5F9B-4AFF-BE5F-1B7A13639536}"/>
    <cellStyle name="Normal 8 2 5 2 3" xfId="5273" xr:uid="{00000000-0005-0000-0000-00000F1D0000}"/>
    <cellStyle name="Normal 8 2 5 2 3 2" xfId="13712" xr:uid="{3C6AE554-FFAA-414A-BE1C-DB7FE3039F6B}"/>
    <cellStyle name="Normal 8 2 5 2 4" xfId="9494" xr:uid="{B74886A1-ED44-41DA-B060-45DCF1249737}"/>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3BFBC642-3654-4BFF-9429-8F20620E989E}"/>
    <cellStyle name="Normal 8 2 5 3 2 3" xfId="12052" xr:uid="{889FCB53-C12D-40F0-870B-C19084933BFF}"/>
    <cellStyle name="Normal 8 2 5 3 3" xfId="5686" xr:uid="{00000000-0005-0000-0000-0000131D0000}"/>
    <cellStyle name="Normal 8 2 5 3 3 2" xfId="14125" xr:uid="{65908E22-0976-4CD3-9C10-BD4D7C54FA82}"/>
    <cellStyle name="Normal 8 2 5 3 4" xfId="9907" xr:uid="{356EAF33-D4E3-4FF5-975F-6B270D1E701D}"/>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85114C28-E262-427C-A024-9A1CB93FB359}"/>
    <cellStyle name="Normal 8 2 5 4 2 3" xfId="12465" xr:uid="{EE9E3541-3A72-4513-86B8-57E652DEBF32}"/>
    <cellStyle name="Normal 8 2 5 4 3" xfId="6099" xr:uid="{00000000-0005-0000-0000-0000171D0000}"/>
    <cellStyle name="Normal 8 2 5 4 3 2" xfId="14538" xr:uid="{E3D4AFAD-8E58-44D2-91A4-1788D93E103B}"/>
    <cellStyle name="Normal 8 2 5 4 4" xfId="10320" xr:uid="{94D6C78F-8FF4-49E3-A6DA-4BBC3E27A1F1}"/>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A147ED1B-EC95-430B-911D-9BD634BA82DF}"/>
    <cellStyle name="Normal 8 2 5 5 2 3" xfId="12878" xr:uid="{E092CBBD-0C65-47BB-8339-2EFA61262B3C}"/>
    <cellStyle name="Normal 8 2 5 5 3" xfId="6512" xr:uid="{00000000-0005-0000-0000-00001B1D0000}"/>
    <cellStyle name="Normal 8 2 5 5 3 2" xfId="14951" xr:uid="{D97E993A-BEDE-4B1D-901B-4981DC679EC4}"/>
    <cellStyle name="Normal 8 2 5 5 4" xfId="10733" xr:uid="{C7AFAE4A-F0AB-430B-9B4B-6A8C9821A857}"/>
    <cellStyle name="Normal 8 2 5 6" xfId="2641" xr:uid="{00000000-0005-0000-0000-00001C1D0000}"/>
    <cellStyle name="Normal 8 2 5 6 2" xfId="6925" xr:uid="{00000000-0005-0000-0000-00001D1D0000}"/>
    <cellStyle name="Normal 8 2 5 6 2 2" xfId="15364" xr:uid="{1B0E54A3-1568-4F30-A9AD-66C4B4A09F0F}"/>
    <cellStyle name="Normal 8 2 5 6 3" xfId="11146" xr:uid="{C2E82D23-5C35-4BB7-86B9-206FE6CC747C}"/>
    <cellStyle name="Normal 8 2 5 7" xfId="4860" xr:uid="{00000000-0005-0000-0000-00001E1D0000}"/>
    <cellStyle name="Normal 8 2 5 7 2" xfId="13299" xr:uid="{E3DF6040-A508-4027-B3A8-B1306C0A6242}"/>
    <cellStyle name="Normal 8 2 5 8" xfId="9081" xr:uid="{B12BAFA3-7A20-4994-AD20-32F078A94B73}"/>
    <cellStyle name="Normal 8 2 6" xfId="946" xr:uid="{00000000-0005-0000-0000-00001F1D0000}"/>
    <cellStyle name="Normal 8 2 6 2" xfId="3180" xr:uid="{00000000-0005-0000-0000-0000201D0000}"/>
    <cellStyle name="Normal 8 2 6 2 2" xfId="7403" xr:uid="{00000000-0005-0000-0000-0000211D0000}"/>
    <cellStyle name="Normal 8 2 6 2 2 2" xfId="15842" xr:uid="{7B00B429-907E-4BFD-813E-66F5889FF220}"/>
    <cellStyle name="Normal 8 2 6 2 3" xfId="11624" xr:uid="{B033C14E-521F-44B7-B12D-0DF6A2B7CCA9}"/>
    <cellStyle name="Normal 8 2 6 3" xfId="5258" xr:uid="{00000000-0005-0000-0000-0000221D0000}"/>
    <cellStyle name="Normal 8 2 6 3 2" xfId="13697" xr:uid="{D57D9AA1-AE28-4EBC-8688-37A2D6E8AD88}"/>
    <cellStyle name="Normal 8 2 6 4" xfId="9479" xr:uid="{043F11A7-2793-4395-BBEF-0C22A2AE1F0F}"/>
    <cellStyle name="Normal 8 2 7" xfId="1363" xr:uid="{00000000-0005-0000-0000-0000231D0000}"/>
    <cellStyle name="Normal 8 2 7 2" xfId="3593" xr:uid="{00000000-0005-0000-0000-0000241D0000}"/>
    <cellStyle name="Normal 8 2 7 2 2" xfId="7816" xr:uid="{00000000-0005-0000-0000-0000251D0000}"/>
    <cellStyle name="Normal 8 2 7 2 2 2" xfId="16255" xr:uid="{460DEE15-C1F2-4718-9AB6-8997F2457341}"/>
    <cellStyle name="Normal 8 2 7 2 3" xfId="12037" xr:uid="{DF9E868F-0792-492D-871A-94713271C1D7}"/>
    <cellStyle name="Normal 8 2 7 3" xfId="5671" xr:uid="{00000000-0005-0000-0000-0000261D0000}"/>
    <cellStyle name="Normal 8 2 7 3 2" xfId="14110" xr:uid="{2C48B534-0A4C-428F-B43B-314109B4B4C1}"/>
    <cellStyle name="Normal 8 2 7 4" xfId="9892" xr:uid="{B5FB8012-1ED8-446B-931B-5D828EF6B6A3}"/>
    <cellStyle name="Normal 8 2 8" xfId="1776" xr:uid="{00000000-0005-0000-0000-0000271D0000}"/>
    <cellStyle name="Normal 8 2 8 2" xfId="4006" xr:uid="{00000000-0005-0000-0000-0000281D0000}"/>
    <cellStyle name="Normal 8 2 8 2 2" xfId="8229" xr:uid="{00000000-0005-0000-0000-0000291D0000}"/>
    <cellStyle name="Normal 8 2 8 2 2 2" xfId="16668" xr:uid="{76797FD7-AD7A-4272-89FA-077195C9C1BE}"/>
    <cellStyle name="Normal 8 2 8 2 3" xfId="12450" xr:uid="{8DD5872F-164D-414C-9F28-524EA746B14C}"/>
    <cellStyle name="Normal 8 2 8 3" xfId="6084" xr:uid="{00000000-0005-0000-0000-00002A1D0000}"/>
    <cellStyle name="Normal 8 2 8 3 2" xfId="14523" xr:uid="{75457F68-01EF-4A60-9F2A-8F87ADFBC460}"/>
    <cellStyle name="Normal 8 2 8 4" xfId="10305" xr:uid="{2B7DE438-A6EE-4246-8152-43803756E959}"/>
    <cellStyle name="Normal 8 2 9" xfId="2190" xr:uid="{00000000-0005-0000-0000-00002B1D0000}"/>
    <cellStyle name="Normal 8 2 9 2" xfId="4419" xr:uid="{00000000-0005-0000-0000-00002C1D0000}"/>
    <cellStyle name="Normal 8 2 9 2 2" xfId="8642" xr:uid="{00000000-0005-0000-0000-00002D1D0000}"/>
    <cellStyle name="Normal 8 2 9 2 2 2" xfId="17081" xr:uid="{BC429F94-EEC5-4DE3-9A97-A975041EB48B}"/>
    <cellStyle name="Normal 8 2 9 2 3" xfId="12863" xr:uid="{3484427C-3186-404A-93BE-BC61A2DEAAEB}"/>
    <cellStyle name="Normal 8 2 9 3" xfId="6497" xr:uid="{00000000-0005-0000-0000-00002E1D0000}"/>
    <cellStyle name="Normal 8 2 9 3 2" xfId="14936" xr:uid="{7C353975-B22B-49E4-A088-F2180B83E0EB}"/>
    <cellStyle name="Normal 8 2 9 4" xfId="10718" xr:uid="{96208FA1-DCD5-4BB0-B3E8-4A988AEF549D}"/>
    <cellStyle name="Normal 8 3" xfId="495" xr:uid="{00000000-0005-0000-0000-00002F1D0000}"/>
    <cellStyle name="Normal 8 3 10" xfId="4861" xr:uid="{00000000-0005-0000-0000-0000301D0000}"/>
    <cellStyle name="Normal 8 3 10 2" xfId="13300" xr:uid="{041F9FCF-9E56-4D66-92F7-2282F51F1A8B}"/>
    <cellStyle name="Normal 8 3 11" xfId="9082" xr:uid="{3C399C3F-2026-4026-9522-5E300B15717C}"/>
    <cellStyle name="Normal 8 3 2" xfId="496" xr:uid="{00000000-0005-0000-0000-0000311D0000}"/>
    <cellStyle name="Normal 8 3 2 10" xfId="9083" xr:uid="{3F66075F-48F1-46CB-B948-90935613DE24}"/>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FF316197-E988-420C-8C79-C7539547975C}"/>
    <cellStyle name="Normal 8 3 2 2 2 2 2 3" xfId="11643" xr:uid="{D76AB47B-E781-447D-BCDC-8E7B1FB7EA8E}"/>
    <cellStyle name="Normal 8 3 2 2 2 2 3" xfId="5277" xr:uid="{00000000-0005-0000-0000-0000371D0000}"/>
    <cellStyle name="Normal 8 3 2 2 2 2 3 2" xfId="13716" xr:uid="{20D06A35-9411-41A6-B209-BCD643D2CA07}"/>
    <cellStyle name="Normal 8 3 2 2 2 2 4" xfId="9498" xr:uid="{2C1A6833-69B0-4A0A-A399-42B5AE3A7267}"/>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39ABFB61-2360-4DA2-A5C3-97C22A5A033C}"/>
    <cellStyle name="Normal 8 3 2 2 2 3 2 3" xfId="12056" xr:uid="{6CA33892-7CDB-4F9D-A112-DA27B9BAC99B}"/>
    <cellStyle name="Normal 8 3 2 2 2 3 3" xfId="5690" xr:uid="{00000000-0005-0000-0000-00003B1D0000}"/>
    <cellStyle name="Normal 8 3 2 2 2 3 3 2" xfId="14129" xr:uid="{5ECC0859-91FE-45F9-93A0-BB43AC24B55B}"/>
    <cellStyle name="Normal 8 3 2 2 2 3 4" xfId="9911" xr:uid="{FED9AFF8-BAAB-4948-96EF-9911F42F3B25}"/>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04E49A0E-D005-4636-8AFD-FF1A34FDA9E6}"/>
    <cellStyle name="Normal 8 3 2 2 2 4 2 3" xfId="12469" xr:uid="{F720B478-801E-4D03-BD32-64972118B8BD}"/>
    <cellStyle name="Normal 8 3 2 2 2 4 3" xfId="6103" xr:uid="{00000000-0005-0000-0000-00003F1D0000}"/>
    <cellStyle name="Normal 8 3 2 2 2 4 3 2" xfId="14542" xr:uid="{2B7A3A49-336A-47E2-9A37-2A9133B7B163}"/>
    <cellStyle name="Normal 8 3 2 2 2 4 4" xfId="10324" xr:uid="{F327D86D-5DF1-48C8-A155-732BC67F3341}"/>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C6C412D8-9AD4-4FE2-B777-76EA7BB8543E}"/>
    <cellStyle name="Normal 8 3 2 2 2 5 2 3" xfId="12882" xr:uid="{41F78A2D-6425-4D59-B63F-47A16CBF71CF}"/>
    <cellStyle name="Normal 8 3 2 2 2 5 3" xfId="6516" xr:uid="{00000000-0005-0000-0000-0000431D0000}"/>
    <cellStyle name="Normal 8 3 2 2 2 5 3 2" xfId="14955" xr:uid="{6350FBFD-6BC9-4A51-9322-6C9B4AD9D6BA}"/>
    <cellStyle name="Normal 8 3 2 2 2 5 4" xfId="10737" xr:uid="{903159A1-36C1-49FF-A074-791A044D17BD}"/>
    <cellStyle name="Normal 8 3 2 2 2 6" xfId="2645" xr:uid="{00000000-0005-0000-0000-0000441D0000}"/>
    <cellStyle name="Normal 8 3 2 2 2 6 2" xfId="6929" xr:uid="{00000000-0005-0000-0000-0000451D0000}"/>
    <cellStyle name="Normal 8 3 2 2 2 6 2 2" xfId="15368" xr:uid="{705378E9-1CE9-4F95-BF05-2A7DD28750BE}"/>
    <cellStyle name="Normal 8 3 2 2 2 6 3" xfId="11150" xr:uid="{E98124A6-4F76-4EE7-81FE-C06865667E40}"/>
    <cellStyle name="Normal 8 3 2 2 2 7" xfId="4864" xr:uid="{00000000-0005-0000-0000-0000461D0000}"/>
    <cellStyle name="Normal 8 3 2 2 2 7 2" xfId="13303" xr:uid="{F409DB59-0589-429B-ABAA-6B3D2EA6E5D6}"/>
    <cellStyle name="Normal 8 3 2 2 2 8" xfId="9085" xr:uid="{891F72BE-8E1D-44C3-B654-0A7F519A997B}"/>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81679D5E-4C9A-4D4C-B29C-3447AE1E3CA0}"/>
    <cellStyle name="Normal 8 3 2 2 3 2 3" xfId="11642" xr:uid="{AAA9D0C2-D1D8-465A-8527-519139053A74}"/>
    <cellStyle name="Normal 8 3 2 2 3 3" xfId="5276" xr:uid="{00000000-0005-0000-0000-00004A1D0000}"/>
    <cellStyle name="Normal 8 3 2 2 3 3 2" xfId="13715" xr:uid="{CD8ED43A-D3B1-485D-8ABF-1844B55590FE}"/>
    <cellStyle name="Normal 8 3 2 2 3 4" xfId="9497" xr:uid="{8C174132-C95C-4F35-9AA6-122597FB06AF}"/>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25583305-5521-4C79-901D-DDDFC670E667}"/>
    <cellStyle name="Normal 8 3 2 2 4 2 3" xfId="12055" xr:uid="{346AD606-D7FC-4D53-ACBD-7379819BEFB8}"/>
    <cellStyle name="Normal 8 3 2 2 4 3" xfId="5689" xr:uid="{00000000-0005-0000-0000-00004E1D0000}"/>
    <cellStyle name="Normal 8 3 2 2 4 3 2" xfId="14128" xr:uid="{B35D8E92-A693-4BEA-9491-5CEEC4AD9ADF}"/>
    <cellStyle name="Normal 8 3 2 2 4 4" xfId="9910" xr:uid="{F6739E83-AABF-48C9-B547-96AC82405187}"/>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A4DA6225-5167-40C6-8CEA-2EADC7DFE6BF}"/>
    <cellStyle name="Normal 8 3 2 2 5 2 3" xfId="12468" xr:uid="{C68594CD-B60C-47CE-BC40-4F7BED71F266}"/>
    <cellStyle name="Normal 8 3 2 2 5 3" xfId="6102" xr:uid="{00000000-0005-0000-0000-0000521D0000}"/>
    <cellStyle name="Normal 8 3 2 2 5 3 2" xfId="14541" xr:uid="{AD249859-D732-4D49-A8D7-3073C582BBEF}"/>
    <cellStyle name="Normal 8 3 2 2 5 4" xfId="10323" xr:uid="{CF72A3F8-F481-44E1-A11F-B184B1E3D8C1}"/>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567501B1-C4D7-4274-916E-DE90860ACF7A}"/>
    <cellStyle name="Normal 8 3 2 2 6 2 3" xfId="12881" xr:uid="{B35FC364-2F23-4BFD-ACE8-E81ADEBA18EC}"/>
    <cellStyle name="Normal 8 3 2 2 6 3" xfId="6515" xr:uid="{00000000-0005-0000-0000-0000561D0000}"/>
    <cellStyle name="Normal 8 3 2 2 6 3 2" xfId="14954" xr:uid="{8DAA4F89-9FE0-4230-8E65-4BDEA72ADF16}"/>
    <cellStyle name="Normal 8 3 2 2 6 4" xfId="10736" xr:uid="{3B91EFF8-0E1F-4DA2-A73A-50157483D72B}"/>
    <cellStyle name="Normal 8 3 2 2 7" xfId="2644" xr:uid="{00000000-0005-0000-0000-0000571D0000}"/>
    <cellStyle name="Normal 8 3 2 2 7 2" xfId="6928" xr:uid="{00000000-0005-0000-0000-0000581D0000}"/>
    <cellStyle name="Normal 8 3 2 2 7 2 2" xfId="15367" xr:uid="{9E4B1E5D-4013-4F40-B0EC-B2F6C3D279BB}"/>
    <cellStyle name="Normal 8 3 2 2 7 3" xfId="11149" xr:uid="{9F0514F9-F03B-43CD-8AB0-AF5EF46D7EA8}"/>
    <cellStyle name="Normal 8 3 2 2 8" xfId="4863" xr:uid="{00000000-0005-0000-0000-0000591D0000}"/>
    <cellStyle name="Normal 8 3 2 2 8 2" xfId="13302" xr:uid="{EADC431D-6233-49E8-A6CB-F5B5650B7D7D}"/>
    <cellStyle name="Normal 8 3 2 2 9" xfId="9084" xr:uid="{89E50040-F9BF-478C-9260-DB4A5C6EF96B}"/>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3FF92271-31EB-4700-89BF-2C9D612BC650}"/>
    <cellStyle name="Normal 8 3 2 3 2 2 3" xfId="11644" xr:uid="{A59FF1E5-6EED-474E-B6FB-B3B3FE545C11}"/>
    <cellStyle name="Normal 8 3 2 3 2 3" xfId="5278" xr:uid="{00000000-0005-0000-0000-00005E1D0000}"/>
    <cellStyle name="Normal 8 3 2 3 2 3 2" xfId="13717" xr:uid="{606F2CDD-9BD8-4C6C-A909-7EDD8BFBAF9A}"/>
    <cellStyle name="Normal 8 3 2 3 2 4" xfId="9499" xr:uid="{24D5D2B5-0227-4E8D-AF1B-E34CA2D4892C}"/>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CE4D1E53-8390-4171-B232-0D4194246496}"/>
    <cellStyle name="Normal 8 3 2 3 3 2 3" xfId="12057" xr:uid="{46B8ECF7-8076-478A-9C0F-AB197E487291}"/>
    <cellStyle name="Normal 8 3 2 3 3 3" xfId="5691" xr:uid="{00000000-0005-0000-0000-0000621D0000}"/>
    <cellStyle name="Normal 8 3 2 3 3 3 2" xfId="14130" xr:uid="{039955AC-6E4B-4B6C-9DA1-9D16EE53D4D9}"/>
    <cellStyle name="Normal 8 3 2 3 3 4" xfId="9912" xr:uid="{04847C01-1EDD-41D4-AECB-C2D764CD1AF9}"/>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99F4ACED-1E71-4644-BE8A-EC47324C2786}"/>
    <cellStyle name="Normal 8 3 2 3 4 2 3" xfId="12470" xr:uid="{B1C264EB-92FA-4C15-9B7F-10F93C681502}"/>
    <cellStyle name="Normal 8 3 2 3 4 3" xfId="6104" xr:uid="{00000000-0005-0000-0000-0000661D0000}"/>
    <cellStyle name="Normal 8 3 2 3 4 3 2" xfId="14543" xr:uid="{0F3135B7-A44B-44C1-AC31-688D26833861}"/>
    <cellStyle name="Normal 8 3 2 3 4 4" xfId="10325" xr:uid="{A90BA2CF-225E-43E7-8F0C-B4E5D28F70BA}"/>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0AC943A4-370C-4EE1-A556-4410EC2EE73C}"/>
    <cellStyle name="Normal 8 3 2 3 5 2 3" xfId="12883" xr:uid="{0B2E81F7-2E8C-444C-A186-01A63ADDC7F7}"/>
    <cellStyle name="Normal 8 3 2 3 5 3" xfId="6517" xr:uid="{00000000-0005-0000-0000-00006A1D0000}"/>
    <cellStyle name="Normal 8 3 2 3 5 3 2" xfId="14956" xr:uid="{F9CE8EA5-6D57-48DB-9EC0-B41A5172D24C}"/>
    <cellStyle name="Normal 8 3 2 3 5 4" xfId="10738" xr:uid="{7FA6C032-E21B-4AA6-8D0B-C9085EB8F181}"/>
    <cellStyle name="Normal 8 3 2 3 6" xfId="2646" xr:uid="{00000000-0005-0000-0000-00006B1D0000}"/>
    <cellStyle name="Normal 8 3 2 3 6 2" xfId="6930" xr:uid="{00000000-0005-0000-0000-00006C1D0000}"/>
    <cellStyle name="Normal 8 3 2 3 6 2 2" xfId="15369" xr:uid="{19911341-1E18-4310-8BE6-AFC8747CA9B2}"/>
    <cellStyle name="Normal 8 3 2 3 6 3" xfId="11151" xr:uid="{920D51A7-C897-4A0F-A58C-272C870CB27C}"/>
    <cellStyle name="Normal 8 3 2 3 7" xfId="4865" xr:uid="{00000000-0005-0000-0000-00006D1D0000}"/>
    <cellStyle name="Normal 8 3 2 3 7 2" xfId="13304" xr:uid="{2D8948F2-4791-41E7-919C-2CBBB5968B1C}"/>
    <cellStyle name="Normal 8 3 2 3 8" xfId="9086" xr:uid="{8ABCA028-3542-44CF-91D1-8D3D8F24E784}"/>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59CEA383-4F42-4922-8825-B161630AED63}"/>
    <cellStyle name="Normal 8 3 2 4 2 3" xfId="11641" xr:uid="{006294BB-FB36-4A66-8F06-DD7940D32D60}"/>
    <cellStyle name="Normal 8 3 2 4 3" xfId="5275" xr:uid="{00000000-0005-0000-0000-0000711D0000}"/>
    <cellStyle name="Normal 8 3 2 4 3 2" xfId="13714" xr:uid="{52C1E184-09E4-4153-A37E-70187E1B82F1}"/>
    <cellStyle name="Normal 8 3 2 4 4" xfId="9496" xr:uid="{B28DF49C-DCAE-4D6B-912E-99D41907056C}"/>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5D4BF78C-A7B8-43B2-85EF-3B038A9B9E5F}"/>
    <cellStyle name="Normal 8 3 2 5 2 3" xfId="12054" xr:uid="{E288476E-51E5-46F4-857B-31FBFEFE96D5}"/>
    <cellStyle name="Normal 8 3 2 5 3" xfId="5688" xr:uid="{00000000-0005-0000-0000-0000751D0000}"/>
    <cellStyle name="Normal 8 3 2 5 3 2" xfId="14127" xr:uid="{EC6153CE-3266-4957-A32D-1F558AFF0E2B}"/>
    <cellStyle name="Normal 8 3 2 5 4" xfId="9909" xr:uid="{2430BA2A-0C88-4B52-B4F0-8C932BF2705F}"/>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DBE5763A-B9F0-4E4B-8584-44C3C918B662}"/>
    <cellStyle name="Normal 8 3 2 6 2 3" xfId="12467" xr:uid="{DF515D1D-3F9C-4DA3-851A-7D98E04906F6}"/>
    <cellStyle name="Normal 8 3 2 6 3" xfId="6101" xr:uid="{00000000-0005-0000-0000-0000791D0000}"/>
    <cellStyle name="Normal 8 3 2 6 3 2" xfId="14540" xr:uid="{C683A439-A633-4809-84B1-BB03FE191C51}"/>
    <cellStyle name="Normal 8 3 2 6 4" xfId="10322" xr:uid="{513F5BBC-285B-4D22-9F32-976DD16F6823}"/>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C1EBF7EE-1A3E-40A2-BBA0-F5A4A194E412}"/>
    <cellStyle name="Normal 8 3 2 7 2 3" xfId="12880" xr:uid="{99DFC632-0F43-49AE-810A-0342A8FDC2DC}"/>
    <cellStyle name="Normal 8 3 2 7 3" xfId="6514" xr:uid="{00000000-0005-0000-0000-00007D1D0000}"/>
    <cellStyle name="Normal 8 3 2 7 3 2" xfId="14953" xr:uid="{C9329EA4-506C-47CE-A173-350267755109}"/>
    <cellStyle name="Normal 8 3 2 7 4" xfId="10735" xr:uid="{75AFCB78-3AD3-4352-BF45-96DAD35BEAE3}"/>
    <cellStyle name="Normal 8 3 2 8" xfId="2643" xr:uid="{00000000-0005-0000-0000-00007E1D0000}"/>
    <cellStyle name="Normal 8 3 2 8 2" xfId="6927" xr:uid="{00000000-0005-0000-0000-00007F1D0000}"/>
    <cellStyle name="Normal 8 3 2 8 2 2" xfId="15366" xr:uid="{CBB54C48-93FA-4CAA-85D8-6511BDF87704}"/>
    <cellStyle name="Normal 8 3 2 8 3" xfId="11148" xr:uid="{E0F67796-5E3A-4B44-AA71-D6754D67E874}"/>
    <cellStyle name="Normal 8 3 2 9" xfId="4862" xr:uid="{00000000-0005-0000-0000-0000801D0000}"/>
    <cellStyle name="Normal 8 3 2 9 2" xfId="13301" xr:uid="{E52733A1-E77C-49B8-B5FF-D0A28861A52C}"/>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B1770BB0-F888-4986-8544-77D98C26D46D}"/>
    <cellStyle name="Normal 8 3 3 2 2 2 3" xfId="11646" xr:uid="{D2664564-4681-4835-A1DD-192860B22300}"/>
    <cellStyle name="Normal 8 3 3 2 2 3" xfId="5280" xr:uid="{00000000-0005-0000-0000-0000861D0000}"/>
    <cellStyle name="Normal 8 3 3 2 2 3 2" xfId="13719" xr:uid="{27A77744-9534-4383-AB14-055052772889}"/>
    <cellStyle name="Normal 8 3 3 2 2 4" xfId="9501" xr:uid="{4DCE7A5D-11A6-4831-AB7D-E66285874EA7}"/>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820A80B2-E36E-45E3-8404-CCF2E354A604}"/>
    <cellStyle name="Normal 8 3 3 2 3 2 3" xfId="12059" xr:uid="{4CCE2D4E-95CD-4891-B4AA-F98AE4FE4620}"/>
    <cellStyle name="Normal 8 3 3 2 3 3" xfId="5693" xr:uid="{00000000-0005-0000-0000-00008A1D0000}"/>
    <cellStyle name="Normal 8 3 3 2 3 3 2" xfId="14132" xr:uid="{9426563F-BF29-4000-A0D7-8701D6053FFB}"/>
    <cellStyle name="Normal 8 3 3 2 3 4" xfId="9914" xr:uid="{22324923-FD44-4EF6-93F3-E3E623D0E365}"/>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F01B6614-BEC2-4B35-8462-9F369A3E36AD}"/>
    <cellStyle name="Normal 8 3 3 2 4 2 3" xfId="12472" xr:uid="{DA02E0F0-C4A1-4734-9DBF-C03C5FDA57F5}"/>
    <cellStyle name="Normal 8 3 3 2 4 3" xfId="6106" xr:uid="{00000000-0005-0000-0000-00008E1D0000}"/>
    <cellStyle name="Normal 8 3 3 2 4 3 2" xfId="14545" xr:uid="{05E5E5FC-C425-451E-9797-815A655D13C3}"/>
    <cellStyle name="Normal 8 3 3 2 4 4" xfId="10327" xr:uid="{72538939-2D41-4018-AB66-78554ACB83F9}"/>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E326401C-91BD-418A-9704-F45932EF371F}"/>
    <cellStyle name="Normal 8 3 3 2 5 2 3" xfId="12885" xr:uid="{776B5BA1-708F-4853-B9C7-2264408D34AB}"/>
    <cellStyle name="Normal 8 3 3 2 5 3" xfId="6519" xr:uid="{00000000-0005-0000-0000-0000921D0000}"/>
    <cellStyle name="Normal 8 3 3 2 5 3 2" xfId="14958" xr:uid="{70081E1C-AE30-45AE-8FA8-57495D26E548}"/>
    <cellStyle name="Normal 8 3 3 2 5 4" xfId="10740" xr:uid="{E5BA1621-01C6-4ADA-ACEE-0AA681D57C50}"/>
    <cellStyle name="Normal 8 3 3 2 6" xfId="2648" xr:uid="{00000000-0005-0000-0000-0000931D0000}"/>
    <cellStyle name="Normal 8 3 3 2 6 2" xfId="6932" xr:uid="{00000000-0005-0000-0000-0000941D0000}"/>
    <cellStyle name="Normal 8 3 3 2 6 2 2" xfId="15371" xr:uid="{CA41A759-ECFF-408B-8E41-C1BF646253FB}"/>
    <cellStyle name="Normal 8 3 3 2 6 3" xfId="11153" xr:uid="{63E42915-37DF-4FF1-87D1-314E144BC4C4}"/>
    <cellStyle name="Normal 8 3 3 2 7" xfId="4867" xr:uid="{00000000-0005-0000-0000-0000951D0000}"/>
    <cellStyle name="Normal 8 3 3 2 7 2" xfId="13306" xr:uid="{52A6D487-2001-447C-B849-918F4145E3FC}"/>
    <cellStyle name="Normal 8 3 3 2 8" xfId="9088" xr:uid="{A03548D4-0842-491C-92C1-45EC3EB0DE07}"/>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20FC82C0-03C8-44D5-A88A-887EA82BEC4E}"/>
    <cellStyle name="Normal 8 3 3 3 2 3" xfId="11645" xr:uid="{DDF024C6-C3AB-46C6-BE8B-5AB21449C2D8}"/>
    <cellStyle name="Normal 8 3 3 3 3" xfId="5279" xr:uid="{00000000-0005-0000-0000-0000991D0000}"/>
    <cellStyle name="Normal 8 3 3 3 3 2" xfId="13718" xr:uid="{8B4A8F3F-9B42-40DB-ABE4-B3F922943522}"/>
    <cellStyle name="Normal 8 3 3 3 4" xfId="9500" xr:uid="{D9EA67DA-F318-4EF6-8D2A-20B475755A66}"/>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CD732AD4-9703-48F7-AEBE-51BF77C4CFA9}"/>
    <cellStyle name="Normal 8 3 3 4 2 3" xfId="12058" xr:uid="{E7B17A41-74D4-4455-8800-1D818211BAC1}"/>
    <cellStyle name="Normal 8 3 3 4 3" xfId="5692" xr:uid="{00000000-0005-0000-0000-00009D1D0000}"/>
    <cellStyle name="Normal 8 3 3 4 3 2" xfId="14131" xr:uid="{C3CC2733-514A-4669-9CC4-45D9DB5EED5F}"/>
    <cellStyle name="Normal 8 3 3 4 4" xfId="9913" xr:uid="{25B18850-ED1E-4858-8314-47FF9556AF8A}"/>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9228FAA3-6528-46A5-8C79-C0D57C043535}"/>
    <cellStyle name="Normal 8 3 3 5 2 3" xfId="12471" xr:uid="{F58F3E75-BDDB-491B-BB6C-0B9E35558C69}"/>
    <cellStyle name="Normal 8 3 3 5 3" xfId="6105" xr:uid="{00000000-0005-0000-0000-0000A11D0000}"/>
    <cellStyle name="Normal 8 3 3 5 3 2" xfId="14544" xr:uid="{BE79BA95-5427-4933-B3EF-A37EFB019F23}"/>
    <cellStyle name="Normal 8 3 3 5 4" xfId="10326" xr:uid="{D351ABC9-E901-47D8-819F-268734235E66}"/>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390C0679-3C76-4070-8134-04BAA4A4BC57}"/>
    <cellStyle name="Normal 8 3 3 6 2 3" xfId="12884" xr:uid="{DD34E7C9-AD79-4346-8DC0-C504B69029CF}"/>
    <cellStyle name="Normal 8 3 3 6 3" xfId="6518" xr:uid="{00000000-0005-0000-0000-0000A51D0000}"/>
    <cellStyle name="Normal 8 3 3 6 3 2" xfId="14957" xr:uid="{AAFF5EE5-FFA7-4D26-9E80-EF90D441F757}"/>
    <cellStyle name="Normal 8 3 3 6 4" xfId="10739" xr:uid="{CBCBA6CE-7BA7-4E52-855A-BAA8079AA203}"/>
    <cellStyle name="Normal 8 3 3 7" xfId="2647" xr:uid="{00000000-0005-0000-0000-0000A61D0000}"/>
    <cellStyle name="Normal 8 3 3 7 2" xfId="6931" xr:uid="{00000000-0005-0000-0000-0000A71D0000}"/>
    <cellStyle name="Normal 8 3 3 7 2 2" xfId="15370" xr:uid="{270A6547-511A-4A40-883B-C6FA828F9B1C}"/>
    <cellStyle name="Normal 8 3 3 7 3" xfId="11152" xr:uid="{24AFA5D2-5730-4613-8642-745A293B755D}"/>
    <cellStyle name="Normal 8 3 3 8" xfId="4866" xr:uid="{00000000-0005-0000-0000-0000A81D0000}"/>
    <cellStyle name="Normal 8 3 3 8 2" xfId="13305" xr:uid="{6CE7ACAB-BD1E-45D7-88F5-DDA3AB66B3B7}"/>
    <cellStyle name="Normal 8 3 3 9" xfId="9087" xr:uid="{847114AC-C3AB-404B-81D9-8D922980ED6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1FA2849D-4196-4401-B6FE-03074C96D8E6}"/>
    <cellStyle name="Normal 8 3 4 2 2 3" xfId="11647" xr:uid="{887EEFEA-EC23-4015-8220-FD7133825D15}"/>
    <cellStyle name="Normal 8 3 4 2 3" xfId="5281" xr:uid="{00000000-0005-0000-0000-0000AD1D0000}"/>
    <cellStyle name="Normal 8 3 4 2 3 2" xfId="13720" xr:uid="{3AD34FA3-A077-42FF-A198-98D5F2A9072E}"/>
    <cellStyle name="Normal 8 3 4 2 4" xfId="9502" xr:uid="{4BC30F2D-5DC0-4E48-8105-88D0EB69A066}"/>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7FEFF7DF-3258-4917-9707-DAF4AAE2E672}"/>
    <cellStyle name="Normal 8 3 4 3 2 3" xfId="12060" xr:uid="{A2A706EC-9B1D-4D94-BE19-3497E341E9E1}"/>
    <cellStyle name="Normal 8 3 4 3 3" xfId="5694" xr:uid="{00000000-0005-0000-0000-0000B11D0000}"/>
    <cellStyle name="Normal 8 3 4 3 3 2" xfId="14133" xr:uid="{42187CEF-B4F5-40E8-835E-49167F807F0E}"/>
    <cellStyle name="Normal 8 3 4 3 4" xfId="9915" xr:uid="{E3AA479E-E6C8-4C41-AE0B-331BD362169B}"/>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35F4966A-CC67-4843-AB79-95C45259C344}"/>
    <cellStyle name="Normal 8 3 4 4 2 3" xfId="12473" xr:uid="{448F5809-8EA5-409B-AB6F-6A5F77306666}"/>
    <cellStyle name="Normal 8 3 4 4 3" xfId="6107" xr:uid="{00000000-0005-0000-0000-0000B51D0000}"/>
    <cellStyle name="Normal 8 3 4 4 3 2" xfId="14546" xr:uid="{656B00FF-FB51-42EB-AC76-F271AB0A91E6}"/>
    <cellStyle name="Normal 8 3 4 4 4" xfId="10328" xr:uid="{216EDA5C-39BC-471E-9031-B5860C97983E}"/>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C9A93DCD-65CB-435F-9AEE-1B673C3C4C6F}"/>
    <cellStyle name="Normal 8 3 4 5 2 3" xfId="12886" xr:uid="{4F0D4E66-5FFA-4A01-B807-BC9075CEA993}"/>
    <cellStyle name="Normal 8 3 4 5 3" xfId="6520" xr:uid="{00000000-0005-0000-0000-0000B91D0000}"/>
    <cellStyle name="Normal 8 3 4 5 3 2" xfId="14959" xr:uid="{C4506A0D-8275-4882-B284-D870188C4672}"/>
    <cellStyle name="Normal 8 3 4 5 4" xfId="10741" xr:uid="{51228275-82AD-414A-B7F8-BE0AA46973EB}"/>
    <cellStyle name="Normal 8 3 4 6" xfId="2649" xr:uid="{00000000-0005-0000-0000-0000BA1D0000}"/>
    <cellStyle name="Normal 8 3 4 6 2" xfId="6933" xr:uid="{00000000-0005-0000-0000-0000BB1D0000}"/>
    <cellStyle name="Normal 8 3 4 6 2 2" xfId="15372" xr:uid="{444916E6-4FA7-404A-A392-2EEF7971933D}"/>
    <cellStyle name="Normal 8 3 4 6 3" xfId="11154" xr:uid="{5045980D-98CA-4492-9B2F-4B667221AB99}"/>
    <cellStyle name="Normal 8 3 4 7" xfId="4868" xr:uid="{00000000-0005-0000-0000-0000BC1D0000}"/>
    <cellStyle name="Normal 8 3 4 7 2" xfId="13307" xr:uid="{DC84ADEC-E46C-4690-A606-90FF03077654}"/>
    <cellStyle name="Normal 8 3 4 8" xfId="9089" xr:uid="{E4B0FBF5-0946-465C-B215-D6ECAA66CD4B}"/>
    <cellStyle name="Normal 8 3 5" xfId="962" xr:uid="{00000000-0005-0000-0000-0000BD1D0000}"/>
    <cellStyle name="Normal 8 3 5 2" xfId="3196" xr:uid="{00000000-0005-0000-0000-0000BE1D0000}"/>
    <cellStyle name="Normal 8 3 5 2 2" xfId="7419" xr:uid="{00000000-0005-0000-0000-0000BF1D0000}"/>
    <cellStyle name="Normal 8 3 5 2 2 2" xfId="15858" xr:uid="{32E0E94E-40B5-4F48-A5BD-0B448D3645C8}"/>
    <cellStyle name="Normal 8 3 5 2 3" xfId="11640" xr:uid="{738D1DCD-CF9E-48DA-9D32-7E2D46E6AADC}"/>
    <cellStyle name="Normal 8 3 5 3" xfId="5274" xr:uid="{00000000-0005-0000-0000-0000C01D0000}"/>
    <cellStyle name="Normal 8 3 5 3 2" xfId="13713" xr:uid="{034C6726-3D00-4E30-893D-878A959F77E5}"/>
    <cellStyle name="Normal 8 3 5 4" xfId="9495" xr:uid="{17479DDF-4B22-4B63-A194-D2A8501FB358}"/>
    <cellStyle name="Normal 8 3 6" xfId="1379" xr:uid="{00000000-0005-0000-0000-0000C11D0000}"/>
    <cellStyle name="Normal 8 3 6 2" xfId="3609" xr:uid="{00000000-0005-0000-0000-0000C21D0000}"/>
    <cellStyle name="Normal 8 3 6 2 2" xfId="7832" xr:uid="{00000000-0005-0000-0000-0000C31D0000}"/>
    <cellStyle name="Normal 8 3 6 2 2 2" xfId="16271" xr:uid="{343767C8-DF4C-4EE8-B46D-7DA92A0B383A}"/>
    <cellStyle name="Normal 8 3 6 2 3" xfId="12053" xr:uid="{C32614A8-0D00-4D63-B88C-F4B083F4AD1C}"/>
    <cellStyle name="Normal 8 3 6 3" xfId="5687" xr:uid="{00000000-0005-0000-0000-0000C41D0000}"/>
    <cellStyle name="Normal 8 3 6 3 2" xfId="14126" xr:uid="{64ABA10F-B1BC-4398-B6B3-1073B013E740}"/>
    <cellStyle name="Normal 8 3 6 4" xfId="9908" xr:uid="{206DECB7-CD46-4959-B3FF-60371C422289}"/>
    <cellStyle name="Normal 8 3 7" xfId="1792" xr:uid="{00000000-0005-0000-0000-0000C51D0000}"/>
    <cellStyle name="Normal 8 3 7 2" xfId="4022" xr:uid="{00000000-0005-0000-0000-0000C61D0000}"/>
    <cellStyle name="Normal 8 3 7 2 2" xfId="8245" xr:uid="{00000000-0005-0000-0000-0000C71D0000}"/>
    <cellStyle name="Normal 8 3 7 2 2 2" xfId="16684" xr:uid="{D49BABC2-4291-4418-873B-D1EF8D8278AB}"/>
    <cellStyle name="Normal 8 3 7 2 3" xfId="12466" xr:uid="{C5E974EB-A399-40A1-9F67-57FB0DF6700D}"/>
    <cellStyle name="Normal 8 3 7 3" xfId="6100" xr:uid="{00000000-0005-0000-0000-0000C81D0000}"/>
    <cellStyle name="Normal 8 3 7 3 2" xfId="14539" xr:uid="{5F4CAFEC-AE7E-4E79-8457-169F60253F97}"/>
    <cellStyle name="Normal 8 3 7 4" xfId="10321" xr:uid="{11C5B6CB-B535-420D-9584-FED4EAF095FF}"/>
    <cellStyle name="Normal 8 3 8" xfId="2206" xr:uid="{00000000-0005-0000-0000-0000C91D0000}"/>
    <cellStyle name="Normal 8 3 8 2" xfId="4435" xr:uid="{00000000-0005-0000-0000-0000CA1D0000}"/>
    <cellStyle name="Normal 8 3 8 2 2" xfId="8658" xr:uid="{00000000-0005-0000-0000-0000CB1D0000}"/>
    <cellStyle name="Normal 8 3 8 2 2 2" xfId="17097" xr:uid="{70D05DA1-82CC-4288-9E47-70033AC4ABF7}"/>
    <cellStyle name="Normal 8 3 8 2 3" xfId="12879" xr:uid="{A94B7BA8-33A3-4386-8003-B74276B5EF64}"/>
    <cellStyle name="Normal 8 3 8 3" xfId="6513" xr:uid="{00000000-0005-0000-0000-0000CC1D0000}"/>
    <cellStyle name="Normal 8 3 8 3 2" xfId="14952" xr:uid="{BA8A3CAD-0770-4D70-9136-98FEBF49821E}"/>
    <cellStyle name="Normal 8 3 8 4" xfId="10734" xr:uid="{D31A6978-DBFA-429E-AAC8-5B5D063CAB1B}"/>
    <cellStyle name="Normal 8 3 9" xfId="2642" xr:uid="{00000000-0005-0000-0000-0000CD1D0000}"/>
    <cellStyle name="Normal 8 3 9 2" xfId="6926" xr:uid="{00000000-0005-0000-0000-0000CE1D0000}"/>
    <cellStyle name="Normal 8 3 9 2 2" xfId="15365" xr:uid="{4FE3E2AE-7F4F-49FB-ABBE-96343EEB1A56}"/>
    <cellStyle name="Normal 8 3 9 3" xfId="11147" xr:uid="{65DB495A-D942-46F0-88E9-03B23F6E9579}"/>
    <cellStyle name="Normal 8 4" xfId="503" xr:uid="{00000000-0005-0000-0000-0000CF1D0000}"/>
    <cellStyle name="Normal 8 4 10" xfId="9090" xr:uid="{E4E9B74E-726C-49E5-A2B4-A36EAC2A0D9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254CA436-39DD-4ECC-9639-DA1B4480B393}"/>
    <cellStyle name="Normal 8 4 2 2 2 2 3" xfId="11650" xr:uid="{A29D9D97-53FE-4EDA-A5A9-78B5C5F1BB89}"/>
    <cellStyle name="Normal 8 4 2 2 2 3" xfId="5284" xr:uid="{00000000-0005-0000-0000-0000D51D0000}"/>
    <cellStyle name="Normal 8 4 2 2 2 3 2" xfId="13723" xr:uid="{D9D8989B-7B90-47E1-BE3C-EBECFF4ECAB9}"/>
    <cellStyle name="Normal 8 4 2 2 2 4" xfId="9505" xr:uid="{984871AF-B47F-4D91-A89B-7C4ACA499E7F}"/>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C1355A4C-5598-46A1-A21F-99D67F7510D4}"/>
    <cellStyle name="Normal 8 4 2 2 3 2 3" xfId="12063" xr:uid="{C07E93E0-BB1E-48D3-846D-3FD97D1FE533}"/>
    <cellStyle name="Normal 8 4 2 2 3 3" xfId="5697" xr:uid="{00000000-0005-0000-0000-0000D91D0000}"/>
    <cellStyle name="Normal 8 4 2 2 3 3 2" xfId="14136" xr:uid="{DA5D1AFE-EAA9-45C9-B108-9529C211674F}"/>
    <cellStyle name="Normal 8 4 2 2 3 4" xfId="9918" xr:uid="{F9C01AEC-C28A-4103-B28C-96D7E74CB2D7}"/>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3ED14CEA-65A9-4B23-B9FC-DB62A802C3D7}"/>
    <cellStyle name="Normal 8 4 2 2 4 2 3" xfId="12476" xr:uid="{343A7811-AA7A-428C-B032-F4A0CB992788}"/>
    <cellStyle name="Normal 8 4 2 2 4 3" xfId="6110" xr:uid="{00000000-0005-0000-0000-0000DD1D0000}"/>
    <cellStyle name="Normal 8 4 2 2 4 3 2" xfId="14549" xr:uid="{3816B43E-934B-48C4-BB62-D0F36B08DAA4}"/>
    <cellStyle name="Normal 8 4 2 2 4 4" xfId="10331" xr:uid="{E7D9CD79-0323-47F8-ACB8-D228A5389BFC}"/>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75302027-B9F2-4AFF-946C-F1FDB372DA6B}"/>
    <cellStyle name="Normal 8 4 2 2 5 2 3" xfId="12889" xr:uid="{7836F9E2-E9D6-4E95-A078-E09AC6104B18}"/>
    <cellStyle name="Normal 8 4 2 2 5 3" xfId="6523" xr:uid="{00000000-0005-0000-0000-0000E11D0000}"/>
    <cellStyle name="Normal 8 4 2 2 5 3 2" xfId="14962" xr:uid="{2FF5C4B7-6835-4D64-8CD1-C214EB710B81}"/>
    <cellStyle name="Normal 8 4 2 2 5 4" xfId="10744" xr:uid="{E7A16599-7561-4A42-AB46-E3D8E90B5332}"/>
    <cellStyle name="Normal 8 4 2 2 6" xfId="2652" xr:uid="{00000000-0005-0000-0000-0000E21D0000}"/>
    <cellStyle name="Normal 8 4 2 2 6 2" xfId="6936" xr:uid="{00000000-0005-0000-0000-0000E31D0000}"/>
    <cellStyle name="Normal 8 4 2 2 6 2 2" xfId="15375" xr:uid="{97799DA1-EDB5-4335-BB07-3E1C756443FB}"/>
    <cellStyle name="Normal 8 4 2 2 6 3" xfId="11157" xr:uid="{5E8A64DE-BDA5-45B5-915E-C66D56728B68}"/>
    <cellStyle name="Normal 8 4 2 2 7" xfId="4871" xr:uid="{00000000-0005-0000-0000-0000E41D0000}"/>
    <cellStyle name="Normal 8 4 2 2 7 2" xfId="13310" xr:uid="{1F175B7F-7DF4-4AEB-BDB4-7F73CFAD21BA}"/>
    <cellStyle name="Normal 8 4 2 2 8" xfId="9092" xr:uid="{65A4354C-38FE-48DD-9A4A-85D7DB6E784D}"/>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CFC18B4F-A261-48F3-83BC-A725BB8F11C7}"/>
    <cellStyle name="Normal 8 4 2 3 2 3" xfId="11649" xr:uid="{78E93E05-6129-4DEE-8321-546A1DFCA305}"/>
    <cellStyle name="Normal 8 4 2 3 3" xfId="5283" xr:uid="{00000000-0005-0000-0000-0000E81D0000}"/>
    <cellStyle name="Normal 8 4 2 3 3 2" xfId="13722" xr:uid="{4264D03E-0FB4-440A-B6D0-3A8CAA4F24C9}"/>
    <cellStyle name="Normal 8 4 2 3 4" xfId="9504" xr:uid="{DB28C00E-908B-442A-80AA-4F288E65ADF1}"/>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B336A9D1-470E-4A31-9EF0-99B8CB3DF9D7}"/>
    <cellStyle name="Normal 8 4 2 4 2 3" xfId="12062" xr:uid="{E8C89F3F-3DE3-4239-A19D-52E4F37F14C7}"/>
    <cellStyle name="Normal 8 4 2 4 3" xfId="5696" xr:uid="{00000000-0005-0000-0000-0000EC1D0000}"/>
    <cellStyle name="Normal 8 4 2 4 3 2" xfId="14135" xr:uid="{C01DD581-576A-4603-B116-76D1662E666E}"/>
    <cellStyle name="Normal 8 4 2 4 4" xfId="9917" xr:uid="{E448516E-78D2-4D22-90AC-62DBFD7CA601}"/>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AA47E1AF-D418-4E33-9719-AA10AB497279}"/>
    <cellStyle name="Normal 8 4 2 5 2 3" xfId="12475" xr:uid="{57D31E5F-E889-447F-A6A0-0193F15206B7}"/>
    <cellStyle name="Normal 8 4 2 5 3" xfId="6109" xr:uid="{00000000-0005-0000-0000-0000F01D0000}"/>
    <cellStyle name="Normal 8 4 2 5 3 2" xfId="14548" xr:uid="{694C21E0-E2E8-4B62-9024-F8F902EF1E0F}"/>
    <cellStyle name="Normal 8 4 2 5 4" xfId="10330" xr:uid="{B3355871-8F1B-4AAE-A14B-1F6E7B369B14}"/>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BC60F773-0969-424B-A058-CFF4F2FA1E78}"/>
    <cellStyle name="Normal 8 4 2 6 2 3" xfId="12888" xr:uid="{3EBE43B1-62D0-4425-AE1C-22B95071D888}"/>
    <cellStyle name="Normal 8 4 2 6 3" xfId="6522" xr:uid="{00000000-0005-0000-0000-0000F41D0000}"/>
    <cellStyle name="Normal 8 4 2 6 3 2" xfId="14961" xr:uid="{581D46F3-DE63-42E3-A6A5-4EF4A1406A21}"/>
    <cellStyle name="Normal 8 4 2 6 4" xfId="10743" xr:uid="{FF1FEFF4-2431-49FC-8FF2-FAD0A3C607D2}"/>
    <cellStyle name="Normal 8 4 2 7" xfId="2651" xr:uid="{00000000-0005-0000-0000-0000F51D0000}"/>
    <cellStyle name="Normal 8 4 2 7 2" xfId="6935" xr:uid="{00000000-0005-0000-0000-0000F61D0000}"/>
    <cellStyle name="Normal 8 4 2 7 2 2" xfId="15374" xr:uid="{F994C470-D045-48D8-B508-1B9D8A85F906}"/>
    <cellStyle name="Normal 8 4 2 7 3" xfId="11156" xr:uid="{6C96AC2C-22C8-4741-B21F-885C0A27A99A}"/>
    <cellStyle name="Normal 8 4 2 8" xfId="4870" xr:uid="{00000000-0005-0000-0000-0000F71D0000}"/>
    <cellStyle name="Normal 8 4 2 8 2" xfId="13309" xr:uid="{3D87B915-FE0D-48B0-B4BB-416A43E8A22B}"/>
    <cellStyle name="Normal 8 4 2 9" xfId="9091" xr:uid="{18A8B00D-0705-4DA6-9D70-3905217EA8EB}"/>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252E6B1E-E700-4E6F-885D-F7246F0C10C3}"/>
    <cellStyle name="Normal 8 4 3 2 2 3" xfId="11651" xr:uid="{4A1C2C71-C51C-47C4-8338-E2C7C2B97280}"/>
    <cellStyle name="Normal 8 4 3 2 3" xfId="5285" xr:uid="{00000000-0005-0000-0000-0000FC1D0000}"/>
    <cellStyle name="Normal 8 4 3 2 3 2" xfId="13724" xr:uid="{3FB8A3A6-C176-40D8-8219-9D2ECE460EF6}"/>
    <cellStyle name="Normal 8 4 3 2 4" xfId="9506" xr:uid="{63232914-E06B-47FF-942E-303D7826A26F}"/>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161DBBA4-2C0F-40A0-AFE3-159E2F7EE464}"/>
    <cellStyle name="Normal 8 4 3 3 2 3" xfId="12064" xr:uid="{EABD4B3E-7B56-4E7F-95EF-594DB85E1C1F}"/>
    <cellStyle name="Normal 8 4 3 3 3" xfId="5698" xr:uid="{00000000-0005-0000-0000-0000001E0000}"/>
    <cellStyle name="Normal 8 4 3 3 3 2" xfId="14137" xr:uid="{97F024CC-9C8A-471E-81AA-2A9A7A9F79DA}"/>
    <cellStyle name="Normal 8 4 3 3 4" xfId="9919" xr:uid="{BBBAAF95-C3F7-4993-857C-869A476E0B54}"/>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E232021D-0EFB-4CB6-A1BE-DCA7002C26A8}"/>
    <cellStyle name="Normal 8 4 3 4 2 3" xfId="12477" xr:uid="{2E9F4A8B-A09A-41C1-AFDF-B778931C0664}"/>
    <cellStyle name="Normal 8 4 3 4 3" xfId="6111" xr:uid="{00000000-0005-0000-0000-0000041E0000}"/>
    <cellStyle name="Normal 8 4 3 4 3 2" xfId="14550" xr:uid="{191D31C0-52AF-4605-9C59-4859846A17E1}"/>
    <cellStyle name="Normal 8 4 3 4 4" xfId="10332" xr:uid="{F9257F3B-DC89-4B3F-9435-D7336446D232}"/>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2370CEB5-37D5-48EE-88A6-528BAB51C6A3}"/>
    <cellStyle name="Normal 8 4 3 5 2 3" xfId="12890" xr:uid="{2F50508F-5753-45DF-B2F3-4DD318C2C33B}"/>
    <cellStyle name="Normal 8 4 3 5 3" xfId="6524" xr:uid="{00000000-0005-0000-0000-0000081E0000}"/>
    <cellStyle name="Normal 8 4 3 5 3 2" xfId="14963" xr:uid="{F5664571-D7FF-42AA-B689-8714D1844214}"/>
    <cellStyle name="Normal 8 4 3 5 4" xfId="10745" xr:uid="{804BAD66-AF22-4F7C-8778-53B73D882A97}"/>
    <cellStyle name="Normal 8 4 3 6" xfId="2653" xr:uid="{00000000-0005-0000-0000-0000091E0000}"/>
    <cellStyle name="Normal 8 4 3 6 2" xfId="6937" xr:uid="{00000000-0005-0000-0000-00000A1E0000}"/>
    <cellStyle name="Normal 8 4 3 6 2 2" xfId="15376" xr:uid="{09AB8502-4789-4D6E-9210-5FADDF27A4B5}"/>
    <cellStyle name="Normal 8 4 3 6 3" xfId="11158" xr:uid="{9115880F-7F8B-46CA-A9E4-4937748CF27A}"/>
    <cellStyle name="Normal 8 4 3 7" xfId="4872" xr:uid="{00000000-0005-0000-0000-00000B1E0000}"/>
    <cellStyle name="Normal 8 4 3 7 2" xfId="13311" xr:uid="{5D1964A6-DBF0-41E2-BD78-690DF77D5EF6}"/>
    <cellStyle name="Normal 8 4 3 8" xfId="9093" xr:uid="{CD3A49F8-D09A-4FA6-87F0-EF8EAA0CFE9A}"/>
    <cellStyle name="Normal 8 4 4" xfId="970" xr:uid="{00000000-0005-0000-0000-00000C1E0000}"/>
    <cellStyle name="Normal 8 4 4 2" xfId="3204" xr:uid="{00000000-0005-0000-0000-00000D1E0000}"/>
    <cellStyle name="Normal 8 4 4 2 2" xfId="7427" xr:uid="{00000000-0005-0000-0000-00000E1E0000}"/>
    <cellStyle name="Normal 8 4 4 2 2 2" xfId="15866" xr:uid="{91EA29CE-B1E4-499F-BFEC-5299D4676849}"/>
    <cellStyle name="Normal 8 4 4 2 3" xfId="11648" xr:uid="{52EE8C00-3119-4A30-974F-342DAC9BC8EE}"/>
    <cellStyle name="Normal 8 4 4 3" xfId="5282" xr:uid="{00000000-0005-0000-0000-00000F1E0000}"/>
    <cellStyle name="Normal 8 4 4 3 2" xfId="13721" xr:uid="{0CDF3861-7F75-41C4-8DDC-CA561EEE7DCE}"/>
    <cellStyle name="Normal 8 4 4 4" xfId="9503" xr:uid="{B087CC34-746B-4926-857E-C5BB7E9945B1}"/>
    <cellStyle name="Normal 8 4 5" xfId="1387" xr:uid="{00000000-0005-0000-0000-0000101E0000}"/>
    <cellStyle name="Normal 8 4 5 2" xfId="3617" xr:uid="{00000000-0005-0000-0000-0000111E0000}"/>
    <cellStyle name="Normal 8 4 5 2 2" xfId="7840" xr:uid="{00000000-0005-0000-0000-0000121E0000}"/>
    <cellStyle name="Normal 8 4 5 2 2 2" xfId="16279" xr:uid="{FDBC9B12-1ADA-4DC0-AF43-C08349B6014C}"/>
    <cellStyle name="Normal 8 4 5 2 3" xfId="12061" xr:uid="{3C613D6B-2542-4CC9-A2B7-DAFE2284D0A2}"/>
    <cellStyle name="Normal 8 4 5 3" xfId="5695" xr:uid="{00000000-0005-0000-0000-0000131E0000}"/>
    <cellStyle name="Normal 8 4 5 3 2" xfId="14134" xr:uid="{41D49804-5226-450F-9AF6-F1A1A0CF2A35}"/>
    <cellStyle name="Normal 8 4 5 4" xfId="9916" xr:uid="{697B5C8F-305C-4DEB-9318-7908F9D04288}"/>
    <cellStyle name="Normal 8 4 6" xfId="1800" xr:uid="{00000000-0005-0000-0000-0000141E0000}"/>
    <cellStyle name="Normal 8 4 6 2" xfId="4030" xr:uid="{00000000-0005-0000-0000-0000151E0000}"/>
    <cellStyle name="Normal 8 4 6 2 2" xfId="8253" xr:uid="{00000000-0005-0000-0000-0000161E0000}"/>
    <cellStyle name="Normal 8 4 6 2 2 2" xfId="16692" xr:uid="{5A962B0B-EC79-4484-8361-8E91AD57F8B8}"/>
    <cellStyle name="Normal 8 4 6 2 3" xfId="12474" xr:uid="{868A517B-ADE5-49D8-90F6-A25481918266}"/>
    <cellStyle name="Normal 8 4 6 3" xfId="6108" xr:uid="{00000000-0005-0000-0000-0000171E0000}"/>
    <cellStyle name="Normal 8 4 6 3 2" xfId="14547" xr:uid="{06CC0103-B3C4-4711-982E-0B282F5C1E8C}"/>
    <cellStyle name="Normal 8 4 6 4" xfId="10329" xr:uid="{4C77B7CF-3702-4BFC-90C9-9E1D0DB8ADF7}"/>
    <cellStyle name="Normal 8 4 7" xfId="2214" xr:uid="{00000000-0005-0000-0000-0000181E0000}"/>
    <cellStyle name="Normal 8 4 7 2" xfId="4443" xr:uid="{00000000-0005-0000-0000-0000191E0000}"/>
    <cellStyle name="Normal 8 4 7 2 2" xfId="8666" xr:uid="{00000000-0005-0000-0000-00001A1E0000}"/>
    <cellStyle name="Normal 8 4 7 2 2 2" xfId="17105" xr:uid="{AFCDC8AD-9155-467D-827B-51C08EF8442B}"/>
    <cellStyle name="Normal 8 4 7 2 3" xfId="12887" xr:uid="{50E090B3-FF5C-4C8C-8B6D-94A3812E01B3}"/>
    <cellStyle name="Normal 8 4 7 3" xfId="6521" xr:uid="{00000000-0005-0000-0000-00001B1E0000}"/>
    <cellStyle name="Normal 8 4 7 3 2" xfId="14960" xr:uid="{D4483D46-6AA4-4E50-9C37-08E1E3679C68}"/>
    <cellStyle name="Normal 8 4 7 4" xfId="10742" xr:uid="{DCDA3AB4-1990-44A7-895E-C572E7A2BA8B}"/>
    <cellStyle name="Normal 8 4 8" xfId="2650" xr:uid="{00000000-0005-0000-0000-00001C1E0000}"/>
    <cellStyle name="Normal 8 4 8 2" xfId="6934" xr:uid="{00000000-0005-0000-0000-00001D1E0000}"/>
    <cellStyle name="Normal 8 4 8 2 2" xfId="15373" xr:uid="{517B3243-E7C6-48C1-B1A3-7078AB53C6B5}"/>
    <cellStyle name="Normal 8 4 8 3" xfId="11155" xr:uid="{7D2A2EA0-59F4-451A-A84B-CF3C3459C73C}"/>
    <cellStyle name="Normal 8 4 9" xfId="4869" xr:uid="{00000000-0005-0000-0000-00001E1E0000}"/>
    <cellStyle name="Normal 8 4 9 2" xfId="13308" xr:uid="{67499ACF-F27C-427D-92D0-4642401CA69A}"/>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C0D76B37-2A80-494A-8B56-75C8068AF769}"/>
    <cellStyle name="Normal 8 5 2 2 2 3" xfId="11653" xr:uid="{6605CA70-6412-429A-B0D4-440801A6D395}"/>
    <cellStyle name="Normal 8 5 2 2 3" xfId="5287" xr:uid="{00000000-0005-0000-0000-0000241E0000}"/>
    <cellStyle name="Normal 8 5 2 2 3 2" xfId="13726" xr:uid="{6423F5C2-DFA4-485E-A4B6-5ECFB25793CF}"/>
    <cellStyle name="Normal 8 5 2 2 4" xfId="9508" xr:uid="{0155906E-932D-4423-B569-6ED001BEADEE}"/>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4CF1FC28-EE40-4F51-A411-42EC59EF2687}"/>
    <cellStyle name="Normal 8 5 2 3 2 3" xfId="12066" xr:uid="{94733B27-3EA1-4893-9675-C6B3CC8FFE24}"/>
    <cellStyle name="Normal 8 5 2 3 3" xfId="5700" xr:uid="{00000000-0005-0000-0000-0000281E0000}"/>
    <cellStyle name="Normal 8 5 2 3 3 2" xfId="14139" xr:uid="{240AD63B-3903-4E73-9DFD-510D384A48AF}"/>
    <cellStyle name="Normal 8 5 2 3 4" xfId="9921" xr:uid="{2451EA74-9A6E-4006-BA3C-F402A7554D31}"/>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04E37445-6BA2-43B8-823E-DDF5B85BE588}"/>
    <cellStyle name="Normal 8 5 2 4 2 3" xfId="12479" xr:uid="{BF4DD6BF-9F23-4268-8F20-401E0950F828}"/>
    <cellStyle name="Normal 8 5 2 4 3" xfId="6113" xr:uid="{00000000-0005-0000-0000-00002C1E0000}"/>
    <cellStyle name="Normal 8 5 2 4 3 2" xfId="14552" xr:uid="{ACE1DF8B-B0D3-41D3-9FC4-2A9F937E8591}"/>
    <cellStyle name="Normal 8 5 2 4 4" xfId="10334" xr:uid="{3BFEC412-980F-43CC-8455-3287D899D0AF}"/>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3DA4F1D8-0BE9-4B73-BCF8-05E10DDC810F}"/>
    <cellStyle name="Normal 8 5 2 5 2 3" xfId="12892" xr:uid="{2766A5FC-BDFA-4C44-A1E8-7C1A0E72FC94}"/>
    <cellStyle name="Normal 8 5 2 5 3" xfId="6526" xr:uid="{00000000-0005-0000-0000-0000301E0000}"/>
    <cellStyle name="Normal 8 5 2 5 3 2" xfId="14965" xr:uid="{8EE9071A-2059-4761-8A37-9652ED3D7A1F}"/>
    <cellStyle name="Normal 8 5 2 5 4" xfId="10747" xr:uid="{B900F7D2-990D-4839-B50C-D829E73F038E}"/>
    <cellStyle name="Normal 8 5 2 6" xfId="2655" xr:uid="{00000000-0005-0000-0000-0000311E0000}"/>
    <cellStyle name="Normal 8 5 2 6 2" xfId="6939" xr:uid="{00000000-0005-0000-0000-0000321E0000}"/>
    <cellStyle name="Normal 8 5 2 6 2 2" xfId="15378" xr:uid="{86708669-8663-434A-A5D5-8A87258C6DFF}"/>
    <cellStyle name="Normal 8 5 2 6 3" xfId="11160" xr:uid="{11023127-86B4-498E-BAC6-B6C532576397}"/>
    <cellStyle name="Normal 8 5 2 7" xfId="4874" xr:uid="{00000000-0005-0000-0000-0000331E0000}"/>
    <cellStyle name="Normal 8 5 2 7 2" xfId="13313" xr:uid="{0F007560-2F6C-47A0-987E-B2BA566517F0}"/>
    <cellStyle name="Normal 8 5 2 8" xfId="9095" xr:uid="{12E9968D-7E49-46FB-86A2-9EABF59574C0}"/>
    <cellStyle name="Normal 8 5 3" xfId="974" xr:uid="{00000000-0005-0000-0000-0000341E0000}"/>
    <cellStyle name="Normal 8 5 3 2" xfId="3208" xr:uid="{00000000-0005-0000-0000-0000351E0000}"/>
    <cellStyle name="Normal 8 5 3 2 2" xfId="7431" xr:uid="{00000000-0005-0000-0000-0000361E0000}"/>
    <cellStyle name="Normal 8 5 3 2 2 2" xfId="15870" xr:uid="{92E2D499-8EAF-4AAE-A33C-118AD88013A3}"/>
    <cellStyle name="Normal 8 5 3 2 3" xfId="11652" xr:uid="{3DC8B9E0-2A9A-4746-AA6C-F5B0B6C6EA21}"/>
    <cellStyle name="Normal 8 5 3 3" xfId="5286" xr:uid="{00000000-0005-0000-0000-0000371E0000}"/>
    <cellStyle name="Normal 8 5 3 3 2" xfId="13725" xr:uid="{4FB88C26-570A-4B42-A341-5C6F4E6745B0}"/>
    <cellStyle name="Normal 8 5 3 4" xfId="9507" xr:uid="{CE765BFE-DD8E-41B2-A496-43E33B941815}"/>
    <cellStyle name="Normal 8 5 4" xfId="1391" xr:uid="{00000000-0005-0000-0000-0000381E0000}"/>
    <cellStyle name="Normal 8 5 4 2" xfId="3621" xr:uid="{00000000-0005-0000-0000-0000391E0000}"/>
    <cellStyle name="Normal 8 5 4 2 2" xfId="7844" xr:uid="{00000000-0005-0000-0000-00003A1E0000}"/>
    <cellStyle name="Normal 8 5 4 2 2 2" xfId="16283" xr:uid="{EE958525-D971-4879-8FFD-12D24D862536}"/>
    <cellStyle name="Normal 8 5 4 2 3" xfId="12065" xr:uid="{06E1DC72-2E64-496E-B23B-CD6C17C5784A}"/>
    <cellStyle name="Normal 8 5 4 3" xfId="5699" xr:uid="{00000000-0005-0000-0000-00003B1E0000}"/>
    <cellStyle name="Normal 8 5 4 3 2" xfId="14138" xr:uid="{88EF5E83-D7CE-45C4-A263-C2AFB17EDCE1}"/>
    <cellStyle name="Normal 8 5 4 4" xfId="9920" xr:uid="{C29AC6F9-E063-47A3-BABC-D5E8CC7571BA}"/>
    <cellStyle name="Normal 8 5 5" xfId="1804" xr:uid="{00000000-0005-0000-0000-00003C1E0000}"/>
    <cellStyle name="Normal 8 5 5 2" xfId="4034" xr:uid="{00000000-0005-0000-0000-00003D1E0000}"/>
    <cellStyle name="Normal 8 5 5 2 2" xfId="8257" xr:uid="{00000000-0005-0000-0000-00003E1E0000}"/>
    <cellStyle name="Normal 8 5 5 2 2 2" xfId="16696" xr:uid="{BA498673-229E-4A73-B3C8-F7CE11FB6F6A}"/>
    <cellStyle name="Normal 8 5 5 2 3" xfId="12478" xr:uid="{F043DF7D-F677-4A17-B8B3-46382310C73D}"/>
    <cellStyle name="Normal 8 5 5 3" xfId="6112" xr:uid="{00000000-0005-0000-0000-00003F1E0000}"/>
    <cellStyle name="Normal 8 5 5 3 2" xfId="14551" xr:uid="{1011F6DE-6057-4E93-B3FE-2BB07163B5C6}"/>
    <cellStyle name="Normal 8 5 5 4" xfId="10333" xr:uid="{BE5D2A07-81D9-4FFE-8ECF-1674C6D19385}"/>
    <cellStyle name="Normal 8 5 6" xfId="2218" xr:uid="{00000000-0005-0000-0000-0000401E0000}"/>
    <cellStyle name="Normal 8 5 6 2" xfId="4447" xr:uid="{00000000-0005-0000-0000-0000411E0000}"/>
    <cellStyle name="Normal 8 5 6 2 2" xfId="8670" xr:uid="{00000000-0005-0000-0000-0000421E0000}"/>
    <cellStyle name="Normal 8 5 6 2 2 2" xfId="17109" xr:uid="{2A218F32-6D6D-48D2-BC1C-A8234879825A}"/>
    <cellStyle name="Normal 8 5 6 2 3" xfId="12891" xr:uid="{72187E3B-DC4E-4EDD-96D5-5E35D39EED67}"/>
    <cellStyle name="Normal 8 5 6 3" xfId="6525" xr:uid="{00000000-0005-0000-0000-0000431E0000}"/>
    <cellStyle name="Normal 8 5 6 3 2" xfId="14964" xr:uid="{BED245EA-4699-46A2-AA78-ECBCE525797E}"/>
    <cellStyle name="Normal 8 5 6 4" xfId="10746" xr:uid="{5D3A0926-DD56-4684-9BB9-7BCCAE821CB3}"/>
    <cellStyle name="Normal 8 5 7" xfId="2654" xr:uid="{00000000-0005-0000-0000-0000441E0000}"/>
    <cellStyle name="Normal 8 5 7 2" xfId="6938" xr:uid="{00000000-0005-0000-0000-0000451E0000}"/>
    <cellStyle name="Normal 8 5 7 2 2" xfId="15377" xr:uid="{085DACDA-39D3-4D9C-BD5B-442E419074C9}"/>
    <cellStyle name="Normal 8 5 7 3" xfId="11159" xr:uid="{6B881B1F-A24E-4A3C-B872-DC4981AEF575}"/>
    <cellStyle name="Normal 8 5 8" xfId="4873" xr:uid="{00000000-0005-0000-0000-0000461E0000}"/>
    <cellStyle name="Normal 8 5 8 2" xfId="13312" xr:uid="{CDDADB0D-E1CD-4926-8BD2-D824F8D4F156}"/>
    <cellStyle name="Normal 8 5 9" xfId="9094" xr:uid="{811F38BC-6914-4EB7-AA34-89676F1D0D55}"/>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A8408E38-5F9D-4D59-95DB-C543DB527262}"/>
    <cellStyle name="Normal 8 6 2 2 3" xfId="11654" xr:uid="{DFEC27AC-8F6B-44A9-873B-C31ED56C8594}"/>
    <cellStyle name="Normal 8 6 2 3" xfId="5288" xr:uid="{00000000-0005-0000-0000-00004B1E0000}"/>
    <cellStyle name="Normal 8 6 2 3 2" xfId="13727" xr:uid="{5E659BC9-BF4E-48C5-B7CE-3A96FD1FF910}"/>
    <cellStyle name="Normal 8 6 2 4" xfId="9509" xr:uid="{582D08AA-041E-439F-B6B0-F98BAE241108}"/>
    <cellStyle name="Normal 8 6 3" xfId="1393" xr:uid="{00000000-0005-0000-0000-00004C1E0000}"/>
    <cellStyle name="Normal 8 6 3 2" xfId="3623" xr:uid="{00000000-0005-0000-0000-00004D1E0000}"/>
    <cellStyle name="Normal 8 6 3 2 2" xfId="7846" xr:uid="{00000000-0005-0000-0000-00004E1E0000}"/>
    <cellStyle name="Normal 8 6 3 2 2 2" xfId="16285" xr:uid="{128AB377-3705-414E-A08C-16E31B4FBE94}"/>
    <cellStyle name="Normal 8 6 3 2 3" xfId="12067" xr:uid="{C757C084-C515-41DB-ACFE-655BBCFA87DD}"/>
    <cellStyle name="Normal 8 6 3 3" xfId="5701" xr:uid="{00000000-0005-0000-0000-00004F1E0000}"/>
    <cellStyle name="Normal 8 6 3 3 2" xfId="14140" xr:uid="{5400357A-58EC-4D7F-91C1-9454D574AA4F}"/>
    <cellStyle name="Normal 8 6 3 4" xfId="9922" xr:uid="{98B7A279-B2DD-45C7-ADDE-E36844D9F1E2}"/>
    <cellStyle name="Normal 8 6 4" xfId="1806" xr:uid="{00000000-0005-0000-0000-0000501E0000}"/>
    <cellStyle name="Normal 8 6 4 2" xfId="4036" xr:uid="{00000000-0005-0000-0000-0000511E0000}"/>
    <cellStyle name="Normal 8 6 4 2 2" xfId="8259" xr:uid="{00000000-0005-0000-0000-0000521E0000}"/>
    <cellStyle name="Normal 8 6 4 2 2 2" xfId="16698" xr:uid="{3C5014BD-0D70-4D51-AAD0-938CC2DACB82}"/>
    <cellStyle name="Normal 8 6 4 2 3" xfId="12480" xr:uid="{836A1F3B-4A61-4AAE-A1AE-349FC31A590E}"/>
    <cellStyle name="Normal 8 6 4 3" xfId="6114" xr:uid="{00000000-0005-0000-0000-0000531E0000}"/>
    <cellStyle name="Normal 8 6 4 3 2" xfId="14553" xr:uid="{06F13376-935E-45B1-9A20-33681C61341D}"/>
    <cellStyle name="Normal 8 6 4 4" xfId="10335" xr:uid="{D3B41B59-E2DF-413F-A7A4-0B5EA4D28101}"/>
    <cellStyle name="Normal 8 6 5" xfId="2220" xr:uid="{00000000-0005-0000-0000-0000541E0000}"/>
    <cellStyle name="Normal 8 6 5 2" xfId="4449" xr:uid="{00000000-0005-0000-0000-0000551E0000}"/>
    <cellStyle name="Normal 8 6 5 2 2" xfId="8672" xr:uid="{00000000-0005-0000-0000-0000561E0000}"/>
    <cellStyle name="Normal 8 6 5 2 2 2" xfId="17111" xr:uid="{BB346AF6-ECEC-4A97-BDA4-73F7ED504C0C}"/>
    <cellStyle name="Normal 8 6 5 2 3" xfId="12893" xr:uid="{084D317E-11D5-4516-BF71-2FD5D341149B}"/>
    <cellStyle name="Normal 8 6 5 3" xfId="6527" xr:uid="{00000000-0005-0000-0000-0000571E0000}"/>
    <cellStyle name="Normal 8 6 5 3 2" xfId="14966" xr:uid="{FC03AD3F-FF22-44B6-817D-304758088367}"/>
    <cellStyle name="Normal 8 6 5 4" xfId="10748" xr:uid="{2DB20BF8-B5C0-48E5-8276-F400502E9369}"/>
    <cellStyle name="Normal 8 6 6" xfId="2656" xr:uid="{00000000-0005-0000-0000-0000581E0000}"/>
    <cellStyle name="Normal 8 6 6 2" xfId="6940" xr:uid="{00000000-0005-0000-0000-0000591E0000}"/>
    <cellStyle name="Normal 8 6 6 2 2" xfId="15379" xr:uid="{06D788CA-1434-4983-B867-F1E0077009E1}"/>
    <cellStyle name="Normal 8 6 6 3" xfId="11161" xr:uid="{E708BFE2-5EB1-4A22-8673-2FB5748C4343}"/>
    <cellStyle name="Normal 8 6 7" xfId="4875" xr:uid="{00000000-0005-0000-0000-00005A1E0000}"/>
    <cellStyle name="Normal 8 6 7 2" xfId="13314" xr:uid="{E5EF34EF-B19D-422B-A1F8-BCCADDA0067C}"/>
    <cellStyle name="Normal 8 6 8" xfId="9096" xr:uid="{4CEFA27B-6BAE-477D-87A7-2259CF318E4E}"/>
    <cellStyle name="Normal 8 7" xfId="945" xr:uid="{00000000-0005-0000-0000-00005B1E0000}"/>
    <cellStyle name="Normal 8 7 2" xfId="3179" xr:uid="{00000000-0005-0000-0000-00005C1E0000}"/>
    <cellStyle name="Normal 8 7 2 2" xfId="7402" xr:uid="{00000000-0005-0000-0000-00005D1E0000}"/>
    <cellStyle name="Normal 8 7 2 2 2" xfId="15841" xr:uid="{45AC50E8-A595-464F-9898-86CDF10ADF08}"/>
    <cellStyle name="Normal 8 7 2 3" xfId="11623" xr:uid="{E16B2CF1-ADC0-4256-A505-088A9936D092}"/>
    <cellStyle name="Normal 8 7 3" xfId="5257" xr:uid="{00000000-0005-0000-0000-00005E1E0000}"/>
    <cellStyle name="Normal 8 7 3 2" xfId="13696" xr:uid="{DE5CA539-705E-475C-A64C-10A0C7E0215F}"/>
    <cellStyle name="Normal 8 7 4" xfId="9478" xr:uid="{CACC4362-5CB1-4156-8177-853BD3379BB5}"/>
    <cellStyle name="Normal 8 8" xfId="1362" xr:uid="{00000000-0005-0000-0000-00005F1E0000}"/>
    <cellStyle name="Normal 8 8 2" xfId="3592" xr:uid="{00000000-0005-0000-0000-0000601E0000}"/>
    <cellStyle name="Normal 8 8 2 2" xfId="7815" xr:uid="{00000000-0005-0000-0000-0000611E0000}"/>
    <cellStyle name="Normal 8 8 2 2 2" xfId="16254" xr:uid="{23691941-16F0-4249-B379-C42D547CBA06}"/>
    <cellStyle name="Normal 8 8 2 3" xfId="12036" xr:uid="{DD845BC9-429F-4EBE-91F8-B435AF364C87}"/>
    <cellStyle name="Normal 8 8 3" xfId="5670" xr:uid="{00000000-0005-0000-0000-0000621E0000}"/>
    <cellStyle name="Normal 8 8 3 2" xfId="14109" xr:uid="{EE1279D2-020A-498C-B7C0-44BB91E5CC0F}"/>
    <cellStyle name="Normal 8 8 4" xfId="9891" xr:uid="{AF1B7CE5-A5D5-441E-AAB9-C153E211A0CE}"/>
    <cellStyle name="Normal 8 9" xfId="1775" xr:uid="{00000000-0005-0000-0000-0000631E0000}"/>
    <cellStyle name="Normal 8 9 2" xfId="4005" xr:uid="{00000000-0005-0000-0000-0000641E0000}"/>
    <cellStyle name="Normal 8 9 2 2" xfId="8228" xr:uid="{00000000-0005-0000-0000-0000651E0000}"/>
    <cellStyle name="Normal 8 9 2 2 2" xfId="16667" xr:uid="{794CBD39-56D1-4F3E-BCEA-63133EF8736F}"/>
    <cellStyle name="Normal 8 9 2 3" xfId="12449" xr:uid="{835810CC-FD9E-4422-B78A-827BD6675EB2}"/>
    <cellStyle name="Normal 8 9 3" xfId="6083" xr:uid="{00000000-0005-0000-0000-0000661E0000}"/>
    <cellStyle name="Normal 8 9 3 2" xfId="14522" xr:uid="{E8D59DD0-7DAC-4833-A4F6-5FE3E84C56CC}"/>
    <cellStyle name="Normal 8 9 4" xfId="10304" xr:uid="{04E1F0E5-93F1-440A-A895-8C2E36F08CB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C7CC447D-BA15-45DA-A064-A23E84AD8E0A}"/>
    <cellStyle name="Normal 9 2 10 3" xfId="11162" xr:uid="{8707E481-33E1-435A-A9D0-762132EAEF1F}"/>
    <cellStyle name="Normal 9 2 11" xfId="4876" xr:uid="{00000000-0005-0000-0000-00006B1E0000}"/>
    <cellStyle name="Normal 9 2 11 2" xfId="13315" xr:uid="{54AA999B-D610-4560-B647-AEEE5FF9438A}"/>
    <cellStyle name="Normal 9 2 12" xfId="9097" xr:uid="{FF7616AC-B8DD-4F55-8D73-38C545E925FE}"/>
    <cellStyle name="Normal 9 2 2" xfId="512" xr:uid="{00000000-0005-0000-0000-00006C1E0000}"/>
    <cellStyle name="Normal 9 2 2 10" xfId="4877" xr:uid="{00000000-0005-0000-0000-00006D1E0000}"/>
    <cellStyle name="Normal 9 2 2 10 2" xfId="13316" xr:uid="{B31EDA94-568D-4978-BFF1-E9234AA61F24}"/>
    <cellStyle name="Normal 9 2 2 11" xfId="9098" xr:uid="{6954B206-D113-4563-8546-3D2F17412F0A}"/>
    <cellStyle name="Normal 9 2 2 2" xfId="513" xr:uid="{00000000-0005-0000-0000-00006E1E0000}"/>
    <cellStyle name="Normal 9 2 2 2 10" xfId="9099" xr:uid="{0EF8FBDA-3180-4E52-B26D-3A48EA470E1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57FA2EF5-D44A-448F-B973-14F9D0674356}"/>
    <cellStyle name="Normal 9 2 2 2 2 2 2 2 3" xfId="11659" xr:uid="{8920A692-339A-4D3A-B131-22EFFB58E26A}"/>
    <cellStyle name="Normal 9 2 2 2 2 2 2 3" xfId="5293" xr:uid="{00000000-0005-0000-0000-0000741E0000}"/>
    <cellStyle name="Normal 9 2 2 2 2 2 2 3 2" xfId="13732" xr:uid="{CBB9F99D-C006-43A2-A334-8788CDF07769}"/>
    <cellStyle name="Normal 9 2 2 2 2 2 2 4" xfId="9514" xr:uid="{93828036-DACD-4931-88CB-D514BF709439}"/>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089E1DE7-C4B0-4BC9-BA3E-108E53C33D50}"/>
    <cellStyle name="Normal 9 2 2 2 2 2 3 2 3" xfId="12072" xr:uid="{03B7F92F-C02C-4B2E-B7D7-AAF8D86321C6}"/>
    <cellStyle name="Normal 9 2 2 2 2 2 3 3" xfId="5706" xr:uid="{00000000-0005-0000-0000-0000781E0000}"/>
    <cellStyle name="Normal 9 2 2 2 2 2 3 3 2" xfId="14145" xr:uid="{E93D3CD8-8E3C-4CB3-B809-D376D5767CC2}"/>
    <cellStyle name="Normal 9 2 2 2 2 2 3 4" xfId="9927" xr:uid="{A2F875DA-5760-4BA4-9378-FF43476A492A}"/>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0FF86EE5-346D-4F54-980E-F3DDF3824463}"/>
    <cellStyle name="Normal 9 2 2 2 2 2 4 2 3" xfId="12485" xr:uid="{CE42CC68-A66D-4171-9E8E-F772DB2596C8}"/>
    <cellStyle name="Normal 9 2 2 2 2 2 4 3" xfId="6119" xr:uid="{00000000-0005-0000-0000-00007C1E0000}"/>
    <cellStyle name="Normal 9 2 2 2 2 2 4 3 2" xfId="14558" xr:uid="{2A21DEE7-AEF9-4CEB-96BF-0BCB1A63408E}"/>
    <cellStyle name="Normal 9 2 2 2 2 2 4 4" xfId="10340" xr:uid="{FD7CC8B7-5262-4914-81F8-5193D02AD21C}"/>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A2630726-EEF5-419B-8EEC-DCA7F14ADD14}"/>
    <cellStyle name="Normal 9 2 2 2 2 2 5 2 3" xfId="12898" xr:uid="{83A3C0B5-AB40-4B53-A3F6-75CEF8ABA229}"/>
    <cellStyle name="Normal 9 2 2 2 2 2 5 3" xfId="6532" xr:uid="{00000000-0005-0000-0000-0000801E0000}"/>
    <cellStyle name="Normal 9 2 2 2 2 2 5 3 2" xfId="14971" xr:uid="{D92A8FD6-45A0-409A-9C73-FF0ED9A78E36}"/>
    <cellStyle name="Normal 9 2 2 2 2 2 5 4" xfId="10753" xr:uid="{EBF814B9-3982-44A3-9F9B-DE18C8F7CF66}"/>
    <cellStyle name="Normal 9 2 2 2 2 2 6" xfId="2661" xr:uid="{00000000-0005-0000-0000-0000811E0000}"/>
    <cellStyle name="Normal 9 2 2 2 2 2 6 2" xfId="6945" xr:uid="{00000000-0005-0000-0000-0000821E0000}"/>
    <cellStyle name="Normal 9 2 2 2 2 2 6 2 2" xfId="15384" xr:uid="{A061E098-7922-4218-B44C-872F49D1D4F9}"/>
    <cellStyle name="Normal 9 2 2 2 2 2 6 3" xfId="11166" xr:uid="{B630FA9B-BFB9-424A-BD7B-0DBFF6389B4E}"/>
    <cellStyle name="Normal 9 2 2 2 2 2 7" xfId="4880" xr:uid="{00000000-0005-0000-0000-0000831E0000}"/>
    <cellStyle name="Normal 9 2 2 2 2 2 7 2" xfId="13319" xr:uid="{FA4EE838-8E34-4B0E-8991-5753E3626393}"/>
    <cellStyle name="Normal 9 2 2 2 2 2 8" xfId="9101" xr:uid="{067A1B1A-A5F6-4683-BC7F-709EAB37F9DA}"/>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6559E356-E94E-40AB-8313-1CEFC6B15E83}"/>
    <cellStyle name="Normal 9 2 2 2 2 3 2 3" xfId="11658" xr:uid="{737DFED9-F623-44BA-A46F-767E50D603B1}"/>
    <cellStyle name="Normal 9 2 2 2 2 3 3" xfId="5292" xr:uid="{00000000-0005-0000-0000-0000871E0000}"/>
    <cellStyle name="Normal 9 2 2 2 2 3 3 2" xfId="13731" xr:uid="{55B6C98F-F873-40D6-AB26-F48FE4B93B22}"/>
    <cellStyle name="Normal 9 2 2 2 2 3 4" xfId="9513" xr:uid="{2350EB1D-6E32-4E33-9D0E-CE735A05F5D9}"/>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4BE438EA-3ECF-473D-ADD5-8D76EEE8E558}"/>
    <cellStyle name="Normal 9 2 2 2 2 4 2 3" xfId="12071" xr:uid="{E857F6F3-EFF4-4916-BED6-FFBC1C591807}"/>
    <cellStyle name="Normal 9 2 2 2 2 4 3" xfId="5705" xr:uid="{00000000-0005-0000-0000-00008B1E0000}"/>
    <cellStyle name="Normal 9 2 2 2 2 4 3 2" xfId="14144" xr:uid="{76262C5A-07FD-4A66-A91F-A2A915141A92}"/>
    <cellStyle name="Normal 9 2 2 2 2 4 4" xfId="9926" xr:uid="{A9484210-854D-433F-B379-CFCA81D8EA96}"/>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399B4A89-7D40-4261-B2B0-4A8C7A9CC379}"/>
    <cellStyle name="Normal 9 2 2 2 2 5 2 3" xfId="12484" xr:uid="{2669DCF2-31AC-4698-8E53-01A7BD0A2BEF}"/>
    <cellStyle name="Normal 9 2 2 2 2 5 3" xfId="6118" xr:uid="{00000000-0005-0000-0000-00008F1E0000}"/>
    <cellStyle name="Normal 9 2 2 2 2 5 3 2" xfId="14557" xr:uid="{12376C2C-A30B-4769-AF59-0CB8DCD8D8E0}"/>
    <cellStyle name="Normal 9 2 2 2 2 5 4" xfId="10339" xr:uid="{1112AFFC-2693-4B66-A931-AB7595DB203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973248BA-C449-411F-8558-736A02029442}"/>
    <cellStyle name="Normal 9 2 2 2 2 6 2 3" xfId="12897" xr:uid="{21A6B02E-D649-4511-8B6D-50BCE086A22F}"/>
    <cellStyle name="Normal 9 2 2 2 2 6 3" xfId="6531" xr:uid="{00000000-0005-0000-0000-0000931E0000}"/>
    <cellStyle name="Normal 9 2 2 2 2 6 3 2" xfId="14970" xr:uid="{634D079F-DB0D-4469-BDB2-49AA8285C729}"/>
    <cellStyle name="Normal 9 2 2 2 2 6 4" xfId="10752" xr:uid="{A3A7D783-6340-4755-8C3F-2BE46A77C9A1}"/>
    <cellStyle name="Normal 9 2 2 2 2 7" xfId="2660" xr:uid="{00000000-0005-0000-0000-0000941E0000}"/>
    <cellStyle name="Normal 9 2 2 2 2 7 2" xfId="6944" xr:uid="{00000000-0005-0000-0000-0000951E0000}"/>
    <cellStyle name="Normal 9 2 2 2 2 7 2 2" xfId="15383" xr:uid="{6214BC95-486A-4C20-869E-E280098EF8FA}"/>
    <cellStyle name="Normal 9 2 2 2 2 7 3" xfId="11165" xr:uid="{80C19D48-ED43-413E-9442-570E5AD5D545}"/>
    <cellStyle name="Normal 9 2 2 2 2 8" xfId="4879" xr:uid="{00000000-0005-0000-0000-0000961E0000}"/>
    <cellStyle name="Normal 9 2 2 2 2 8 2" xfId="13318" xr:uid="{B3908612-D49C-4E01-960B-0105C48B0665}"/>
    <cellStyle name="Normal 9 2 2 2 2 9" xfId="9100" xr:uid="{D2DBE3B3-8987-4C3A-8212-5B5CCD045BB7}"/>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535FC34A-3C76-415D-8489-6AAD91B16DE1}"/>
    <cellStyle name="Normal 9 2 2 2 3 2 2 3" xfId="11660" xr:uid="{3A6D1478-FFA9-4E80-9995-707D37DD53A8}"/>
    <cellStyle name="Normal 9 2 2 2 3 2 3" xfId="5294" xr:uid="{00000000-0005-0000-0000-00009B1E0000}"/>
    <cellStyle name="Normal 9 2 2 2 3 2 3 2" xfId="13733" xr:uid="{4688C918-0B08-41B7-AC62-71296DD0E6E5}"/>
    <cellStyle name="Normal 9 2 2 2 3 2 4" xfId="9515" xr:uid="{DA03F8F3-5BFC-446F-980C-2077F26EDB1E}"/>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123161AC-BB58-4B55-9C57-96F301DD90B1}"/>
    <cellStyle name="Normal 9 2 2 2 3 3 2 3" xfId="12073" xr:uid="{E1AA9C82-AFFF-4596-BC58-63F4E9C533DA}"/>
    <cellStyle name="Normal 9 2 2 2 3 3 3" xfId="5707" xr:uid="{00000000-0005-0000-0000-00009F1E0000}"/>
    <cellStyle name="Normal 9 2 2 2 3 3 3 2" xfId="14146" xr:uid="{D52AB467-2EAE-4592-A7FD-13F5862D4B00}"/>
    <cellStyle name="Normal 9 2 2 2 3 3 4" xfId="9928" xr:uid="{1FE66B97-C0F1-4298-ADBA-768371EBE05F}"/>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3579CF90-A429-40E4-B1A8-6BA6907F165B}"/>
    <cellStyle name="Normal 9 2 2 2 3 4 2 3" xfId="12486" xr:uid="{AC188770-BE2C-4DEC-84D0-D3492FFF5030}"/>
    <cellStyle name="Normal 9 2 2 2 3 4 3" xfId="6120" xr:uid="{00000000-0005-0000-0000-0000A31E0000}"/>
    <cellStyle name="Normal 9 2 2 2 3 4 3 2" xfId="14559" xr:uid="{66896B09-12EB-4081-B01A-A88F9ED38613}"/>
    <cellStyle name="Normal 9 2 2 2 3 4 4" xfId="10341" xr:uid="{EFC4457D-6611-4485-A9B2-0DD2C7D71CB3}"/>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8E4B4493-256C-41A2-8C68-84CAE661988A}"/>
    <cellStyle name="Normal 9 2 2 2 3 5 2 3" xfId="12899" xr:uid="{7631611E-7600-48A7-B630-552C26E27F1A}"/>
    <cellStyle name="Normal 9 2 2 2 3 5 3" xfId="6533" xr:uid="{00000000-0005-0000-0000-0000A71E0000}"/>
    <cellStyle name="Normal 9 2 2 2 3 5 3 2" xfId="14972" xr:uid="{80655457-984A-4DF6-920B-2E6AC4BED5C9}"/>
    <cellStyle name="Normal 9 2 2 2 3 5 4" xfId="10754" xr:uid="{3A44EF51-75AC-40B9-94D8-497332EA2B27}"/>
    <cellStyle name="Normal 9 2 2 2 3 6" xfId="2662" xr:uid="{00000000-0005-0000-0000-0000A81E0000}"/>
    <cellStyle name="Normal 9 2 2 2 3 6 2" xfId="6946" xr:uid="{00000000-0005-0000-0000-0000A91E0000}"/>
    <cellStyle name="Normal 9 2 2 2 3 6 2 2" xfId="15385" xr:uid="{53C39C98-9F48-4D5D-BE9A-E735EECF2649}"/>
    <cellStyle name="Normal 9 2 2 2 3 6 3" xfId="11167" xr:uid="{48D2E863-1E7D-48BA-AF82-E00EBF0491CB}"/>
    <cellStyle name="Normal 9 2 2 2 3 7" xfId="4881" xr:uid="{00000000-0005-0000-0000-0000AA1E0000}"/>
    <cellStyle name="Normal 9 2 2 2 3 7 2" xfId="13320" xr:uid="{BA7671F7-A74E-44BC-8416-044312A3E8C1}"/>
    <cellStyle name="Normal 9 2 2 2 3 8" xfId="9102" xr:uid="{2BB6A80A-8C66-4453-993C-C8B416DC990E}"/>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34CAAAC3-6DF1-4E10-863D-837FB2D5C39F}"/>
    <cellStyle name="Normal 9 2 2 2 4 2 3" xfId="11657" xr:uid="{2181697F-76D8-4687-91A1-5EAA82204C6F}"/>
    <cellStyle name="Normal 9 2 2 2 4 3" xfId="5291" xr:uid="{00000000-0005-0000-0000-0000AE1E0000}"/>
    <cellStyle name="Normal 9 2 2 2 4 3 2" xfId="13730" xr:uid="{44D38A17-5259-4C50-A406-4356B9AC5AEA}"/>
    <cellStyle name="Normal 9 2 2 2 4 4" xfId="9512" xr:uid="{F946708B-6D06-4975-A71D-5F9EF26CEA27}"/>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75497241-06E9-42B2-9FAA-F2FBB6CC7A29}"/>
    <cellStyle name="Normal 9 2 2 2 5 2 3" xfId="12070" xr:uid="{EB35152E-D2D1-405E-8A2F-7EF6544850DF}"/>
    <cellStyle name="Normal 9 2 2 2 5 3" xfId="5704" xr:uid="{00000000-0005-0000-0000-0000B21E0000}"/>
    <cellStyle name="Normal 9 2 2 2 5 3 2" xfId="14143" xr:uid="{E21F89C0-ABC6-4E4D-9C76-A29E272B696A}"/>
    <cellStyle name="Normal 9 2 2 2 5 4" xfId="9925" xr:uid="{879CF44D-7A73-4A61-BCC8-7B63D83F099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20815AD5-4A0A-4F55-A74F-1C977EBF5B59}"/>
    <cellStyle name="Normal 9 2 2 2 6 2 3" xfId="12483" xr:uid="{739E2B69-3BDA-49D3-BF0C-80EDC5D6FCC0}"/>
    <cellStyle name="Normal 9 2 2 2 6 3" xfId="6117" xr:uid="{00000000-0005-0000-0000-0000B61E0000}"/>
    <cellStyle name="Normal 9 2 2 2 6 3 2" xfId="14556" xr:uid="{2B72D0C2-BD4D-420E-8052-68EF69270B39}"/>
    <cellStyle name="Normal 9 2 2 2 6 4" xfId="10338" xr:uid="{7BE351A7-AAE7-461F-B323-F06B860EB865}"/>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A235865E-5C11-4376-BCED-1895D9C6E7B1}"/>
    <cellStyle name="Normal 9 2 2 2 7 2 3" xfId="12896" xr:uid="{71D7C572-C4A1-4353-95B1-7EFC8D03F5C5}"/>
    <cellStyle name="Normal 9 2 2 2 7 3" xfId="6530" xr:uid="{00000000-0005-0000-0000-0000BA1E0000}"/>
    <cellStyle name="Normal 9 2 2 2 7 3 2" xfId="14969" xr:uid="{AAEA715B-BE1A-4A06-A0E3-EEAEF1BE948F}"/>
    <cellStyle name="Normal 9 2 2 2 7 4" xfId="10751" xr:uid="{CE229731-C0D4-4F06-B717-7EA3201A22E0}"/>
    <cellStyle name="Normal 9 2 2 2 8" xfId="2659" xr:uid="{00000000-0005-0000-0000-0000BB1E0000}"/>
    <cellStyle name="Normal 9 2 2 2 8 2" xfId="6943" xr:uid="{00000000-0005-0000-0000-0000BC1E0000}"/>
    <cellStyle name="Normal 9 2 2 2 8 2 2" xfId="15382" xr:uid="{763706B8-483F-4C5E-BDB6-AFB184CA7260}"/>
    <cellStyle name="Normal 9 2 2 2 8 3" xfId="11164" xr:uid="{6E6311B7-CED1-48ED-9CFF-6E69C2B44551}"/>
    <cellStyle name="Normal 9 2 2 2 9" xfId="4878" xr:uid="{00000000-0005-0000-0000-0000BD1E0000}"/>
    <cellStyle name="Normal 9 2 2 2 9 2" xfId="13317" xr:uid="{46F737D1-63C0-4D96-B272-5ACC0D64D0DA}"/>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9B6CF803-AA37-4918-A77D-77E8F846E3A5}"/>
    <cellStyle name="Normal 9 2 2 3 2 2 2 3" xfId="11662" xr:uid="{E16F1752-7CE8-4508-951E-6E8461E6F6B5}"/>
    <cellStyle name="Normal 9 2 2 3 2 2 3" xfId="5296" xr:uid="{00000000-0005-0000-0000-0000C31E0000}"/>
    <cellStyle name="Normal 9 2 2 3 2 2 3 2" xfId="13735" xr:uid="{7940ED25-F90A-4406-AC90-4C5E0C6E99E2}"/>
    <cellStyle name="Normal 9 2 2 3 2 2 4" xfId="9517" xr:uid="{82535EF6-6B8C-4E34-8297-F770FA7E052E}"/>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CE63F622-0FEC-40D2-8B62-17D2AD36A608}"/>
    <cellStyle name="Normal 9 2 2 3 2 3 2 3" xfId="12075" xr:uid="{BA0624BD-5709-4220-B492-5FB4B639B864}"/>
    <cellStyle name="Normal 9 2 2 3 2 3 3" xfId="5709" xr:uid="{00000000-0005-0000-0000-0000C71E0000}"/>
    <cellStyle name="Normal 9 2 2 3 2 3 3 2" xfId="14148" xr:uid="{CFB0B801-1E76-4D06-8320-BD22CD388DEC}"/>
    <cellStyle name="Normal 9 2 2 3 2 3 4" xfId="9930" xr:uid="{422A2F14-C3D1-46A1-9982-BC7236FD98D3}"/>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2D28D39B-1CEA-413C-9E45-46487E71A16D}"/>
    <cellStyle name="Normal 9 2 2 3 2 4 2 3" xfId="12488" xr:uid="{2F254002-3D56-4406-943B-67E6D10EDF50}"/>
    <cellStyle name="Normal 9 2 2 3 2 4 3" xfId="6122" xr:uid="{00000000-0005-0000-0000-0000CB1E0000}"/>
    <cellStyle name="Normal 9 2 2 3 2 4 3 2" xfId="14561" xr:uid="{135C1C64-C9DF-454A-AB85-88EE775B11AE}"/>
    <cellStyle name="Normal 9 2 2 3 2 4 4" xfId="10343" xr:uid="{53CA562E-A84E-4383-9EC0-DAA18EFD8D0D}"/>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3733CBD4-38F5-422F-9976-DFDB8F8128FC}"/>
    <cellStyle name="Normal 9 2 2 3 2 5 2 3" xfId="12901" xr:uid="{B57FB3D0-EBAF-4923-A49B-7E4451406E60}"/>
    <cellStyle name="Normal 9 2 2 3 2 5 3" xfId="6535" xr:uid="{00000000-0005-0000-0000-0000CF1E0000}"/>
    <cellStyle name="Normal 9 2 2 3 2 5 3 2" xfId="14974" xr:uid="{25E90BA1-063C-47EB-9594-CD059A1CF9E3}"/>
    <cellStyle name="Normal 9 2 2 3 2 5 4" xfId="10756" xr:uid="{052C71A9-CED0-427D-A80E-9ECB38974016}"/>
    <cellStyle name="Normal 9 2 2 3 2 6" xfId="2664" xr:uid="{00000000-0005-0000-0000-0000D01E0000}"/>
    <cellStyle name="Normal 9 2 2 3 2 6 2" xfId="6948" xr:uid="{00000000-0005-0000-0000-0000D11E0000}"/>
    <cellStyle name="Normal 9 2 2 3 2 6 2 2" xfId="15387" xr:uid="{F19FF2A0-A419-4F8A-9CCD-9A7ED69E6052}"/>
    <cellStyle name="Normal 9 2 2 3 2 6 3" xfId="11169" xr:uid="{845729EB-BCF5-48AE-A35A-B2707CE5F70B}"/>
    <cellStyle name="Normal 9 2 2 3 2 7" xfId="4883" xr:uid="{00000000-0005-0000-0000-0000D21E0000}"/>
    <cellStyle name="Normal 9 2 2 3 2 7 2" xfId="13322" xr:uid="{4D7D36ED-5B7D-4D8C-8FFC-F1D60CCB3DA8}"/>
    <cellStyle name="Normal 9 2 2 3 2 8" xfId="9104" xr:uid="{F072A1C8-E4A3-46AF-8ACF-72B9B13321A8}"/>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0CBD1834-BF3C-4E55-A5DB-2FCB758FBBB5}"/>
    <cellStyle name="Normal 9 2 2 3 3 2 3" xfId="11661" xr:uid="{5FDA1150-60B8-4999-8965-2496B83B9F94}"/>
    <cellStyle name="Normal 9 2 2 3 3 3" xfId="5295" xr:uid="{00000000-0005-0000-0000-0000D61E0000}"/>
    <cellStyle name="Normal 9 2 2 3 3 3 2" xfId="13734" xr:uid="{54D9D47D-E252-4F14-BD9D-E071305ACEB6}"/>
    <cellStyle name="Normal 9 2 2 3 3 4" xfId="9516" xr:uid="{BD91D765-6DF3-4D47-88D5-CCE4E442A63B}"/>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40DF920B-C3FC-441C-810E-8BC5C7E7DA61}"/>
    <cellStyle name="Normal 9 2 2 3 4 2 3" xfId="12074" xr:uid="{7E4E5C7C-1E4C-45AE-9502-E65EBF6CBCB4}"/>
    <cellStyle name="Normal 9 2 2 3 4 3" xfId="5708" xr:uid="{00000000-0005-0000-0000-0000DA1E0000}"/>
    <cellStyle name="Normal 9 2 2 3 4 3 2" xfId="14147" xr:uid="{C40DCD69-D3D6-46A9-B502-2EF5B2A4AD9E}"/>
    <cellStyle name="Normal 9 2 2 3 4 4" xfId="9929" xr:uid="{C58CFE13-76A7-4F10-8A0F-B5C6D2DBF8D7}"/>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C93E4B65-ECFE-4F9C-B614-4D1861877C96}"/>
    <cellStyle name="Normal 9 2 2 3 5 2 3" xfId="12487" xr:uid="{D896B466-0931-4A1F-A3AC-C37D15375910}"/>
    <cellStyle name="Normal 9 2 2 3 5 3" xfId="6121" xr:uid="{00000000-0005-0000-0000-0000DE1E0000}"/>
    <cellStyle name="Normal 9 2 2 3 5 3 2" xfId="14560" xr:uid="{6C7C7D53-F165-4EE6-A727-32D059BB189B}"/>
    <cellStyle name="Normal 9 2 2 3 5 4" xfId="10342" xr:uid="{A18B1A44-D5C0-4958-8EF9-8C1E39A66A94}"/>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E218AEA6-55EE-42C2-933D-1E44F707598D}"/>
    <cellStyle name="Normal 9 2 2 3 6 2 3" xfId="12900" xr:uid="{4CA49601-9A9B-47B6-8520-3DF7B5A8F849}"/>
    <cellStyle name="Normal 9 2 2 3 6 3" xfId="6534" xr:uid="{00000000-0005-0000-0000-0000E21E0000}"/>
    <cellStyle name="Normal 9 2 2 3 6 3 2" xfId="14973" xr:uid="{6249D230-1702-4255-A730-C19C35D6DDCA}"/>
    <cellStyle name="Normal 9 2 2 3 6 4" xfId="10755" xr:uid="{CFF03FE8-FF70-49AF-AF67-65116049F158}"/>
    <cellStyle name="Normal 9 2 2 3 7" xfId="2663" xr:uid="{00000000-0005-0000-0000-0000E31E0000}"/>
    <cellStyle name="Normal 9 2 2 3 7 2" xfId="6947" xr:uid="{00000000-0005-0000-0000-0000E41E0000}"/>
    <cellStyle name="Normal 9 2 2 3 7 2 2" xfId="15386" xr:uid="{B4271498-7288-4066-BC4E-ECB922D97C3D}"/>
    <cellStyle name="Normal 9 2 2 3 7 3" xfId="11168" xr:uid="{3ED19DFE-2188-4AE7-9B87-5E9DB981D289}"/>
    <cellStyle name="Normal 9 2 2 3 8" xfId="4882" xr:uid="{00000000-0005-0000-0000-0000E51E0000}"/>
    <cellStyle name="Normal 9 2 2 3 8 2" xfId="13321" xr:uid="{5CE1909A-6D05-4D9D-B20B-BE072CBA65B5}"/>
    <cellStyle name="Normal 9 2 2 3 9" xfId="9103" xr:uid="{4B73B843-87AB-4794-9996-56D50615D4BC}"/>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50C37B50-93F8-456B-81E7-C3263EE83A23}"/>
    <cellStyle name="Normal 9 2 2 4 2 2 3" xfId="11663" xr:uid="{4BC876E2-F989-4653-8A9E-A8BFE560BD68}"/>
    <cellStyle name="Normal 9 2 2 4 2 3" xfId="5297" xr:uid="{00000000-0005-0000-0000-0000EA1E0000}"/>
    <cellStyle name="Normal 9 2 2 4 2 3 2" xfId="13736" xr:uid="{3613CA0E-48B7-4BA9-8ABD-8EF4CB630FEC}"/>
    <cellStyle name="Normal 9 2 2 4 2 4" xfId="9518" xr:uid="{482E63B5-3335-498B-B3E4-9D999929EE06}"/>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44F6541D-314A-4DC5-9667-0B0D8575A0FD}"/>
    <cellStyle name="Normal 9 2 2 4 3 2 3" xfId="12076" xr:uid="{7A9BD5CC-473E-47EA-A8AC-37835ABCA070}"/>
    <cellStyle name="Normal 9 2 2 4 3 3" xfId="5710" xr:uid="{00000000-0005-0000-0000-0000EE1E0000}"/>
    <cellStyle name="Normal 9 2 2 4 3 3 2" xfId="14149" xr:uid="{F3730154-CCAF-44CE-AEAC-091247A2FA24}"/>
    <cellStyle name="Normal 9 2 2 4 3 4" xfId="9931" xr:uid="{7BF13700-288A-49C7-96C6-DA5C7E136A8E}"/>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857AEA75-CDE6-4B5C-AA7A-33CE8D61036A}"/>
    <cellStyle name="Normal 9 2 2 4 4 2 3" xfId="12489" xr:uid="{8F216A55-3AA4-46C3-9A94-769E5FFCC87E}"/>
    <cellStyle name="Normal 9 2 2 4 4 3" xfId="6123" xr:uid="{00000000-0005-0000-0000-0000F21E0000}"/>
    <cellStyle name="Normal 9 2 2 4 4 3 2" xfId="14562" xr:uid="{3F6228FA-93F8-4EB6-A06A-937BF00CEA60}"/>
    <cellStyle name="Normal 9 2 2 4 4 4" xfId="10344" xr:uid="{92C2F31D-B9BD-4F09-8DCF-9946558BB28B}"/>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D9918C30-BAD9-497D-A533-2F6109314349}"/>
    <cellStyle name="Normal 9 2 2 4 5 2 3" xfId="12902" xr:uid="{187268B3-7F32-4458-BB70-241A16A100C9}"/>
    <cellStyle name="Normal 9 2 2 4 5 3" xfId="6536" xr:uid="{00000000-0005-0000-0000-0000F61E0000}"/>
    <cellStyle name="Normal 9 2 2 4 5 3 2" xfId="14975" xr:uid="{56301CBB-AAF7-40E2-ACC9-B68B7CF301A5}"/>
    <cellStyle name="Normal 9 2 2 4 5 4" xfId="10757" xr:uid="{1AA0A2F6-43DE-4C85-9933-9EC358C0C379}"/>
    <cellStyle name="Normal 9 2 2 4 6" xfId="2665" xr:uid="{00000000-0005-0000-0000-0000F71E0000}"/>
    <cellStyle name="Normal 9 2 2 4 6 2" xfId="6949" xr:uid="{00000000-0005-0000-0000-0000F81E0000}"/>
    <cellStyle name="Normal 9 2 2 4 6 2 2" xfId="15388" xr:uid="{9E4B636F-CD2D-463B-9F0F-1423C357ADFC}"/>
    <cellStyle name="Normal 9 2 2 4 6 3" xfId="11170" xr:uid="{4F066FAF-74A2-494E-B0DC-40699CBE7016}"/>
    <cellStyle name="Normal 9 2 2 4 7" xfId="4884" xr:uid="{00000000-0005-0000-0000-0000F91E0000}"/>
    <cellStyle name="Normal 9 2 2 4 7 2" xfId="13323" xr:uid="{432A38EE-2C1F-4AD2-B0FD-4ADD4A2CDA47}"/>
    <cellStyle name="Normal 9 2 2 4 8" xfId="9105" xr:uid="{DFE27B5F-E1D2-4A68-80E7-025BF879842A}"/>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6F448C1E-2127-4406-AC48-5D3A04B2D6E6}"/>
    <cellStyle name="Normal 9 2 2 5 2 3" xfId="11656" xr:uid="{BFA39356-B378-4CBF-8668-B3875E721FA2}"/>
    <cellStyle name="Normal 9 2 2 5 3" xfId="5290" xr:uid="{00000000-0005-0000-0000-0000FD1E0000}"/>
    <cellStyle name="Normal 9 2 2 5 3 2" xfId="13729" xr:uid="{71C83A2B-5EF9-4803-9BA8-F25683BE0B37}"/>
    <cellStyle name="Normal 9 2 2 5 4" xfId="9511" xr:uid="{9276CE10-F249-4D29-AD8A-7A09DF872D18}"/>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51479AC1-411C-4FD6-A1A7-92C0CD9933FA}"/>
    <cellStyle name="Normal 9 2 2 6 2 3" xfId="12069" xr:uid="{EADB1CF2-08A1-4830-B617-7B0D2BF2F245}"/>
    <cellStyle name="Normal 9 2 2 6 3" xfId="5703" xr:uid="{00000000-0005-0000-0000-0000011F0000}"/>
    <cellStyle name="Normal 9 2 2 6 3 2" xfId="14142" xr:uid="{46DB5F64-3DFE-4794-AF5A-3DEBCC6B3444}"/>
    <cellStyle name="Normal 9 2 2 6 4" xfId="9924" xr:uid="{95A28E18-35DF-4217-A194-8E13E9BF6072}"/>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92753F39-27FA-4AA2-86A5-F1972E4AF19D}"/>
    <cellStyle name="Normal 9 2 2 7 2 3" xfId="12482" xr:uid="{D1B94883-9456-4794-9712-CA9044D887C8}"/>
    <cellStyle name="Normal 9 2 2 7 3" xfId="6116" xr:uid="{00000000-0005-0000-0000-0000051F0000}"/>
    <cellStyle name="Normal 9 2 2 7 3 2" xfId="14555" xr:uid="{303A2D78-324F-43A7-8919-21D289B79251}"/>
    <cellStyle name="Normal 9 2 2 7 4" xfId="10337" xr:uid="{CF4E834B-B6A5-4882-A0A7-F2D10FAB24AF}"/>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746CE55B-026F-4E58-9864-B766CCBE7E9E}"/>
    <cellStyle name="Normal 9 2 2 8 2 3" xfId="12895" xr:uid="{1B6DAFBF-2968-4476-BA57-62778AEAC389}"/>
    <cellStyle name="Normal 9 2 2 8 3" xfId="6529" xr:uid="{00000000-0005-0000-0000-0000091F0000}"/>
    <cellStyle name="Normal 9 2 2 8 3 2" xfId="14968" xr:uid="{F34896FC-FAAA-4C4A-84DD-ECF7BAB86A1E}"/>
    <cellStyle name="Normal 9 2 2 8 4" xfId="10750" xr:uid="{A2D9FD5E-6A7E-433C-85BD-23351226DBC7}"/>
    <cellStyle name="Normal 9 2 2 9" xfId="2658" xr:uid="{00000000-0005-0000-0000-00000A1F0000}"/>
    <cellStyle name="Normal 9 2 2 9 2" xfId="6942" xr:uid="{00000000-0005-0000-0000-00000B1F0000}"/>
    <cellStyle name="Normal 9 2 2 9 2 2" xfId="15381" xr:uid="{B60E1A22-D30D-4368-A0FF-DE61506EF1BF}"/>
    <cellStyle name="Normal 9 2 2 9 3" xfId="11163" xr:uid="{8AFDF0DE-ECEA-4D60-9B00-575045577F12}"/>
    <cellStyle name="Normal 9 2 3" xfId="520" xr:uid="{00000000-0005-0000-0000-00000C1F0000}"/>
    <cellStyle name="Normal 9 2 3 10" xfId="9106" xr:uid="{546FAC42-1EDB-40F3-ACD8-FA5AA47D4708}"/>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5150097A-EEF0-411A-887E-0522A1A0DAE5}"/>
    <cellStyle name="Normal 9 2 3 2 2 2 2 3" xfId="11666" xr:uid="{65943079-5206-42A9-8B21-96DBDA69D317}"/>
    <cellStyle name="Normal 9 2 3 2 2 2 3" xfId="5300" xr:uid="{00000000-0005-0000-0000-0000121F0000}"/>
    <cellStyle name="Normal 9 2 3 2 2 2 3 2" xfId="13739" xr:uid="{C2747D6A-30D8-43AF-B026-C684192A1CB7}"/>
    <cellStyle name="Normal 9 2 3 2 2 2 4" xfId="9521" xr:uid="{25560BBD-7C50-431C-A299-D6A5B62CC85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58CC9573-2B79-4739-A933-33260836AFE3}"/>
    <cellStyle name="Normal 9 2 3 2 2 3 2 3" xfId="12079" xr:uid="{58AA16CB-D3BD-476B-9FB0-D61F11ACF6DA}"/>
    <cellStyle name="Normal 9 2 3 2 2 3 3" xfId="5713" xr:uid="{00000000-0005-0000-0000-0000161F0000}"/>
    <cellStyle name="Normal 9 2 3 2 2 3 3 2" xfId="14152" xr:uid="{5C010B75-D7CA-483D-A316-FDCD72D14AB2}"/>
    <cellStyle name="Normal 9 2 3 2 2 3 4" xfId="9934" xr:uid="{CF53EF57-EA75-442F-84E9-3CE71D0D3856}"/>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0730044B-3706-476F-AE36-9E1A4FDCB68A}"/>
    <cellStyle name="Normal 9 2 3 2 2 4 2 3" xfId="12492" xr:uid="{0430559B-E986-417B-AA86-6B4F5EA2FAB9}"/>
    <cellStyle name="Normal 9 2 3 2 2 4 3" xfId="6126" xr:uid="{00000000-0005-0000-0000-00001A1F0000}"/>
    <cellStyle name="Normal 9 2 3 2 2 4 3 2" xfId="14565" xr:uid="{46ECBB81-7418-4DB5-BA87-AEE6144088F0}"/>
    <cellStyle name="Normal 9 2 3 2 2 4 4" xfId="10347" xr:uid="{A1DC3A78-FB9B-47C3-B365-F20576AD0D6B}"/>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BD4E9908-3DAE-45CD-9F7A-811CFFD57BE9}"/>
    <cellStyle name="Normal 9 2 3 2 2 5 2 3" xfId="12905" xr:uid="{3F4CF07D-2B25-4A6C-B43F-D0772D89182A}"/>
    <cellStyle name="Normal 9 2 3 2 2 5 3" xfId="6539" xr:uid="{00000000-0005-0000-0000-00001E1F0000}"/>
    <cellStyle name="Normal 9 2 3 2 2 5 3 2" xfId="14978" xr:uid="{B3322988-FE5A-408A-B2CC-12057E7021F2}"/>
    <cellStyle name="Normal 9 2 3 2 2 5 4" xfId="10760" xr:uid="{C32871AF-F87A-47A5-80F3-6678CCD65DDF}"/>
    <cellStyle name="Normal 9 2 3 2 2 6" xfId="2668" xr:uid="{00000000-0005-0000-0000-00001F1F0000}"/>
    <cellStyle name="Normal 9 2 3 2 2 6 2" xfId="6952" xr:uid="{00000000-0005-0000-0000-0000201F0000}"/>
    <cellStyle name="Normal 9 2 3 2 2 6 2 2" xfId="15391" xr:uid="{C8474FC7-6246-4212-A718-7AF7AC36915C}"/>
    <cellStyle name="Normal 9 2 3 2 2 6 3" xfId="11173" xr:uid="{4C9755FB-949D-429C-8B0D-12A15461438B}"/>
    <cellStyle name="Normal 9 2 3 2 2 7" xfId="4887" xr:uid="{00000000-0005-0000-0000-0000211F0000}"/>
    <cellStyle name="Normal 9 2 3 2 2 7 2" xfId="13326" xr:uid="{4A442C54-CE01-47AD-8E0E-FB65F931EDA3}"/>
    <cellStyle name="Normal 9 2 3 2 2 8" xfId="9108" xr:uid="{379F325D-36B6-4823-BF68-79C77D10A4A2}"/>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45AE96EA-0FA1-4069-A642-598DED72B3DD}"/>
    <cellStyle name="Normal 9 2 3 2 3 2 3" xfId="11665" xr:uid="{A713625C-274E-4D5C-9133-69D40D169744}"/>
    <cellStyle name="Normal 9 2 3 2 3 3" xfId="5299" xr:uid="{00000000-0005-0000-0000-0000251F0000}"/>
    <cellStyle name="Normal 9 2 3 2 3 3 2" xfId="13738" xr:uid="{5268185C-79CC-4908-9D51-D7451B065106}"/>
    <cellStyle name="Normal 9 2 3 2 3 4" xfId="9520" xr:uid="{38389876-7F53-4E56-A478-CDD95B031466}"/>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F36BA97D-6E54-4FF8-A5DE-EB36F9051D38}"/>
    <cellStyle name="Normal 9 2 3 2 4 2 3" xfId="12078" xr:uid="{E4ECDDBC-818D-443A-B348-C421D169D132}"/>
    <cellStyle name="Normal 9 2 3 2 4 3" xfId="5712" xr:uid="{00000000-0005-0000-0000-0000291F0000}"/>
    <cellStyle name="Normal 9 2 3 2 4 3 2" xfId="14151" xr:uid="{016959AF-A7D2-4595-B5FA-F81671808A8B}"/>
    <cellStyle name="Normal 9 2 3 2 4 4" xfId="9933" xr:uid="{4F607F75-F067-4B85-BE3C-0FE1894DD75D}"/>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09B54B79-497E-41A8-8907-F144D0F7B9FB}"/>
    <cellStyle name="Normal 9 2 3 2 5 2 3" xfId="12491" xr:uid="{E65393EB-5131-432E-A1A4-CAAD6E1318FB}"/>
    <cellStyle name="Normal 9 2 3 2 5 3" xfId="6125" xr:uid="{00000000-0005-0000-0000-00002D1F0000}"/>
    <cellStyle name="Normal 9 2 3 2 5 3 2" xfId="14564" xr:uid="{B2F7847A-C648-45C0-A7B4-15C5DA2CE551}"/>
    <cellStyle name="Normal 9 2 3 2 5 4" xfId="10346" xr:uid="{D36F0971-D0CE-4A97-A4FF-EFE6B886141F}"/>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4C4BE3D9-6E10-4E0D-B2F2-984F2BAF901A}"/>
    <cellStyle name="Normal 9 2 3 2 6 2 3" xfId="12904" xr:uid="{A0C0F144-426C-4F5A-A541-DCB57BFD86BF}"/>
    <cellStyle name="Normal 9 2 3 2 6 3" xfId="6538" xr:uid="{00000000-0005-0000-0000-0000311F0000}"/>
    <cellStyle name="Normal 9 2 3 2 6 3 2" xfId="14977" xr:uid="{E7F72676-A28F-4F13-A82F-DD0EF9E17A5C}"/>
    <cellStyle name="Normal 9 2 3 2 6 4" xfId="10759" xr:uid="{C2F98DF9-CF36-417E-BB66-B5E625D4AFB2}"/>
    <cellStyle name="Normal 9 2 3 2 7" xfId="2667" xr:uid="{00000000-0005-0000-0000-0000321F0000}"/>
    <cellStyle name="Normal 9 2 3 2 7 2" xfId="6951" xr:uid="{00000000-0005-0000-0000-0000331F0000}"/>
    <cellStyle name="Normal 9 2 3 2 7 2 2" xfId="15390" xr:uid="{4B9FD583-9FF0-4962-9758-2A34A2CA11C3}"/>
    <cellStyle name="Normal 9 2 3 2 7 3" xfId="11172" xr:uid="{3A820E56-3F43-47F1-9F75-579D3E0F2E9F}"/>
    <cellStyle name="Normal 9 2 3 2 8" xfId="4886" xr:uid="{00000000-0005-0000-0000-0000341F0000}"/>
    <cellStyle name="Normal 9 2 3 2 8 2" xfId="13325" xr:uid="{7BC4EF9C-F357-4F51-8241-FC8D27AFF327}"/>
    <cellStyle name="Normal 9 2 3 2 9" xfId="9107" xr:uid="{FAEAA4B7-7B9C-4F18-B46B-5C3A0DC80DDF}"/>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8531050D-6BFD-407C-9847-677561FD8771}"/>
    <cellStyle name="Normal 9 2 3 3 2 2 3" xfId="11667" xr:uid="{CDF49DB9-52E3-4FD0-BE8D-1C5DA7A1D7AB}"/>
    <cellStyle name="Normal 9 2 3 3 2 3" xfId="5301" xr:uid="{00000000-0005-0000-0000-0000391F0000}"/>
    <cellStyle name="Normal 9 2 3 3 2 3 2" xfId="13740" xr:uid="{EB62F8F9-61ED-4D72-80F5-D78868BC0E49}"/>
    <cellStyle name="Normal 9 2 3 3 2 4" xfId="9522" xr:uid="{F5ED8580-FAF6-45E5-BF65-240B1CABF8B6}"/>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DD5F2DAF-1D0A-412F-8D96-EEA05D6C0B89}"/>
    <cellStyle name="Normal 9 2 3 3 3 2 3" xfId="12080" xr:uid="{A07AE807-6CBC-4164-A463-B517E5505FE9}"/>
    <cellStyle name="Normal 9 2 3 3 3 3" xfId="5714" xr:uid="{00000000-0005-0000-0000-00003D1F0000}"/>
    <cellStyle name="Normal 9 2 3 3 3 3 2" xfId="14153" xr:uid="{388898EF-2674-44E3-B331-D899D08CC2D3}"/>
    <cellStyle name="Normal 9 2 3 3 3 4" xfId="9935" xr:uid="{D2B74A8A-F5C3-415A-9B2A-9F41BD73EE96}"/>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63323E88-0252-42D1-AE56-B68A5D47E9B1}"/>
    <cellStyle name="Normal 9 2 3 3 4 2 3" xfId="12493" xr:uid="{B2BEEE19-4677-4050-8342-A6ABE937EC6A}"/>
    <cellStyle name="Normal 9 2 3 3 4 3" xfId="6127" xr:uid="{00000000-0005-0000-0000-0000411F0000}"/>
    <cellStyle name="Normal 9 2 3 3 4 3 2" xfId="14566" xr:uid="{1CC7D5AF-F9D1-4D92-BDBA-4E04F755C549}"/>
    <cellStyle name="Normal 9 2 3 3 4 4" xfId="10348" xr:uid="{C8C79A91-D059-4A83-B9EB-21F30AD5BE5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C53468DA-6934-4AE0-8A2E-5DE2A8A66CD5}"/>
    <cellStyle name="Normal 9 2 3 3 5 2 3" xfId="12906" xr:uid="{93BAEC14-875B-4285-BA4B-809940447A68}"/>
    <cellStyle name="Normal 9 2 3 3 5 3" xfId="6540" xr:uid="{00000000-0005-0000-0000-0000451F0000}"/>
    <cellStyle name="Normal 9 2 3 3 5 3 2" xfId="14979" xr:uid="{E99AEACC-ABA9-440F-8493-A127EA00B039}"/>
    <cellStyle name="Normal 9 2 3 3 5 4" xfId="10761" xr:uid="{83256569-5BE3-4138-9B62-F7D278D737C6}"/>
    <cellStyle name="Normal 9 2 3 3 6" xfId="2669" xr:uid="{00000000-0005-0000-0000-0000461F0000}"/>
    <cellStyle name="Normal 9 2 3 3 6 2" xfId="6953" xr:uid="{00000000-0005-0000-0000-0000471F0000}"/>
    <cellStyle name="Normal 9 2 3 3 6 2 2" xfId="15392" xr:uid="{ADC231D7-226B-4121-8ABA-E950AC3D8848}"/>
    <cellStyle name="Normal 9 2 3 3 6 3" xfId="11174" xr:uid="{BCDD80BB-C529-42A3-89D8-F3A035744006}"/>
    <cellStyle name="Normal 9 2 3 3 7" xfId="4888" xr:uid="{00000000-0005-0000-0000-0000481F0000}"/>
    <cellStyle name="Normal 9 2 3 3 7 2" xfId="13327" xr:uid="{ADCA5083-3098-45FC-9240-CC383E5F9BA0}"/>
    <cellStyle name="Normal 9 2 3 3 8" xfId="9109" xr:uid="{8C854DB6-8983-4C98-8B28-8413B5E9866B}"/>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013E0BC0-54B1-471A-8B2B-0267896A4ED7}"/>
    <cellStyle name="Normal 9 2 3 4 2 3" xfId="11664" xr:uid="{048AFBBE-95F9-46A5-AD20-A573C1DA56D3}"/>
    <cellStyle name="Normal 9 2 3 4 3" xfId="5298" xr:uid="{00000000-0005-0000-0000-00004C1F0000}"/>
    <cellStyle name="Normal 9 2 3 4 3 2" xfId="13737" xr:uid="{E808AAFE-8F9A-4257-ACB7-695A323CCE84}"/>
    <cellStyle name="Normal 9 2 3 4 4" xfId="9519" xr:uid="{56E46FA5-B5BE-4549-AAAD-EE46C44F9E4D}"/>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10CAA804-17CE-4443-BFF5-E3084684E43C}"/>
    <cellStyle name="Normal 9 2 3 5 2 3" xfId="12077" xr:uid="{0559351C-AF73-43F2-AEE5-1437C078F9F7}"/>
    <cellStyle name="Normal 9 2 3 5 3" xfId="5711" xr:uid="{00000000-0005-0000-0000-0000501F0000}"/>
    <cellStyle name="Normal 9 2 3 5 3 2" xfId="14150" xr:uid="{B6A48FAE-DA58-43BE-B847-1E91ABCA3871}"/>
    <cellStyle name="Normal 9 2 3 5 4" xfId="9932" xr:uid="{486FD616-A4D8-41A4-97C7-1EF62DF763E9}"/>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070ECDD2-AC61-4EE7-95B9-3F312C4BFC77}"/>
    <cellStyle name="Normal 9 2 3 6 2 3" xfId="12490" xr:uid="{88ABBC20-6425-47DD-AA18-685FB5EBBB1A}"/>
    <cellStyle name="Normal 9 2 3 6 3" xfId="6124" xr:uid="{00000000-0005-0000-0000-0000541F0000}"/>
    <cellStyle name="Normal 9 2 3 6 3 2" xfId="14563" xr:uid="{FB318F6B-39BA-484D-88D9-E8429B974C23}"/>
    <cellStyle name="Normal 9 2 3 6 4" xfId="10345" xr:uid="{6F930BC8-7355-4D74-91AC-B62F69955AEA}"/>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D9BB6A4F-BB51-469A-928D-7B97B950619F}"/>
    <cellStyle name="Normal 9 2 3 7 2 3" xfId="12903" xr:uid="{49CBC9BB-978F-4A24-8CE0-9FBA26ABF99E}"/>
    <cellStyle name="Normal 9 2 3 7 3" xfId="6537" xr:uid="{00000000-0005-0000-0000-0000581F0000}"/>
    <cellStyle name="Normal 9 2 3 7 3 2" xfId="14976" xr:uid="{37A0464D-C235-4675-9DB8-D6AF1E78A4E2}"/>
    <cellStyle name="Normal 9 2 3 7 4" xfId="10758" xr:uid="{252BF9CE-5531-4A73-A398-947ECE7533A0}"/>
    <cellStyle name="Normal 9 2 3 8" xfId="2666" xr:uid="{00000000-0005-0000-0000-0000591F0000}"/>
    <cellStyle name="Normal 9 2 3 8 2" xfId="6950" xr:uid="{00000000-0005-0000-0000-00005A1F0000}"/>
    <cellStyle name="Normal 9 2 3 8 2 2" xfId="15389" xr:uid="{A4CE9E61-C085-4F18-921D-223B290057F2}"/>
    <cellStyle name="Normal 9 2 3 8 3" xfId="11171" xr:uid="{EB01A84E-D258-421C-A08A-C29EBE428459}"/>
    <cellStyle name="Normal 9 2 3 9" xfId="4885" xr:uid="{00000000-0005-0000-0000-00005B1F0000}"/>
    <cellStyle name="Normal 9 2 3 9 2" xfId="13324" xr:uid="{DEEEE31A-3BD1-406D-A738-D8BC0A13B0C1}"/>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5F964A4A-291F-482A-A3D5-B5D205ED7440}"/>
    <cellStyle name="Normal 9 2 4 2 2 2 3" xfId="11669" xr:uid="{70C85FF2-E867-4801-A18A-7B5BE09BFD65}"/>
    <cellStyle name="Normal 9 2 4 2 2 3" xfId="5303" xr:uid="{00000000-0005-0000-0000-0000611F0000}"/>
    <cellStyle name="Normal 9 2 4 2 2 3 2" xfId="13742" xr:uid="{663BD579-1DA2-4858-A4BD-4C630F373424}"/>
    <cellStyle name="Normal 9 2 4 2 2 4" xfId="9524" xr:uid="{7B3B7C22-18F7-4A24-96B1-A3D170402D1F}"/>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224560E0-5DA4-4367-8CFD-164A9172E1F0}"/>
    <cellStyle name="Normal 9 2 4 2 3 2 3" xfId="12082" xr:uid="{3FE6CB6D-A4B8-43F0-8D72-C0CBFF883D2D}"/>
    <cellStyle name="Normal 9 2 4 2 3 3" xfId="5716" xr:uid="{00000000-0005-0000-0000-0000651F0000}"/>
    <cellStyle name="Normal 9 2 4 2 3 3 2" xfId="14155" xr:uid="{A7276F6D-A9DB-40AC-A719-C577126971B1}"/>
    <cellStyle name="Normal 9 2 4 2 3 4" xfId="9937" xr:uid="{BEF86DB3-B8E7-4E68-98E7-854AF340DBE1}"/>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C407AF75-9100-4D48-8B3D-2081D545F269}"/>
    <cellStyle name="Normal 9 2 4 2 4 2 3" xfId="12495" xr:uid="{26583F29-6536-4948-BEA9-3037D929D878}"/>
    <cellStyle name="Normal 9 2 4 2 4 3" xfId="6129" xr:uid="{00000000-0005-0000-0000-0000691F0000}"/>
    <cellStyle name="Normal 9 2 4 2 4 3 2" xfId="14568" xr:uid="{CF426ECE-3E75-447F-8211-0FB2F3396D3E}"/>
    <cellStyle name="Normal 9 2 4 2 4 4" xfId="10350" xr:uid="{0EC78CA4-3F7A-4785-8DFA-BD9198CDDEA6}"/>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912E2A1B-4A2B-4DD7-8DA6-079A3FDFF86F}"/>
    <cellStyle name="Normal 9 2 4 2 5 2 3" xfId="12908" xr:uid="{8B579378-2745-41EC-9BF3-B0723217D7F8}"/>
    <cellStyle name="Normal 9 2 4 2 5 3" xfId="6542" xr:uid="{00000000-0005-0000-0000-00006D1F0000}"/>
    <cellStyle name="Normal 9 2 4 2 5 3 2" xfId="14981" xr:uid="{48629555-EA90-4625-8351-CDAA892FBD02}"/>
    <cellStyle name="Normal 9 2 4 2 5 4" xfId="10763" xr:uid="{26F03EA3-6D38-4E5D-9B7E-90A7D320DEBC}"/>
    <cellStyle name="Normal 9 2 4 2 6" xfId="2671" xr:uid="{00000000-0005-0000-0000-00006E1F0000}"/>
    <cellStyle name="Normal 9 2 4 2 6 2" xfId="6955" xr:uid="{00000000-0005-0000-0000-00006F1F0000}"/>
    <cellStyle name="Normal 9 2 4 2 6 2 2" xfId="15394" xr:uid="{0EC0DE20-1433-4647-8601-8284AF8844FB}"/>
    <cellStyle name="Normal 9 2 4 2 6 3" xfId="11176" xr:uid="{7A4E4859-6209-4DEB-98A0-475E40C9BD2D}"/>
    <cellStyle name="Normal 9 2 4 2 7" xfId="4890" xr:uid="{00000000-0005-0000-0000-0000701F0000}"/>
    <cellStyle name="Normal 9 2 4 2 7 2" xfId="13329" xr:uid="{BCB6ADB8-E38A-492D-AA7C-D092A2AD4875}"/>
    <cellStyle name="Normal 9 2 4 2 8" xfId="9111" xr:uid="{9EEDA27A-4638-498A-8DAC-B9669ED957F0}"/>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2A0411CD-9417-44F4-9498-1E8349BB2C6D}"/>
    <cellStyle name="Normal 9 2 4 3 2 3" xfId="11668" xr:uid="{893219CB-B1FC-422A-BE67-18749C87E0C5}"/>
    <cellStyle name="Normal 9 2 4 3 3" xfId="5302" xr:uid="{00000000-0005-0000-0000-0000741F0000}"/>
    <cellStyle name="Normal 9 2 4 3 3 2" xfId="13741" xr:uid="{105ECB01-C3B0-4C5A-9213-A843C707789F}"/>
    <cellStyle name="Normal 9 2 4 3 4" xfId="9523" xr:uid="{0814BC5E-E6DD-4BEC-BC83-95F4A25C249C}"/>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B8307704-AE45-4BA6-91A2-CE6E525DB696}"/>
    <cellStyle name="Normal 9 2 4 4 2 3" xfId="12081" xr:uid="{44FAF005-1055-49B6-9179-1F0B8EA6F891}"/>
    <cellStyle name="Normal 9 2 4 4 3" xfId="5715" xr:uid="{00000000-0005-0000-0000-0000781F0000}"/>
    <cellStyle name="Normal 9 2 4 4 3 2" xfId="14154" xr:uid="{2226CDED-5115-41C2-8809-F99A9DCE7999}"/>
    <cellStyle name="Normal 9 2 4 4 4" xfId="9936" xr:uid="{B48D0939-00BF-4798-A975-75429F5CA98D}"/>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EF425096-72E7-40B5-BEAA-1FB86DF2EAB0}"/>
    <cellStyle name="Normal 9 2 4 5 2 3" xfId="12494" xr:uid="{6967EC17-8540-492E-9439-318328FC0B3E}"/>
    <cellStyle name="Normal 9 2 4 5 3" xfId="6128" xr:uid="{00000000-0005-0000-0000-00007C1F0000}"/>
    <cellStyle name="Normal 9 2 4 5 3 2" xfId="14567" xr:uid="{EC91CF6D-173A-4A1C-A4DD-E3C241429AFF}"/>
    <cellStyle name="Normal 9 2 4 5 4" xfId="10349" xr:uid="{162695A9-568F-4AD5-93AB-6B1CBFEAAB7B}"/>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14B6E640-1BA5-41A8-8997-DD0BDE5DA338}"/>
    <cellStyle name="Normal 9 2 4 6 2 3" xfId="12907" xr:uid="{985841C9-BA10-4368-98F6-C19AB0798496}"/>
    <cellStyle name="Normal 9 2 4 6 3" xfId="6541" xr:uid="{00000000-0005-0000-0000-0000801F0000}"/>
    <cellStyle name="Normal 9 2 4 6 3 2" xfId="14980" xr:uid="{A3733A05-C816-4AB2-A102-E38FAB010970}"/>
    <cellStyle name="Normal 9 2 4 6 4" xfId="10762" xr:uid="{BFCB582E-DFEF-40C1-83FC-AC81519AD4C1}"/>
    <cellStyle name="Normal 9 2 4 7" xfId="2670" xr:uid="{00000000-0005-0000-0000-0000811F0000}"/>
    <cellStyle name="Normal 9 2 4 7 2" xfId="6954" xr:uid="{00000000-0005-0000-0000-0000821F0000}"/>
    <cellStyle name="Normal 9 2 4 7 2 2" xfId="15393" xr:uid="{1D4ACFD3-549A-48D7-BE41-926FCB1B69F0}"/>
    <cellStyle name="Normal 9 2 4 7 3" xfId="11175" xr:uid="{0450F838-1921-4AAC-9E72-91852BAA2D72}"/>
    <cellStyle name="Normal 9 2 4 8" xfId="4889" xr:uid="{00000000-0005-0000-0000-0000831F0000}"/>
    <cellStyle name="Normal 9 2 4 8 2" xfId="13328" xr:uid="{1D61E2E5-F91A-4370-B510-8D229C4B24A2}"/>
    <cellStyle name="Normal 9 2 4 9" xfId="9110" xr:uid="{EBE412D8-B82C-4825-911C-B69A34C9B2A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A2324FD3-EBEF-4A85-B59F-70002D84BF34}"/>
    <cellStyle name="Normal 9 2 5 2 2 3" xfId="11670" xr:uid="{96C52104-59EC-4CF6-ADA1-0FD491BAA077}"/>
    <cellStyle name="Normal 9 2 5 2 3" xfId="5304" xr:uid="{00000000-0005-0000-0000-0000881F0000}"/>
    <cellStyle name="Normal 9 2 5 2 3 2" xfId="13743" xr:uid="{77253A44-6D8E-490D-8F86-09F36B76A06A}"/>
    <cellStyle name="Normal 9 2 5 2 4" xfId="9525" xr:uid="{3644AE3A-E151-45D4-9FCE-49A97F73652E}"/>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22B81FE0-5281-4C1F-9E70-60CD9797143C}"/>
    <cellStyle name="Normal 9 2 5 3 2 3" xfId="12083" xr:uid="{FA7107E5-3302-4EF6-9999-DC54D3BC0A1A}"/>
    <cellStyle name="Normal 9 2 5 3 3" xfId="5717" xr:uid="{00000000-0005-0000-0000-00008C1F0000}"/>
    <cellStyle name="Normal 9 2 5 3 3 2" xfId="14156" xr:uid="{309BCDB3-DF6E-4928-B5E9-A0F05D49DE31}"/>
    <cellStyle name="Normal 9 2 5 3 4" xfId="9938" xr:uid="{F7D34262-7138-4B26-8873-8C1CFFBDD652}"/>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EDC2FE52-D063-4803-8D10-5412AE50F44E}"/>
    <cellStyle name="Normal 9 2 5 4 2 3" xfId="12496" xr:uid="{2469E8EB-F09C-4FA7-830C-E59C876DDC51}"/>
    <cellStyle name="Normal 9 2 5 4 3" xfId="6130" xr:uid="{00000000-0005-0000-0000-0000901F0000}"/>
    <cellStyle name="Normal 9 2 5 4 3 2" xfId="14569" xr:uid="{046952AE-AC1A-4702-8782-C091F3E21B15}"/>
    <cellStyle name="Normal 9 2 5 4 4" xfId="10351" xr:uid="{99940D36-A5D6-4661-89DD-94E55616256E}"/>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D09A6BC2-0620-497B-8AD2-61C825ABCD9C}"/>
    <cellStyle name="Normal 9 2 5 5 2 3" xfId="12909" xr:uid="{8885F1CF-2113-45E1-AAA6-DBD709D988C4}"/>
    <cellStyle name="Normal 9 2 5 5 3" xfId="6543" xr:uid="{00000000-0005-0000-0000-0000941F0000}"/>
    <cellStyle name="Normal 9 2 5 5 3 2" xfId="14982" xr:uid="{3096F26E-CA34-41AC-B3FB-0E8752955543}"/>
    <cellStyle name="Normal 9 2 5 5 4" xfId="10764" xr:uid="{0D4D6D20-2052-4FE8-AC43-E5955AD26056}"/>
    <cellStyle name="Normal 9 2 5 6" xfId="2672" xr:uid="{00000000-0005-0000-0000-0000951F0000}"/>
    <cellStyle name="Normal 9 2 5 6 2" xfId="6956" xr:uid="{00000000-0005-0000-0000-0000961F0000}"/>
    <cellStyle name="Normal 9 2 5 6 2 2" xfId="15395" xr:uid="{47A01942-8BF5-4550-8570-7ADB1B9D9CFE}"/>
    <cellStyle name="Normal 9 2 5 6 3" xfId="11177" xr:uid="{B742B438-0A9C-480F-881E-2EBB1B0D9BD0}"/>
    <cellStyle name="Normal 9 2 5 7" xfId="4891" xr:uid="{00000000-0005-0000-0000-0000971F0000}"/>
    <cellStyle name="Normal 9 2 5 7 2" xfId="13330" xr:uid="{BD062DFC-5057-45FF-82A4-119E149222DF}"/>
    <cellStyle name="Normal 9 2 5 8" xfId="9112" xr:uid="{D67B8277-19FB-49C7-8AA4-12F9587612AF}"/>
    <cellStyle name="Normal 9 2 6" xfId="978" xr:uid="{00000000-0005-0000-0000-0000981F0000}"/>
    <cellStyle name="Normal 9 2 6 2" xfId="3211" xr:uid="{00000000-0005-0000-0000-0000991F0000}"/>
    <cellStyle name="Normal 9 2 6 2 2" xfId="7434" xr:uid="{00000000-0005-0000-0000-00009A1F0000}"/>
    <cellStyle name="Normal 9 2 6 2 2 2" xfId="15873" xr:uid="{A69E6BB2-EE54-4643-BE57-C4CAEFAE7D36}"/>
    <cellStyle name="Normal 9 2 6 2 3" xfId="11655" xr:uid="{CD11A1A0-DF4D-4C21-A306-E3DFA419790E}"/>
    <cellStyle name="Normal 9 2 6 3" xfId="5289" xr:uid="{00000000-0005-0000-0000-00009B1F0000}"/>
    <cellStyle name="Normal 9 2 6 3 2" xfId="13728" xr:uid="{44F7EB56-6271-43CD-9A52-FF39D053F968}"/>
    <cellStyle name="Normal 9 2 6 4" xfId="9510" xr:uid="{F91D684E-98A2-47B5-8F07-21C0F0D0A529}"/>
    <cellStyle name="Normal 9 2 7" xfId="1394" xr:uid="{00000000-0005-0000-0000-00009C1F0000}"/>
    <cellStyle name="Normal 9 2 7 2" xfId="3624" xr:uid="{00000000-0005-0000-0000-00009D1F0000}"/>
    <cellStyle name="Normal 9 2 7 2 2" xfId="7847" xr:uid="{00000000-0005-0000-0000-00009E1F0000}"/>
    <cellStyle name="Normal 9 2 7 2 2 2" xfId="16286" xr:uid="{754E94BA-FB92-4D27-BEBE-C1B6F383EBA2}"/>
    <cellStyle name="Normal 9 2 7 2 3" xfId="12068" xr:uid="{8028E663-A627-4F5B-A6D2-4EDA31B053BE}"/>
    <cellStyle name="Normal 9 2 7 3" xfId="5702" xr:uid="{00000000-0005-0000-0000-00009F1F0000}"/>
    <cellStyle name="Normal 9 2 7 3 2" xfId="14141" xr:uid="{7D219110-79CF-4984-95C1-3DD0D87DFB75}"/>
    <cellStyle name="Normal 9 2 7 4" xfId="9923" xr:uid="{2C897A51-5ABB-4265-AD1F-3A9B513C7622}"/>
    <cellStyle name="Normal 9 2 8" xfId="1807" xr:uid="{00000000-0005-0000-0000-0000A01F0000}"/>
    <cellStyle name="Normal 9 2 8 2" xfId="4037" xr:uid="{00000000-0005-0000-0000-0000A11F0000}"/>
    <cellStyle name="Normal 9 2 8 2 2" xfId="8260" xr:uid="{00000000-0005-0000-0000-0000A21F0000}"/>
    <cellStyle name="Normal 9 2 8 2 2 2" xfId="16699" xr:uid="{692B43B0-7728-4AFB-913B-3B7EEEC69578}"/>
    <cellStyle name="Normal 9 2 8 2 3" xfId="12481" xr:uid="{B1550D57-3652-4E5C-A3EF-8E6BB24BCF79}"/>
    <cellStyle name="Normal 9 2 8 3" xfId="6115" xr:uid="{00000000-0005-0000-0000-0000A31F0000}"/>
    <cellStyle name="Normal 9 2 8 3 2" xfId="14554" xr:uid="{20E89C21-851E-4BCF-86E9-240B37642CF8}"/>
    <cellStyle name="Normal 9 2 8 4" xfId="10336" xr:uid="{7451F0D8-AF86-410C-8BAD-51F58618A803}"/>
    <cellStyle name="Normal 9 2 9" xfId="2221" xr:uid="{00000000-0005-0000-0000-0000A41F0000}"/>
    <cellStyle name="Normal 9 2 9 2" xfId="4450" xr:uid="{00000000-0005-0000-0000-0000A51F0000}"/>
    <cellStyle name="Normal 9 2 9 2 2" xfId="8673" xr:uid="{00000000-0005-0000-0000-0000A61F0000}"/>
    <cellStyle name="Normal 9 2 9 2 2 2" xfId="17112" xr:uid="{AB453EAD-A02D-41FF-93A1-EF190B714DB7}"/>
    <cellStyle name="Normal 9 2 9 2 3" xfId="12894" xr:uid="{BB8493CD-5696-4EFB-A0D3-0CA6B6BC587E}"/>
    <cellStyle name="Normal 9 2 9 3" xfId="6528" xr:uid="{00000000-0005-0000-0000-0000A71F0000}"/>
    <cellStyle name="Normal 9 2 9 3 2" xfId="14967" xr:uid="{BBE7C0A0-1854-4146-A600-A88B8B3429EA}"/>
    <cellStyle name="Normal 9 2 9 4" xfId="10749" xr:uid="{E3035E55-5A30-4BCE-9A95-C25500B0E11D}"/>
    <cellStyle name="Normal 9 3" xfId="527" xr:uid="{00000000-0005-0000-0000-0000A81F0000}"/>
    <cellStyle name="Normal 9 3 10" xfId="4892" xr:uid="{00000000-0005-0000-0000-0000A91F0000}"/>
    <cellStyle name="Normal 9 3 10 2" xfId="13331" xr:uid="{61BE3221-CC31-4FD1-9F4A-6219F405B63B}"/>
    <cellStyle name="Normal 9 3 11" xfId="9113" xr:uid="{06E2E43E-16A2-4CAE-B2D6-9826E730F5D1}"/>
    <cellStyle name="Normal 9 3 2" xfId="528" xr:uid="{00000000-0005-0000-0000-0000AA1F0000}"/>
    <cellStyle name="Normal 9 3 2 10" xfId="9114" xr:uid="{3BAD0645-0E74-42F3-9A3F-6DA617763991}"/>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8DEE6E54-74F7-4295-88E7-4518F5DF03F1}"/>
    <cellStyle name="Normal 9 3 2 2 2 2 2 3" xfId="11674" xr:uid="{6BD06425-66E0-47BD-A4F3-8531F1E09038}"/>
    <cellStyle name="Normal 9 3 2 2 2 2 3" xfId="5308" xr:uid="{00000000-0005-0000-0000-0000B01F0000}"/>
    <cellStyle name="Normal 9 3 2 2 2 2 3 2" xfId="13747" xr:uid="{3D0C84D9-EFDC-4E58-86AA-84AE2E9E8BCE}"/>
    <cellStyle name="Normal 9 3 2 2 2 2 4" xfId="9529" xr:uid="{906E4360-F0AD-4AD6-8864-837550C07DAA}"/>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23BDEB2D-8483-4720-8A5E-37DFBE5AB63D}"/>
    <cellStyle name="Normal 9 3 2 2 2 3 2 3" xfId="12087" xr:uid="{82AB9E97-7471-4556-9109-6DC0BD19A184}"/>
    <cellStyle name="Normal 9 3 2 2 2 3 3" xfId="5721" xr:uid="{00000000-0005-0000-0000-0000B41F0000}"/>
    <cellStyle name="Normal 9 3 2 2 2 3 3 2" xfId="14160" xr:uid="{0E5ECD4A-A38F-4D5D-A777-8F7817107652}"/>
    <cellStyle name="Normal 9 3 2 2 2 3 4" xfId="9942" xr:uid="{2A94AB5E-CFD7-4ABD-8C03-2A4A09EF909C}"/>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3F242A25-BF00-4227-99A8-6808F47ADEAA}"/>
    <cellStyle name="Normal 9 3 2 2 2 4 2 3" xfId="12500" xr:uid="{DA8B2339-1EBD-453C-BD3F-C06FC2955CEA}"/>
    <cellStyle name="Normal 9 3 2 2 2 4 3" xfId="6134" xr:uid="{00000000-0005-0000-0000-0000B81F0000}"/>
    <cellStyle name="Normal 9 3 2 2 2 4 3 2" xfId="14573" xr:uid="{E6816B97-83B5-4951-A1B3-76C39BD7F41C}"/>
    <cellStyle name="Normal 9 3 2 2 2 4 4" xfId="10355" xr:uid="{E81CAA23-E9C3-43D1-AFB2-5518FD5BAF18}"/>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E7719F84-F2B4-493C-B2D7-FB6AFF5D8E3B}"/>
    <cellStyle name="Normal 9 3 2 2 2 5 2 3" xfId="12913" xr:uid="{E5852544-CF5E-4816-A5D7-964885E990EA}"/>
    <cellStyle name="Normal 9 3 2 2 2 5 3" xfId="6547" xr:uid="{00000000-0005-0000-0000-0000BC1F0000}"/>
    <cellStyle name="Normal 9 3 2 2 2 5 3 2" xfId="14986" xr:uid="{32785665-F4DD-43D8-BFE5-3039DA1E55DB}"/>
    <cellStyle name="Normal 9 3 2 2 2 5 4" xfId="10768" xr:uid="{0361363C-925E-4F29-916F-0F73E4CCA0EC}"/>
    <cellStyle name="Normal 9 3 2 2 2 6" xfId="2676" xr:uid="{00000000-0005-0000-0000-0000BD1F0000}"/>
    <cellStyle name="Normal 9 3 2 2 2 6 2" xfId="6960" xr:uid="{00000000-0005-0000-0000-0000BE1F0000}"/>
    <cellStyle name="Normal 9 3 2 2 2 6 2 2" xfId="15399" xr:uid="{F874F9A4-3263-4141-A5AA-7C75AAFE984A}"/>
    <cellStyle name="Normal 9 3 2 2 2 6 3" xfId="11181" xr:uid="{0D113542-0B1F-4843-A4B8-1515EBF2F1D0}"/>
    <cellStyle name="Normal 9 3 2 2 2 7" xfId="4895" xr:uid="{00000000-0005-0000-0000-0000BF1F0000}"/>
    <cellStyle name="Normal 9 3 2 2 2 7 2" xfId="13334" xr:uid="{8860D685-2A48-4127-8453-9CCE6F35702E}"/>
    <cellStyle name="Normal 9 3 2 2 2 8" xfId="9116" xr:uid="{92E14B27-D061-4299-B149-70C80338636A}"/>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18F1BD72-7192-4A8D-A7C2-278992E6DB28}"/>
    <cellStyle name="Normal 9 3 2 2 3 2 3" xfId="11673" xr:uid="{424B3909-8196-45E0-BA97-49BA63ECEB7C}"/>
    <cellStyle name="Normal 9 3 2 2 3 3" xfId="5307" xr:uid="{00000000-0005-0000-0000-0000C31F0000}"/>
    <cellStyle name="Normal 9 3 2 2 3 3 2" xfId="13746" xr:uid="{BA03B3E0-4A0A-42B5-A2E6-5F9893CDA97D}"/>
    <cellStyle name="Normal 9 3 2 2 3 4" xfId="9528" xr:uid="{9E86EA27-B28E-4400-8F24-BEC618FDD9EA}"/>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3CF14323-FA88-4947-9464-2F8B5E51ADB5}"/>
    <cellStyle name="Normal 9 3 2 2 4 2 3" xfId="12086" xr:uid="{006C5922-8B60-4434-9777-1623DF8EDF8D}"/>
    <cellStyle name="Normal 9 3 2 2 4 3" xfId="5720" xr:uid="{00000000-0005-0000-0000-0000C71F0000}"/>
    <cellStyle name="Normal 9 3 2 2 4 3 2" xfId="14159" xr:uid="{423E49C1-F286-4B8D-86F9-880F3C01405A}"/>
    <cellStyle name="Normal 9 3 2 2 4 4" xfId="9941" xr:uid="{01D22B2A-304B-45F0-AC96-45404E28B98B}"/>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74D97C90-BEA7-4E12-83C5-8689B449B6EF}"/>
    <cellStyle name="Normal 9 3 2 2 5 2 3" xfId="12499" xr:uid="{15E9A283-9F62-43BD-A027-E54B07AA724D}"/>
    <cellStyle name="Normal 9 3 2 2 5 3" xfId="6133" xr:uid="{00000000-0005-0000-0000-0000CB1F0000}"/>
    <cellStyle name="Normal 9 3 2 2 5 3 2" xfId="14572" xr:uid="{3EEBB497-A5B7-4967-A019-6C7C6AFD51A8}"/>
    <cellStyle name="Normal 9 3 2 2 5 4" xfId="10354" xr:uid="{935B8859-0DF8-43E2-8A65-1747918A2E86}"/>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24554460-A1D7-4067-98BD-0061D3D75C82}"/>
    <cellStyle name="Normal 9 3 2 2 6 2 3" xfId="12912" xr:uid="{8AD5BDAC-AB23-4F07-A69C-FCD510A39218}"/>
    <cellStyle name="Normal 9 3 2 2 6 3" xfId="6546" xr:uid="{00000000-0005-0000-0000-0000CF1F0000}"/>
    <cellStyle name="Normal 9 3 2 2 6 3 2" xfId="14985" xr:uid="{BAC14A44-103C-44DB-A400-D558E3FD05D2}"/>
    <cellStyle name="Normal 9 3 2 2 6 4" xfId="10767" xr:uid="{7198F591-8203-4AE1-99C3-FF8196F9B898}"/>
    <cellStyle name="Normal 9 3 2 2 7" xfId="2675" xr:uid="{00000000-0005-0000-0000-0000D01F0000}"/>
    <cellStyle name="Normal 9 3 2 2 7 2" xfId="6959" xr:uid="{00000000-0005-0000-0000-0000D11F0000}"/>
    <cellStyle name="Normal 9 3 2 2 7 2 2" xfId="15398" xr:uid="{D03ADA67-F400-481A-B33D-43FF901ED542}"/>
    <cellStyle name="Normal 9 3 2 2 7 3" xfId="11180" xr:uid="{242AA73C-7054-4978-B929-F0431B36E9DF}"/>
    <cellStyle name="Normal 9 3 2 2 8" xfId="4894" xr:uid="{00000000-0005-0000-0000-0000D21F0000}"/>
    <cellStyle name="Normal 9 3 2 2 8 2" xfId="13333" xr:uid="{8EDE8799-DA2F-4C85-A8D6-9C0DB077120B}"/>
    <cellStyle name="Normal 9 3 2 2 9" xfId="9115" xr:uid="{4E6F3878-8CE2-4E51-8C7A-415F566261E6}"/>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DC798F0B-156A-459E-8BC6-E3EBF8C57157}"/>
    <cellStyle name="Normal 9 3 2 3 2 2 3" xfId="11675" xr:uid="{81422D35-CBD2-4B78-9BC8-2BB574D61939}"/>
    <cellStyle name="Normal 9 3 2 3 2 3" xfId="5309" xr:uid="{00000000-0005-0000-0000-0000D71F0000}"/>
    <cellStyle name="Normal 9 3 2 3 2 3 2" xfId="13748" xr:uid="{BD49433B-F0A5-45BA-A79D-518326067FB6}"/>
    <cellStyle name="Normal 9 3 2 3 2 4" xfId="9530" xr:uid="{F9FA51B6-9AE5-43E5-8511-56A2ADA7040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50DE488F-364C-4ADD-9966-CF8BA9D0F112}"/>
    <cellStyle name="Normal 9 3 2 3 3 2 3" xfId="12088" xr:uid="{7FCCB78F-F633-4943-93A6-8A2A1CA33906}"/>
    <cellStyle name="Normal 9 3 2 3 3 3" xfId="5722" xr:uid="{00000000-0005-0000-0000-0000DB1F0000}"/>
    <cellStyle name="Normal 9 3 2 3 3 3 2" xfId="14161" xr:uid="{9938C54B-EB23-4027-AB49-AB442C0D1870}"/>
    <cellStyle name="Normal 9 3 2 3 3 4" xfId="9943" xr:uid="{C9624CBD-FE8E-4060-A981-26C4DB4331AD}"/>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CDB6381A-2F0E-46E5-AAEB-5F228F58A153}"/>
    <cellStyle name="Normal 9 3 2 3 4 2 3" xfId="12501" xr:uid="{02433BAB-1054-4EE3-B7EE-589A8DA15E39}"/>
    <cellStyle name="Normal 9 3 2 3 4 3" xfId="6135" xr:uid="{00000000-0005-0000-0000-0000DF1F0000}"/>
    <cellStyle name="Normal 9 3 2 3 4 3 2" xfId="14574" xr:uid="{307418A0-1FB1-4F4C-9641-96C18EEF7363}"/>
    <cellStyle name="Normal 9 3 2 3 4 4" xfId="10356" xr:uid="{23414A4B-00DA-453D-9766-AD7BF25F3D19}"/>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E5C1B06B-9222-4C13-9B7D-19CAB0DCF58B}"/>
    <cellStyle name="Normal 9 3 2 3 5 2 3" xfId="12914" xr:uid="{DEA0FF3C-83EF-48EA-8C5E-4E6F99D84BE6}"/>
    <cellStyle name="Normal 9 3 2 3 5 3" xfId="6548" xr:uid="{00000000-0005-0000-0000-0000E31F0000}"/>
    <cellStyle name="Normal 9 3 2 3 5 3 2" xfId="14987" xr:uid="{8DF6CC3E-8E99-4F72-8B9D-6F0E0A5DDCA5}"/>
    <cellStyle name="Normal 9 3 2 3 5 4" xfId="10769" xr:uid="{12DAF575-A66E-45DF-B45D-F979BBBF0CB0}"/>
    <cellStyle name="Normal 9 3 2 3 6" xfId="2677" xr:uid="{00000000-0005-0000-0000-0000E41F0000}"/>
    <cellStyle name="Normal 9 3 2 3 6 2" xfId="6961" xr:uid="{00000000-0005-0000-0000-0000E51F0000}"/>
    <cellStyle name="Normal 9 3 2 3 6 2 2" xfId="15400" xr:uid="{4C995682-97AB-419A-86C0-C60629A40F07}"/>
    <cellStyle name="Normal 9 3 2 3 6 3" xfId="11182" xr:uid="{CE3CD454-0372-43C8-B51A-F99E485FB6BC}"/>
    <cellStyle name="Normal 9 3 2 3 7" xfId="4896" xr:uid="{00000000-0005-0000-0000-0000E61F0000}"/>
    <cellStyle name="Normal 9 3 2 3 7 2" xfId="13335" xr:uid="{83385BF9-4756-4E85-84D7-B946DBA5C5EA}"/>
    <cellStyle name="Normal 9 3 2 3 8" xfId="9117" xr:uid="{43D8AA76-49DC-4CFF-9136-C6990C13884B}"/>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E9FD31B4-74EC-4B05-B38E-8FC422AD2F91}"/>
    <cellStyle name="Normal 9 3 2 4 2 3" xfId="11672" xr:uid="{C42D7365-6244-4614-A77A-F5D494789660}"/>
    <cellStyle name="Normal 9 3 2 4 3" xfId="5306" xr:uid="{00000000-0005-0000-0000-0000EA1F0000}"/>
    <cellStyle name="Normal 9 3 2 4 3 2" xfId="13745" xr:uid="{72133B10-8C44-42C4-8F9C-CE5E94E807CE}"/>
    <cellStyle name="Normal 9 3 2 4 4" xfId="9527" xr:uid="{4138AC71-A649-48EA-804B-36CAE67C1684}"/>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61F7DC3A-A270-4A21-A8A9-E949D703ECD0}"/>
    <cellStyle name="Normal 9 3 2 5 2 3" xfId="12085" xr:uid="{43A31BF3-C0E6-4DA5-90DF-D5672453B315}"/>
    <cellStyle name="Normal 9 3 2 5 3" xfId="5719" xr:uid="{00000000-0005-0000-0000-0000EE1F0000}"/>
    <cellStyle name="Normal 9 3 2 5 3 2" xfId="14158" xr:uid="{A5B139CE-6C62-4AEE-A699-B348C61C667A}"/>
    <cellStyle name="Normal 9 3 2 5 4" xfId="9940" xr:uid="{12850164-BC03-4FCA-BD7E-F8A06CB0D0CA}"/>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F4A1A6F3-B7B0-48C3-8E46-731A23792B80}"/>
    <cellStyle name="Normal 9 3 2 6 2 3" xfId="12498" xr:uid="{61CC6079-EE64-4792-96FC-3A95F67027DB}"/>
    <cellStyle name="Normal 9 3 2 6 3" xfId="6132" xr:uid="{00000000-0005-0000-0000-0000F21F0000}"/>
    <cellStyle name="Normal 9 3 2 6 3 2" xfId="14571" xr:uid="{FB12EB29-AB30-4B25-9E5E-1045EB83EEE5}"/>
    <cellStyle name="Normal 9 3 2 6 4" xfId="10353" xr:uid="{41F682F0-96FD-4BA3-AF26-E46A5BCEEBF7}"/>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3B65FA2A-A47E-48A8-A9C4-DBB23E237AC4}"/>
    <cellStyle name="Normal 9 3 2 7 2 3" xfId="12911" xr:uid="{CFE9ACB4-8651-42D9-8D46-5DD0F0199114}"/>
    <cellStyle name="Normal 9 3 2 7 3" xfId="6545" xr:uid="{00000000-0005-0000-0000-0000F61F0000}"/>
    <cellStyle name="Normal 9 3 2 7 3 2" xfId="14984" xr:uid="{AD4849CD-2F65-40F8-8BF2-78071C66C5C3}"/>
    <cellStyle name="Normal 9 3 2 7 4" xfId="10766" xr:uid="{7B181401-4C7D-4C69-BCF4-ACB0F2A3212B}"/>
    <cellStyle name="Normal 9 3 2 8" xfId="2674" xr:uid="{00000000-0005-0000-0000-0000F71F0000}"/>
    <cellStyle name="Normal 9 3 2 8 2" xfId="6958" xr:uid="{00000000-0005-0000-0000-0000F81F0000}"/>
    <cellStyle name="Normal 9 3 2 8 2 2" xfId="15397" xr:uid="{973BE8DD-38A8-4589-9ACA-C319DB2965A6}"/>
    <cellStyle name="Normal 9 3 2 8 3" xfId="11179" xr:uid="{A59322BB-1CB5-4B2B-A2F2-173BA40EF368}"/>
    <cellStyle name="Normal 9 3 2 9" xfId="4893" xr:uid="{00000000-0005-0000-0000-0000F91F0000}"/>
    <cellStyle name="Normal 9 3 2 9 2" xfId="13332" xr:uid="{152898CB-ABF8-4128-8D29-023E9F5118E9}"/>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BE61D765-1345-4EF0-9142-7790CE236BDB}"/>
    <cellStyle name="Normal 9 3 3 2 2 2 3" xfId="11677" xr:uid="{CE4BE891-32C5-4728-A2EF-265BC13E253A}"/>
    <cellStyle name="Normal 9 3 3 2 2 3" xfId="5311" xr:uid="{00000000-0005-0000-0000-0000FF1F0000}"/>
    <cellStyle name="Normal 9 3 3 2 2 3 2" xfId="13750" xr:uid="{0FA0EE31-FCBD-496A-85A8-6C72BB4F9E89}"/>
    <cellStyle name="Normal 9 3 3 2 2 4" xfId="9532" xr:uid="{8357BBF6-0D11-4ED3-918D-169F88C3C994}"/>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F79CB77A-755B-4319-B6AB-9FF91EC9477B}"/>
    <cellStyle name="Normal 9 3 3 2 3 2 3" xfId="12090" xr:uid="{B6FC8408-014F-4698-BCF1-499364617BE9}"/>
    <cellStyle name="Normal 9 3 3 2 3 3" xfId="5724" xr:uid="{00000000-0005-0000-0000-000003200000}"/>
    <cellStyle name="Normal 9 3 3 2 3 3 2" xfId="14163" xr:uid="{85D77920-CBCB-404A-9217-3B2EEA5C7930}"/>
    <cellStyle name="Normal 9 3 3 2 3 4" xfId="9945" xr:uid="{94705EFA-0D53-435B-AABD-EC1B4FA6005A}"/>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6A8F05D1-458B-4942-A3FF-2DFA87D5ACE6}"/>
    <cellStyle name="Normal 9 3 3 2 4 2 3" xfId="12503" xr:uid="{302F9B6D-5682-4CDF-8FA4-F69FC97F8153}"/>
    <cellStyle name="Normal 9 3 3 2 4 3" xfId="6137" xr:uid="{00000000-0005-0000-0000-000007200000}"/>
    <cellStyle name="Normal 9 3 3 2 4 3 2" xfId="14576" xr:uid="{7E9E93D1-D3CD-4859-A784-83914A47FC15}"/>
    <cellStyle name="Normal 9 3 3 2 4 4" xfId="10358" xr:uid="{4FE228C7-8270-48E3-8FB7-028672008C71}"/>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F9E380E2-B1AF-4869-92EF-57E9B6503235}"/>
    <cellStyle name="Normal 9 3 3 2 5 2 3" xfId="12916" xr:uid="{13709141-DF75-46E1-9D62-A2CC9FE308A6}"/>
    <cellStyle name="Normal 9 3 3 2 5 3" xfId="6550" xr:uid="{00000000-0005-0000-0000-00000B200000}"/>
    <cellStyle name="Normal 9 3 3 2 5 3 2" xfId="14989" xr:uid="{C8913138-240E-41D0-8049-D4C7AE8BA136}"/>
    <cellStyle name="Normal 9 3 3 2 5 4" xfId="10771" xr:uid="{5C6432AA-F381-429E-9C59-60BFDCAFCC21}"/>
    <cellStyle name="Normal 9 3 3 2 6" xfId="2679" xr:uid="{00000000-0005-0000-0000-00000C200000}"/>
    <cellStyle name="Normal 9 3 3 2 6 2" xfId="6963" xr:uid="{00000000-0005-0000-0000-00000D200000}"/>
    <cellStyle name="Normal 9 3 3 2 6 2 2" xfId="15402" xr:uid="{58CD5731-5A59-4A97-AF7D-87B2FEDB64AE}"/>
    <cellStyle name="Normal 9 3 3 2 6 3" xfId="11184" xr:uid="{B3FFC021-2C60-4A29-B57B-AED56087A05A}"/>
    <cellStyle name="Normal 9 3 3 2 7" xfId="4898" xr:uid="{00000000-0005-0000-0000-00000E200000}"/>
    <cellStyle name="Normal 9 3 3 2 7 2" xfId="13337" xr:uid="{C6785C2B-4E00-454D-AB13-68B9FB9DFB00}"/>
    <cellStyle name="Normal 9 3 3 2 8" xfId="9119" xr:uid="{6EF7801D-33D8-4897-9988-3FE029D87BFF}"/>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0D0C16AF-2ACC-48E6-89E5-54356D9E7776}"/>
    <cellStyle name="Normal 9 3 3 3 2 3" xfId="11676" xr:uid="{01B998AE-3EFB-455C-9356-66804DB92D37}"/>
    <cellStyle name="Normal 9 3 3 3 3" xfId="5310" xr:uid="{00000000-0005-0000-0000-000012200000}"/>
    <cellStyle name="Normal 9 3 3 3 3 2" xfId="13749" xr:uid="{0FF8EF15-E8B3-473F-B0DC-5C6427CE09A8}"/>
    <cellStyle name="Normal 9 3 3 3 4" xfId="9531" xr:uid="{DC351F42-6F52-4C97-9E32-35E9E70795B5}"/>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BAC749C7-1937-4992-863B-96E73485A69D}"/>
    <cellStyle name="Normal 9 3 3 4 2 3" xfId="12089" xr:uid="{AAC39670-58E4-4C27-98F2-FDC034930E59}"/>
    <cellStyle name="Normal 9 3 3 4 3" xfId="5723" xr:uid="{00000000-0005-0000-0000-000016200000}"/>
    <cellStyle name="Normal 9 3 3 4 3 2" xfId="14162" xr:uid="{0077D818-FAF3-40FD-B251-4B32F14069F9}"/>
    <cellStyle name="Normal 9 3 3 4 4" xfId="9944" xr:uid="{249B20F8-9160-4C6B-B453-C67B0F34D1E9}"/>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308AA1E8-D81F-44D0-AA78-AB57529773AE}"/>
    <cellStyle name="Normal 9 3 3 5 2 3" xfId="12502" xr:uid="{D58417EB-E494-469C-8C23-81683B9B1D5C}"/>
    <cellStyle name="Normal 9 3 3 5 3" xfId="6136" xr:uid="{00000000-0005-0000-0000-00001A200000}"/>
    <cellStyle name="Normal 9 3 3 5 3 2" xfId="14575" xr:uid="{90087524-88C5-458E-9CA0-60A64E60605D}"/>
    <cellStyle name="Normal 9 3 3 5 4" xfId="10357" xr:uid="{0FC3BEC0-719A-4DB3-9E35-F3FBDC2BD7B8}"/>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8A3C4459-DF69-4D32-BDB6-D7578548FF54}"/>
    <cellStyle name="Normal 9 3 3 6 2 3" xfId="12915" xr:uid="{DE299E6C-158C-4E3E-A6E1-42C7259771DC}"/>
    <cellStyle name="Normal 9 3 3 6 3" xfId="6549" xr:uid="{00000000-0005-0000-0000-00001E200000}"/>
    <cellStyle name="Normal 9 3 3 6 3 2" xfId="14988" xr:uid="{9452F59D-CC1A-4D84-B4F7-9A9222C3707B}"/>
    <cellStyle name="Normal 9 3 3 6 4" xfId="10770" xr:uid="{57535A2C-457E-475F-A5F8-F9F14D0A4AFD}"/>
    <cellStyle name="Normal 9 3 3 7" xfId="2678" xr:uid="{00000000-0005-0000-0000-00001F200000}"/>
    <cellStyle name="Normal 9 3 3 7 2" xfId="6962" xr:uid="{00000000-0005-0000-0000-000020200000}"/>
    <cellStyle name="Normal 9 3 3 7 2 2" xfId="15401" xr:uid="{9463BED9-9128-42C7-82C5-CC3A6B155B65}"/>
    <cellStyle name="Normal 9 3 3 7 3" xfId="11183" xr:uid="{C86E612E-5B84-4BAD-BA68-44DDA21C2A25}"/>
    <cellStyle name="Normal 9 3 3 8" xfId="4897" xr:uid="{00000000-0005-0000-0000-000021200000}"/>
    <cellStyle name="Normal 9 3 3 8 2" xfId="13336" xr:uid="{CB4A1A96-CFD0-4B60-AC7F-DAA832C53D0E}"/>
    <cellStyle name="Normal 9 3 3 9" xfId="9118" xr:uid="{F71583EC-00C4-47C8-89F3-3A529D4E6D9E}"/>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33E0C9B2-AC1F-415B-9454-F7C25BE952EC}"/>
    <cellStyle name="Normal 9 3 4 2 2 3" xfId="11678" xr:uid="{6E59311D-FF6E-4309-A484-08D5660638DA}"/>
    <cellStyle name="Normal 9 3 4 2 3" xfId="5312" xr:uid="{00000000-0005-0000-0000-000026200000}"/>
    <cellStyle name="Normal 9 3 4 2 3 2" xfId="13751" xr:uid="{8901F990-389F-4DBF-BC8F-A7A4E69F758A}"/>
    <cellStyle name="Normal 9 3 4 2 4" xfId="9533" xr:uid="{21CC95E7-4143-4916-851F-C9407C56C24B}"/>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45B7E516-FAE1-4BCB-ADE3-7F099AF82FFF}"/>
    <cellStyle name="Normal 9 3 4 3 2 3" xfId="12091" xr:uid="{F5DA211C-7938-416E-8878-E35470BF7388}"/>
    <cellStyle name="Normal 9 3 4 3 3" xfId="5725" xr:uid="{00000000-0005-0000-0000-00002A200000}"/>
    <cellStyle name="Normal 9 3 4 3 3 2" xfId="14164" xr:uid="{C9DAF6BF-0920-424F-94AD-811F5F619D75}"/>
    <cellStyle name="Normal 9 3 4 3 4" xfId="9946" xr:uid="{1E85B0C2-FE75-4713-B0C8-830C08595832}"/>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6C2C7BA8-2C1F-4BC9-9028-8C9B53034F1A}"/>
    <cellStyle name="Normal 9 3 4 4 2 3" xfId="12504" xr:uid="{F45DEB57-2FDD-4D3C-9B9A-2A15C0F7A45D}"/>
    <cellStyle name="Normal 9 3 4 4 3" xfId="6138" xr:uid="{00000000-0005-0000-0000-00002E200000}"/>
    <cellStyle name="Normal 9 3 4 4 3 2" xfId="14577" xr:uid="{3F9F466B-94E1-4C2D-AF14-D637F3DA8DED}"/>
    <cellStyle name="Normal 9 3 4 4 4" xfId="10359" xr:uid="{19F3AC30-895D-4AD3-BCC2-2D3C946E8A23}"/>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3B0B3F7D-D0B3-4DC8-A49E-AE9F71D37A91}"/>
    <cellStyle name="Normal 9 3 4 5 2 3" xfId="12917" xr:uid="{CA2F81D4-4987-4DE6-A2FE-6B117F854515}"/>
    <cellStyle name="Normal 9 3 4 5 3" xfId="6551" xr:uid="{00000000-0005-0000-0000-000032200000}"/>
    <cellStyle name="Normal 9 3 4 5 3 2" xfId="14990" xr:uid="{E9F1787B-9A4E-4645-BB40-043F14F897F2}"/>
    <cellStyle name="Normal 9 3 4 5 4" xfId="10772" xr:uid="{11C1B088-332A-4384-86FE-668700805D0A}"/>
    <cellStyle name="Normal 9 3 4 6" xfId="2680" xr:uid="{00000000-0005-0000-0000-000033200000}"/>
    <cellStyle name="Normal 9 3 4 6 2" xfId="6964" xr:uid="{00000000-0005-0000-0000-000034200000}"/>
    <cellStyle name="Normal 9 3 4 6 2 2" xfId="15403" xr:uid="{3769B03E-13B3-46BC-A72E-26E0F6F8C50A}"/>
    <cellStyle name="Normal 9 3 4 6 3" xfId="11185" xr:uid="{D411C679-3368-47FE-B48C-82354950A436}"/>
    <cellStyle name="Normal 9 3 4 7" xfId="4899" xr:uid="{00000000-0005-0000-0000-000035200000}"/>
    <cellStyle name="Normal 9 3 4 7 2" xfId="13338" xr:uid="{3F9BB5F7-CF9D-4B7D-8667-73642B48F2E2}"/>
    <cellStyle name="Normal 9 3 4 8" xfId="9120" xr:uid="{472C736B-4F8F-4013-BFDF-2252FBAF6C0D}"/>
    <cellStyle name="Normal 9 3 5" xfId="994" xr:uid="{00000000-0005-0000-0000-000036200000}"/>
    <cellStyle name="Normal 9 3 5 2" xfId="3227" xr:uid="{00000000-0005-0000-0000-000037200000}"/>
    <cellStyle name="Normal 9 3 5 2 2" xfId="7450" xr:uid="{00000000-0005-0000-0000-000038200000}"/>
    <cellStyle name="Normal 9 3 5 2 2 2" xfId="15889" xr:uid="{78FD8D1B-BB1D-4EB1-A113-6A9932147873}"/>
    <cellStyle name="Normal 9 3 5 2 3" xfId="11671" xr:uid="{B6B3F58F-B7C0-4C63-A944-383C2618F156}"/>
    <cellStyle name="Normal 9 3 5 3" xfId="5305" xr:uid="{00000000-0005-0000-0000-000039200000}"/>
    <cellStyle name="Normal 9 3 5 3 2" xfId="13744" xr:uid="{2CE06D70-880D-46F6-93B3-19FA6026581A}"/>
    <cellStyle name="Normal 9 3 5 4" xfId="9526" xr:uid="{B05BA4B3-5E66-41C6-A30A-FB53171AD978}"/>
    <cellStyle name="Normal 9 3 6" xfId="1410" xr:uid="{00000000-0005-0000-0000-00003A200000}"/>
    <cellStyle name="Normal 9 3 6 2" xfId="3640" xr:uid="{00000000-0005-0000-0000-00003B200000}"/>
    <cellStyle name="Normal 9 3 6 2 2" xfId="7863" xr:uid="{00000000-0005-0000-0000-00003C200000}"/>
    <cellStyle name="Normal 9 3 6 2 2 2" xfId="16302" xr:uid="{9E275415-1902-4DBA-AB4D-71D370CD4C48}"/>
    <cellStyle name="Normal 9 3 6 2 3" xfId="12084" xr:uid="{10921941-05DF-496C-98AB-ADAE7C452A52}"/>
    <cellStyle name="Normal 9 3 6 3" xfId="5718" xr:uid="{00000000-0005-0000-0000-00003D200000}"/>
    <cellStyle name="Normal 9 3 6 3 2" xfId="14157" xr:uid="{10372611-95CB-49EB-ABBC-0A5769BD61CE}"/>
    <cellStyle name="Normal 9 3 6 4" xfId="9939" xr:uid="{C976CF1D-B271-4592-B131-831E43A1C7D7}"/>
    <cellStyle name="Normal 9 3 7" xfId="1823" xr:uid="{00000000-0005-0000-0000-00003E200000}"/>
    <cellStyle name="Normal 9 3 7 2" xfId="4053" xr:uid="{00000000-0005-0000-0000-00003F200000}"/>
    <cellStyle name="Normal 9 3 7 2 2" xfId="8276" xr:uid="{00000000-0005-0000-0000-000040200000}"/>
    <cellStyle name="Normal 9 3 7 2 2 2" xfId="16715" xr:uid="{01570C59-6A02-47A5-8BDD-D187184B72A3}"/>
    <cellStyle name="Normal 9 3 7 2 3" xfId="12497" xr:uid="{D97D01F4-A909-445D-B4AA-400D7A8792A7}"/>
    <cellStyle name="Normal 9 3 7 3" xfId="6131" xr:uid="{00000000-0005-0000-0000-000041200000}"/>
    <cellStyle name="Normal 9 3 7 3 2" xfId="14570" xr:uid="{66D55E4A-118A-4FBC-B9AA-4A4F057346B5}"/>
    <cellStyle name="Normal 9 3 7 4" xfId="10352" xr:uid="{16C6C84E-8215-4642-9503-2B5375D52683}"/>
    <cellStyle name="Normal 9 3 8" xfId="2237" xr:uid="{00000000-0005-0000-0000-000042200000}"/>
    <cellStyle name="Normal 9 3 8 2" xfId="4466" xr:uid="{00000000-0005-0000-0000-000043200000}"/>
    <cellStyle name="Normal 9 3 8 2 2" xfId="8689" xr:uid="{00000000-0005-0000-0000-000044200000}"/>
    <cellStyle name="Normal 9 3 8 2 2 2" xfId="17128" xr:uid="{8D6A6CC3-7B46-4B3D-8A0D-A8120FFD111E}"/>
    <cellStyle name="Normal 9 3 8 2 3" xfId="12910" xr:uid="{9660DBEE-B1BD-4277-A4F7-4A053A4C85DE}"/>
    <cellStyle name="Normal 9 3 8 3" xfId="6544" xr:uid="{00000000-0005-0000-0000-000045200000}"/>
    <cellStyle name="Normal 9 3 8 3 2" xfId="14983" xr:uid="{3D47529F-E9C2-4794-882E-160177FD761F}"/>
    <cellStyle name="Normal 9 3 8 4" xfId="10765" xr:uid="{CD33B816-430B-4727-83A2-FD600F893C8D}"/>
    <cellStyle name="Normal 9 3 9" xfId="2673" xr:uid="{00000000-0005-0000-0000-000046200000}"/>
    <cellStyle name="Normal 9 3 9 2" xfId="6957" xr:uid="{00000000-0005-0000-0000-000047200000}"/>
    <cellStyle name="Normal 9 3 9 2 2" xfId="15396" xr:uid="{BA636581-EA26-492F-A1EE-B6EC553124E0}"/>
    <cellStyle name="Normal 9 3 9 3" xfId="11178" xr:uid="{3D74E156-8C2B-4D91-869A-429DF4A3EBC8}"/>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665ACEC3-0C49-48FD-A999-0AAE4890C8FE}"/>
    <cellStyle name="Normal 9 5 2 2 2 3" xfId="11680" xr:uid="{1F38598D-DE8C-4A0D-9386-A43F75CFBFF3}"/>
    <cellStyle name="Normal 9 5 2 2 3" xfId="5314" xr:uid="{00000000-0005-0000-0000-00004F200000}"/>
    <cellStyle name="Normal 9 5 2 2 3 2" xfId="13753" xr:uid="{68CC43BD-4B31-4BB3-A0C2-5EFC248B81F4}"/>
    <cellStyle name="Normal 9 5 2 2 4" xfId="9535" xr:uid="{F8DC1EFE-1843-457F-92F6-6F0D361BFD9D}"/>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B43CE44A-8ACE-4905-B752-821E18B72ED6}"/>
    <cellStyle name="Normal 9 5 2 3 2 3" xfId="12093" xr:uid="{746300AC-01CD-4CF5-98FE-16A25E0512C4}"/>
    <cellStyle name="Normal 9 5 2 3 3" xfId="5727" xr:uid="{00000000-0005-0000-0000-000053200000}"/>
    <cellStyle name="Normal 9 5 2 3 3 2" xfId="14166" xr:uid="{CFB17C2E-7FA0-468C-84C5-96D7B75C05D8}"/>
    <cellStyle name="Normal 9 5 2 3 4" xfId="9948" xr:uid="{2CBFA42A-0D40-43B3-BCB8-529DCCDC793E}"/>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6A226020-0BA8-40DC-BA8D-99FF2BF32985}"/>
    <cellStyle name="Normal 9 5 2 4 2 3" xfId="12506" xr:uid="{A1A1DAE2-97C1-423A-B2C3-9019A5880A59}"/>
    <cellStyle name="Normal 9 5 2 4 3" xfId="6140" xr:uid="{00000000-0005-0000-0000-000057200000}"/>
    <cellStyle name="Normal 9 5 2 4 3 2" xfId="14579" xr:uid="{20F6D874-9B95-4693-802C-37F4137BEF48}"/>
    <cellStyle name="Normal 9 5 2 4 4" xfId="10361" xr:uid="{DB5032B5-3360-4C1F-8C09-D8EBB2CD87D4}"/>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0DBB7EDD-17A1-4F21-BB27-4B606E6DD928}"/>
    <cellStyle name="Normal 9 5 2 5 2 3" xfId="12919" xr:uid="{D1BD45B0-027C-4C96-81EA-343DDB3D6653}"/>
    <cellStyle name="Normal 9 5 2 5 3" xfId="6553" xr:uid="{00000000-0005-0000-0000-00005B200000}"/>
    <cellStyle name="Normal 9 5 2 5 3 2" xfId="14992" xr:uid="{A968E343-2CEE-4C23-9B47-9358D1A933B1}"/>
    <cellStyle name="Normal 9 5 2 5 4" xfId="10774" xr:uid="{F21A6837-C5EA-422E-897C-0D10F89D7578}"/>
    <cellStyle name="Normal 9 5 2 6" xfId="2682" xr:uid="{00000000-0005-0000-0000-00005C200000}"/>
    <cellStyle name="Normal 9 5 2 6 2" xfId="6966" xr:uid="{00000000-0005-0000-0000-00005D200000}"/>
    <cellStyle name="Normal 9 5 2 6 2 2" xfId="15405" xr:uid="{5CFA1DE3-EB9E-4F08-BC3E-EA9937328900}"/>
    <cellStyle name="Normal 9 5 2 6 3" xfId="11187" xr:uid="{565D7B20-1D91-432E-BBE9-2BC85951D91B}"/>
    <cellStyle name="Normal 9 5 2 7" xfId="4901" xr:uid="{00000000-0005-0000-0000-00005E200000}"/>
    <cellStyle name="Normal 9 5 2 7 2" xfId="13340" xr:uid="{8EDAA0B9-F5DB-423F-B4C7-B494E9B13D7F}"/>
    <cellStyle name="Normal 9 5 2 8" xfId="9122" xr:uid="{EE122331-D968-464B-8698-0DD58838B6AE}"/>
    <cellStyle name="Normal 9 5 3" xfId="1003" xr:uid="{00000000-0005-0000-0000-00005F200000}"/>
    <cellStyle name="Normal 9 5 3 2" xfId="3235" xr:uid="{00000000-0005-0000-0000-000060200000}"/>
    <cellStyle name="Normal 9 5 3 2 2" xfId="7458" xr:uid="{00000000-0005-0000-0000-000061200000}"/>
    <cellStyle name="Normal 9 5 3 2 2 2" xfId="15897" xr:uid="{3034CA0F-8039-41B9-A8E2-8BE7C65C3120}"/>
    <cellStyle name="Normal 9 5 3 2 3" xfId="11679" xr:uid="{D14E52BB-8184-4A6E-8180-BCDC6176A1BB}"/>
    <cellStyle name="Normal 9 5 3 3" xfId="5313" xr:uid="{00000000-0005-0000-0000-000062200000}"/>
    <cellStyle name="Normal 9 5 3 3 2" xfId="13752" xr:uid="{4DA2FEC2-821F-43C5-9DB8-2CF55DA63301}"/>
    <cellStyle name="Normal 9 5 3 4" xfId="9534" xr:uid="{24DB6092-49B1-4711-8AD5-C6CFFECCAE3A}"/>
    <cellStyle name="Normal 9 5 4" xfId="1418" xr:uid="{00000000-0005-0000-0000-000063200000}"/>
    <cellStyle name="Normal 9 5 4 2" xfId="3648" xr:uid="{00000000-0005-0000-0000-000064200000}"/>
    <cellStyle name="Normal 9 5 4 2 2" xfId="7871" xr:uid="{00000000-0005-0000-0000-000065200000}"/>
    <cellStyle name="Normal 9 5 4 2 2 2" xfId="16310" xr:uid="{AF012EF8-FE50-4C8D-8B71-958423A63E6D}"/>
    <cellStyle name="Normal 9 5 4 2 3" xfId="12092" xr:uid="{FFC54FF8-89CC-40F1-91D0-E799844ACE39}"/>
    <cellStyle name="Normal 9 5 4 3" xfId="5726" xr:uid="{00000000-0005-0000-0000-000066200000}"/>
    <cellStyle name="Normal 9 5 4 3 2" xfId="14165" xr:uid="{9A287F0C-9C18-4758-9B5B-0A8E55FF66A4}"/>
    <cellStyle name="Normal 9 5 4 4" xfId="9947" xr:uid="{7CB6BF13-6F0C-456E-B9FD-DC0BB5914D89}"/>
    <cellStyle name="Normal 9 5 5" xfId="1831" xr:uid="{00000000-0005-0000-0000-000067200000}"/>
    <cellStyle name="Normal 9 5 5 2" xfId="4061" xr:uid="{00000000-0005-0000-0000-000068200000}"/>
    <cellStyle name="Normal 9 5 5 2 2" xfId="8284" xr:uid="{00000000-0005-0000-0000-000069200000}"/>
    <cellStyle name="Normal 9 5 5 2 2 2" xfId="16723" xr:uid="{358489D2-BF2B-4F7B-AFF2-BAAA82B61A14}"/>
    <cellStyle name="Normal 9 5 5 2 3" xfId="12505" xr:uid="{089FFEDC-79F0-4AC2-8F8A-1357C4F2196D}"/>
    <cellStyle name="Normal 9 5 5 3" xfId="6139" xr:uid="{00000000-0005-0000-0000-00006A200000}"/>
    <cellStyle name="Normal 9 5 5 3 2" xfId="14578" xr:uid="{9C1A2915-14D0-4BC9-A5DF-BE11C978CA4F}"/>
    <cellStyle name="Normal 9 5 5 4" xfId="10360" xr:uid="{89D8B430-BC87-49DF-9178-D32CF2F5261D}"/>
    <cellStyle name="Normal 9 5 6" xfId="2245" xr:uid="{00000000-0005-0000-0000-00006B200000}"/>
    <cellStyle name="Normal 9 5 6 2" xfId="4474" xr:uid="{00000000-0005-0000-0000-00006C200000}"/>
    <cellStyle name="Normal 9 5 6 2 2" xfId="8697" xr:uid="{00000000-0005-0000-0000-00006D200000}"/>
    <cellStyle name="Normal 9 5 6 2 2 2" xfId="17136" xr:uid="{D28A3F2A-83CA-43B1-BEFC-4159AA9005DA}"/>
    <cellStyle name="Normal 9 5 6 2 3" xfId="12918" xr:uid="{0C0B3BF2-53EB-4849-850D-4B570717C484}"/>
    <cellStyle name="Normal 9 5 6 3" xfId="6552" xr:uid="{00000000-0005-0000-0000-00006E200000}"/>
    <cellStyle name="Normal 9 5 6 3 2" xfId="14991" xr:uid="{A349E4CA-5295-4B06-BD2C-485F969E40A7}"/>
    <cellStyle name="Normal 9 5 6 4" xfId="10773" xr:uid="{2DFD2A2B-AECF-468C-B155-E920C53BCC8E}"/>
    <cellStyle name="Normal 9 5 7" xfId="2681" xr:uid="{00000000-0005-0000-0000-00006F200000}"/>
    <cellStyle name="Normal 9 5 7 2" xfId="6965" xr:uid="{00000000-0005-0000-0000-000070200000}"/>
    <cellStyle name="Normal 9 5 7 2 2" xfId="15404" xr:uid="{10510D65-D9B6-4D9D-8364-3B95B5796F7A}"/>
    <cellStyle name="Normal 9 5 7 3" xfId="11186" xr:uid="{121D2CDC-5AD6-4031-B933-05F89FB179D1}"/>
    <cellStyle name="Normal 9 5 8" xfId="4900" xr:uid="{00000000-0005-0000-0000-000071200000}"/>
    <cellStyle name="Normal 9 5 8 2" xfId="13339" xr:uid="{34F316E2-A2B6-4B71-A1B7-48CF678A5853}"/>
    <cellStyle name="Normal 9 5 9" xfId="9121" xr:uid="{4F4BAE2F-CA99-4D69-99A0-F946D892281E}"/>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EDDF1683-D238-47D6-8B12-09841686AD9D}"/>
    <cellStyle name="Normal 9 6 2 2 3" xfId="11681" xr:uid="{2B5EBF82-FA04-4CF4-BF66-5AB5F3C3F852}"/>
    <cellStyle name="Normal 9 6 2 3" xfId="5315" xr:uid="{00000000-0005-0000-0000-000076200000}"/>
    <cellStyle name="Normal 9 6 2 3 2" xfId="13754" xr:uid="{772548E5-A7FA-4BC8-A8E4-363D84FB5C37}"/>
    <cellStyle name="Normal 9 6 2 4" xfId="9536" xr:uid="{6D644804-CF16-4F2F-B9EF-E0ECB557839D}"/>
    <cellStyle name="Normal 9 6 3" xfId="1420" xr:uid="{00000000-0005-0000-0000-000077200000}"/>
    <cellStyle name="Normal 9 6 3 2" xfId="3650" xr:uid="{00000000-0005-0000-0000-000078200000}"/>
    <cellStyle name="Normal 9 6 3 2 2" xfId="7873" xr:uid="{00000000-0005-0000-0000-000079200000}"/>
    <cellStyle name="Normal 9 6 3 2 2 2" xfId="16312" xr:uid="{D101C595-6837-429B-B58B-E43A4047240E}"/>
    <cellStyle name="Normal 9 6 3 2 3" xfId="12094" xr:uid="{F3578A94-E748-400A-81DF-CD512E8578BF}"/>
    <cellStyle name="Normal 9 6 3 3" xfId="5728" xr:uid="{00000000-0005-0000-0000-00007A200000}"/>
    <cellStyle name="Normal 9 6 3 3 2" xfId="14167" xr:uid="{C45A94D7-5F89-420E-A37C-EF18BCE02BEA}"/>
    <cellStyle name="Normal 9 6 3 4" xfId="9949" xr:uid="{692F7952-42DD-4CBB-BB4D-A8849305769D}"/>
    <cellStyle name="Normal 9 6 4" xfId="1833" xr:uid="{00000000-0005-0000-0000-00007B200000}"/>
    <cellStyle name="Normal 9 6 4 2" xfId="4063" xr:uid="{00000000-0005-0000-0000-00007C200000}"/>
    <cellStyle name="Normal 9 6 4 2 2" xfId="8286" xr:uid="{00000000-0005-0000-0000-00007D200000}"/>
    <cellStyle name="Normal 9 6 4 2 2 2" xfId="16725" xr:uid="{C26E0FE2-04B7-48F4-93BB-7471251E14F7}"/>
    <cellStyle name="Normal 9 6 4 2 3" xfId="12507" xr:uid="{8E6A3FB7-FBA4-42D6-B58F-DC2B7DCE52A8}"/>
    <cellStyle name="Normal 9 6 4 3" xfId="6141" xr:uid="{00000000-0005-0000-0000-00007E200000}"/>
    <cellStyle name="Normal 9 6 4 3 2" xfId="14580" xr:uid="{1B7CD853-5C31-4770-A8C7-F1E65F3B14BA}"/>
    <cellStyle name="Normal 9 6 4 4" xfId="10362" xr:uid="{C79D08DB-E88D-4054-AE6A-57A54BF4C50A}"/>
    <cellStyle name="Normal 9 6 5" xfId="2247" xr:uid="{00000000-0005-0000-0000-00007F200000}"/>
    <cellStyle name="Normal 9 6 5 2" xfId="4476" xr:uid="{00000000-0005-0000-0000-000080200000}"/>
    <cellStyle name="Normal 9 6 5 2 2" xfId="8699" xr:uid="{00000000-0005-0000-0000-000081200000}"/>
    <cellStyle name="Normal 9 6 5 2 2 2" xfId="17138" xr:uid="{4EA11D67-D6EA-43BA-884D-4B21B6BFD5B3}"/>
    <cellStyle name="Normal 9 6 5 2 3" xfId="12920" xr:uid="{A733B40A-B1C1-42A6-A85A-A1B64C16C079}"/>
    <cellStyle name="Normal 9 6 5 3" xfId="6554" xr:uid="{00000000-0005-0000-0000-000082200000}"/>
    <cellStyle name="Normal 9 6 5 3 2" xfId="14993" xr:uid="{7F978B7F-EF78-465B-B72B-1CFA22D507E0}"/>
    <cellStyle name="Normal 9 6 5 4" xfId="10775" xr:uid="{C1789E3E-A87E-4EC6-B975-3CC0715C955D}"/>
    <cellStyle name="Normal 9 6 6" xfId="2683" xr:uid="{00000000-0005-0000-0000-000083200000}"/>
    <cellStyle name="Normal 9 6 6 2" xfId="6967" xr:uid="{00000000-0005-0000-0000-000084200000}"/>
    <cellStyle name="Normal 9 6 6 2 2" xfId="15406" xr:uid="{64030C09-F9E8-4DA4-9BE2-9E9AC7DE3ABD}"/>
    <cellStyle name="Normal 9 6 6 3" xfId="11188" xr:uid="{A10EB373-552D-469C-BB2C-2968AFFA230D}"/>
    <cellStyle name="Normal 9 6 7" xfId="4902" xr:uid="{00000000-0005-0000-0000-000085200000}"/>
    <cellStyle name="Normal 9 6 7 2" xfId="13341" xr:uid="{98D68DA9-106D-406A-9E5A-C8A2CA71DE5E}"/>
    <cellStyle name="Normal 9 6 8" xfId="9123" xr:uid="{F8BE5073-2F2B-4D9C-A90C-EA06E08EB3A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3987AEDC-E279-4839-868C-74CE54158BEB}"/>
    <cellStyle name="Note 2 2 10 3" xfId="11269" xr:uid="{133E715B-DD69-4C71-9C77-73021726D5B8}"/>
    <cellStyle name="Note 2 2 11" xfId="4903" xr:uid="{00000000-0005-0000-0000-000094200000}"/>
    <cellStyle name="Note 2 2 11 2" xfId="13342" xr:uid="{44546EF7-4474-4076-BD74-86AC1AC22AE1}"/>
    <cellStyle name="Note 2 2 12" xfId="9124" xr:uid="{4AA35E9C-7AD4-4DA2-9F07-C69ABB303007}"/>
    <cellStyle name="Note 2 2 2" xfId="546" xr:uid="{00000000-0005-0000-0000-000095200000}"/>
    <cellStyle name="Note 2 2 2 10" xfId="4904" xr:uid="{00000000-0005-0000-0000-000096200000}"/>
    <cellStyle name="Note 2 2 2 10 2" xfId="13343" xr:uid="{7E9DE06E-DF73-4142-926B-B10C854A99BE}"/>
    <cellStyle name="Note 2 2 2 11" xfId="9125" xr:uid="{77B6CA6A-3350-4F5A-8605-0060F8067BB6}"/>
    <cellStyle name="Note 2 2 2 2" xfId="547" xr:uid="{00000000-0005-0000-0000-000097200000}"/>
    <cellStyle name="Note 2 2 2 2 10" xfId="9126" xr:uid="{F76C715B-EAD1-49E9-A7D8-4F3D8B065607}"/>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0A29D462-3CA6-41B4-AEE2-C9E1040FAC88}"/>
    <cellStyle name="Note 2 2 2 2 2 2 3" xfId="11684" xr:uid="{25A98407-4F00-4CCA-BDED-8102CDF542AF}"/>
    <cellStyle name="Note 2 2 2 2 2 3" xfId="5318" xr:uid="{00000000-0005-0000-0000-00009B200000}"/>
    <cellStyle name="Note 2 2 2 2 2 3 2" xfId="13757" xr:uid="{B4535AC9-E6C0-4249-92E3-01658B33EF70}"/>
    <cellStyle name="Note 2 2 2 2 2 4" xfId="9539" xr:uid="{B17B9275-1BE0-45ED-BBF8-9ED5B1D3BF5B}"/>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2827FA49-E9B2-4F99-944C-BCA76B842758}"/>
    <cellStyle name="Note 2 2 2 2 3 2 3" xfId="12097" xr:uid="{9311B824-415C-4AD4-953F-51DB679E982F}"/>
    <cellStyle name="Note 2 2 2 2 3 3" xfId="5731" xr:uid="{00000000-0005-0000-0000-00009F200000}"/>
    <cellStyle name="Note 2 2 2 2 3 3 2" xfId="14170" xr:uid="{CF50EF1A-00C5-4576-8841-DCBB03F4EEDB}"/>
    <cellStyle name="Note 2 2 2 2 3 4" xfId="9952" xr:uid="{43E34C48-76D8-46CF-854A-DF26248ADF3D}"/>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11883862-6B3E-427F-8A3D-ABAB1C706EFD}"/>
    <cellStyle name="Note 2 2 2 2 4 2 3" xfId="12510" xr:uid="{7EBFD954-A9F2-4140-8C70-94EA703DAC7D}"/>
    <cellStyle name="Note 2 2 2 2 4 3" xfId="6144" xr:uid="{00000000-0005-0000-0000-0000A3200000}"/>
    <cellStyle name="Note 2 2 2 2 4 3 2" xfId="14583" xr:uid="{779B6772-494E-4413-A755-287E687FBA84}"/>
    <cellStyle name="Note 2 2 2 2 4 4" xfId="10365" xr:uid="{12B8E097-02FD-46D3-AC09-52BE34527036}"/>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EF9421B7-1AFE-4977-93AE-950E64DAF352}"/>
    <cellStyle name="Note 2 2 2 2 5 2 3" xfId="12923" xr:uid="{EB9E47A5-F44B-42CD-B882-D0F0C735C67F}"/>
    <cellStyle name="Note 2 2 2 2 5 3" xfId="6557" xr:uid="{00000000-0005-0000-0000-0000A7200000}"/>
    <cellStyle name="Note 2 2 2 2 5 3 2" xfId="14996" xr:uid="{6F39A11C-EF76-4512-A79B-084AD245629E}"/>
    <cellStyle name="Note 2 2 2 2 5 4" xfId="10778" xr:uid="{D0DD9FD1-7072-46D1-907A-59FD1F732A24}"/>
    <cellStyle name="Note 2 2 2 2 6" xfId="2686" xr:uid="{00000000-0005-0000-0000-0000A8200000}"/>
    <cellStyle name="Note 2 2 2 2 6 2" xfId="6970" xr:uid="{00000000-0005-0000-0000-0000A9200000}"/>
    <cellStyle name="Note 2 2 2 2 6 2 2" xfId="15409" xr:uid="{9DDE70D0-F1C3-4CF6-B490-C00F5122F806}"/>
    <cellStyle name="Note 2 2 2 2 6 3" xfId="11191" xr:uid="{7B50AB9A-EADE-4134-BB8F-7F18E7EB643F}"/>
    <cellStyle name="Note 2 2 2 2 7" xfId="2745" xr:uid="{00000000-0005-0000-0000-0000AA200000}"/>
    <cellStyle name="Note 2 2 2 2 8" xfId="2826" xr:uid="{00000000-0005-0000-0000-0000AB200000}"/>
    <cellStyle name="Note 2 2 2 2 8 2" xfId="7050" xr:uid="{00000000-0005-0000-0000-0000AC200000}"/>
    <cellStyle name="Note 2 2 2 2 8 2 2" xfId="15489" xr:uid="{280508D0-FB01-48C4-BC65-8D3A44B2D8DC}"/>
    <cellStyle name="Note 2 2 2 2 8 3" xfId="11271" xr:uid="{C8CEB074-5672-4289-9514-FC1ED4158828}"/>
    <cellStyle name="Note 2 2 2 2 9" xfId="4905" xr:uid="{00000000-0005-0000-0000-0000AD200000}"/>
    <cellStyle name="Note 2 2 2 2 9 2" xfId="13344" xr:uid="{E7B45622-D957-41D0-9E18-6A80C73C092D}"/>
    <cellStyle name="Note 2 2 2 3" xfId="1007" xr:uid="{00000000-0005-0000-0000-0000AE200000}"/>
    <cellStyle name="Note 2 2 2 3 2" xfId="3239" xr:uid="{00000000-0005-0000-0000-0000AF200000}"/>
    <cellStyle name="Note 2 2 2 3 2 2" xfId="7462" xr:uid="{00000000-0005-0000-0000-0000B0200000}"/>
    <cellStyle name="Note 2 2 2 3 2 2 2" xfId="15901" xr:uid="{217906B9-51B4-450A-8A87-8CF9B4519261}"/>
    <cellStyle name="Note 2 2 2 3 2 3" xfId="11683" xr:uid="{EF01CBC9-028C-42FE-8C1B-83A5218788E2}"/>
    <cellStyle name="Note 2 2 2 3 3" xfId="5317" xr:uid="{00000000-0005-0000-0000-0000B1200000}"/>
    <cellStyle name="Note 2 2 2 3 3 2" xfId="13756" xr:uid="{C5D79623-58F0-4A2B-9A16-5EFDE451F410}"/>
    <cellStyle name="Note 2 2 2 3 4" xfId="9538" xr:uid="{55D0B1B2-0EF2-4A1F-B708-52210EA5AF06}"/>
    <cellStyle name="Note 2 2 2 4" xfId="1422" xr:uid="{00000000-0005-0000-0000-0000B2200000}"/>
    <cellStyle name="Note 2 2 2 4 2" xfId="3652" xr:uid="{00000000-0005-0000-0000-0000B3200000}"/>
    <cellStyle name="Note 2 2 2 4 2 2" xfId="7875" xr:uid="{00000000-0005-0000-0000-0000B4200000}"/>
    <cellStyle name="Note 2 2 2 4 2 2 2" xfId="16314" xr:uid="{E3A3EBE8-05D7-441F-8350-A06AD7A51272}"/>
    <cellStyle name="Note 2 2 2 4 2 3" xfId="12096" xr:uid="{D46A54AA-837E-4668-8045-3CBA9C2E460E}"/>
    <cellStyle name="Note 2 2 2 4 3" xfId="5730" xr:uid="{00000000-0005-0000-0000-0000B5200000}"/>
    <cellStyle name="Note 2 2 2 4 3 2" xfId="14169" xr:uid="{56025DBA-AB74-4D14-8DC2-5AB66F95EF2A}"/>
    <cellStyle name="Note 2 2 2 4 4" xfId="9951" xr:uid="{8D134F80-E632-4FC4-8246-99A3E677A9B5}"/>
    <cellStyle name="Note 2 2 2 5" xfId="1836" xr:uid="{00000000-0005-0000-0000-0000B6200000}"/>
    <cellStyle name="Note 2 2 2 5 2" xfId="4065" xr:uid="{00000000-0005-0000-0000-0000B7200000}"/>
    <cellStyle name="Note 2 2 2 5 2 2" xfId="8288" xr:uid="{00000000-0005-0000-0000-0000B8200000}"/>
    <cellStyle name="Note 2 2 2 5 2 2 2" xfId="16727" xr:uid="{2E96FB6C-B762-4F8E-9ABE-B374C4008D82}"/>
    <cellStyle name="Note 2 2 2 5 2 3" xfId="12509" xr:uid="{39DD3626-7377-45C6-92CC-3E0939CF3F17}"/>
    <cellStyle name="Note 2 2 2 5 3" xfId="6143" xr:uid="{00000000-0005-0000-0000-0000B9200000}"/>
    <cellStyle name="Note 2 2 2 5 3 2" xfId="14582" xr:uid="{BD2C48EE-4A7C-4121-9DB2-EE38866D047B}"/>
    <cellStyle name="Note 2 2 2 5 4" xfId="10364" xr:uid="{F0678E1F-DE3F-4D48-9272-D701F3718539}"/>
    <cellStyle name="Note 2 2 2 6" xfId="2249" xr:uid="{00000000-0005-0000-0000-0000BA200000}"/>
    <cellStyle name="Note 2 2 2 6 2" xfId="4478" xr:uid="{00000000-0005-0000-0000-0000BB200000}"/>
    <cellStyle name="Note 2 2 2 6 2 2" xfId="8701" xr:uid="{00000000-0005-0000-0000-0000BC200000}"/>
    <cellStyle name="Note 2 2 2 6 2 2 2" xfId="17140" xr:uid="{B5F878B4-C57A-46FA-A0FB-0C0D16DA0677}"/>
    <cellStyle name="Note 2 2 2 6 2 3" xfId="12922" xr:uid="{4CE889B1-2E73-49AD-A0E8-A3FEB6D1DCE8}"/>
    <cellStyle name="Note 2 2 2 6 3" xfId="6556" xr:uid="{00000000-0005-0000-0000-0000BD200000}"/>
    <cellStyle name="Note 2 2 2 6 3 2" xfId="14995" xr:uid="{C1333370-865E-4F1A-8F24-1519892F30FC}"/>
    <cellStyle name="Note 2 2 2 6 4" xfId="10777" xr:uid="{A834D522-D51E-4F50-8CBD-457C3BC4940A}"/>
    <cellStyle name="Note 2 2 2 7" xfId="2685" xr:uid="{00000000-0005-0000-0000-0000BE200000}"/>
    <cellStyle name="Note 2 2 2 7 2" xfId="6969" xr:uid="{00000000-0005-0000-0000-0000BF200000}"/>
    <cellStyle name="Note 2 2 2 7 2 2" xfId="15408" xr:uid="{D1197F60-B37D-4FDC-9D98-4965778C1D42}"/>
    <cellStyle name="Note 2 2 2 7 3" xfId="11190" xr:uid="{50BBD3BD-9346-443E-A995-0E18E5BFF110}"/>
    <cellStyle name="Note 2 2 2 8" xfId="2744" xr:uid="{00000000-0005-0000-0000-0000C0200000}"/>
    <cellStyle name="Note 2 2 2 9" xfId="2825" xr:uid="{00000000-0005-0000-0000-0000C1200000}"/>
    <cellStyle name="Note 2 2 2 9 2" xfId="7049" xr:uid="{00000000-0005-0000-0000-0000C2200000}"/>
    <cellStyle name="Note 2 2 2 9 2 2" xfId="15488" xr:uid="{3797A97B-3FD5-4960-83FB-987D0D4ACFDD}"/>
    <cellStyle name="Note 2 2 2 9 3" xfId="11270" xr:uid="{C9C8A695-C52F-4FC0-8995-32B17EBCD9FE}"/>
    <cellStyle name="Note 2 2 3" xfId="548" xr:uid="{00000000-0005-0000-0000-0000C3200000}"/>
    <cellStyle name="Note 2 2 3 10" xfId="9127" xr:uid="{85D01318-D6C2-4A74-8C67-325B2B1F436D}"/>
    <cellStyle name="Note 2 2 3 2" xfId="1009" xr:uid="{00000000-0005-0000-0000-0000C4200000}"/>
    <cellStyle name="Note 2 2 3 2 2" xfId="3241" xr:uid="{00000000-0005-0000-0000-0000C5200000}"/>
    <cellStyle name="Note 2 2 3 2 2 2" xfId="7464" xr:uid="{00000000-0005-0000-0000-0000C6200000}"/>
    <cellStyle name="Note 2 2 3 2 2 2 2" xfId="15903" xr:uid="{D723AD2F-412E-41D5-BEC6-FAE268F5BC7D}"/>
    <cellStyle name="Note 2 2 3 2 2 3" xfId="11685" xr:uid="{C83C5512-675A-430C-BE33-0C0BC3C6D7AC}"/>
    <cellStyle name="Note 2 2 3 2 3" xfId="5319" xr:uid="{00000000-0005-0000-0000-0000C7200000}"/>
    <cellStyle name="Note 2 2 3 2 3 2" xfId="13758" xr:uid="{9B838541-12DE-48EC-8358-EF1F556917E2}"/>
    <cellStyle name="Note 2 2 3 2 4" xfId="9540" xr:uid="{1E56E416-6A91-4C6D-AD4D-35781508FF0D}"/>
    <cellStyle name="Note 2 2 3 3" xfId="1424" xr:uid="{00000000-0005-0000-0000-0000C8200000}"/>
    <cellStyle name="Note 2 2 3 3 2" xfId="3654" xr:uid="{00000000-0005-0000-0000-0000C9200000}"/>
    <cellStyle name="Note 2 2 3 3 2 2" xfId="7877" xr:uid="{00000000-0005-0000-0000-0000CA200000}"/>
    <cellStyle name="Note 2 2 3 3 2 2 2" xfId="16316" xr:uid="{417A3596-A3C3-4B2C-8730-3F32B6168C88}"/>
    <cellStyle name="Note 2 2 3 3 2 3" xfId="12098" xr:uid="{3CFF36F5-A253-46D6-86FC-7136467FAB21}"/>
    <cellStyle name="Note 2 2 3 3 3" xfId="5732" xr:uid="{00000000-0005-0000-0000-0000CB200000}"/>
    <cellStyle name="Note 2 2 3 3 3 2" xfId="14171" xr:uid="{BD17C547-F968-4B72-9443-772C2368AF92}"/>
    <cellStyle name="Note 2 2 3 3 4" xfId="9953" xr:uid="{268748B3-21CE-4207-A665-A7A0648E6C39}"/>
    <cellStyle name="Note 2 2 3 4" xfId="1838" xr:uid="{00000000-0005-0000-0000-0000CC200000}"/>
    <cellStyle name="Note 2 2 3 4 2" xfId="4067" xr:uid="{00000000-0005-0000-0000-0000CD200000}"/>
    <cellStyle name="Note 2 2 3 4 2 2" xfId="8290" xr:uid="{00000000-0005-0000-0000-0000CE200000}"/>
    <cellStyle name="Note 2 2 3 4 2 2 2" xfId="16729" xr:uid="{642A21BF-5019-463C-A90E-FD2318AC3F4C}"/>
    <cellStyle name="Note 2 2 3 4 2 3" xfId="12511" xr:uid="{A47DB481-442D-44D1-9020-CE251F997151}"/>
    <cellStyle name="Note 2 2 3 4 3" xfId="6145" xr:uid="{00000000-0005-0000-0000-0000CF200000}"/>
    <cellStyle name="Note 2 2 3 4 3 2" xfId="14584" xr:uid="{05279F74-4B02-41F4-964E-985FC7AFD5F9}"/>
    <cellStyle name="Note 2 2 3 4 4" xfId="10366" xr:uid="{12240C04-0EAB-4C52-BA40-FC14419746F0}"/>
    <cellStyle name="Note 2 2 3 5" xfId="2251" xr:uid="{00000000-0005-0000-0000-0000D0200000}"/>
    <cellStyle name="Note 2 2 3 5 2" xfId="4480" xr:uid="{00000000-0005-0000-0000-0000D1200000}"/>
    <cellStyle name="Note 2 2 3 5 2 2" xfId="8703" xr:uid="{00000000-0005-0000-0000-0000D2200000}"/>
    <cellStyle name="Note 2 2 3 5 2 2 2" xfId="17142" xr:uid="{36182A38-365E-4C02-A24A-FE7E83EF79B0}"/>
    <cellStyle name="Note 2 2 3 5 2 3" xfId="12924" xr:uid="{C2296EBC-4CD2-4087-BD6C-495F322749D0}"/>
    <cellStyle name="Note 2 2 3 5 3" xfId="6558" xr:uid="{00000000-0005-0000-0000-0000D3200000}"/>
    <cellStyle name="Note 2 2 3 5 3 2" xfId="14997" xr:uid="{EA913125-5BC7-4BE6-BD0A-34F9085F5997}"/>
    <cellStyle name="Note 2 2 3 5 4" xfId="10779" xr:uid="{EB42EF88-FD6F-4E0D-927E-C6A40AE8E582}"/>
    <cellStyle name="Note 2 2 3 6" xfId="2687" xr:uid="{00000000-0005-0000-0000-0000D4200000}"/>
    <cellStyle name="Note 2 2 3 6 2" xfId="6971" xr:uid="{00000000-0005-0000-0000-0000D5200000}"/>
    <cellStyle name="Note 2 2 3 6 2 2" xfId="15410" xr:uid="{FEA1A491-5862-465F-B73E-0E9795786108}"/>
    <cellStyle name="Note 2 2 3 6 3" xfId="11192" xr:uid="{DAB43E66-0389-461C-9534-87F959802943}"/>
    <cellStyle name="Note 2 2 3 7" xfId="2746" xr:uid="{00000000-0005-0000-0000-0000D6200000}"/>
    <cellStyle name="Note 2 2 3 8" xfId="2827" xr:uid="{00000000-0005-0000-0000-0000D7200000}"/>
    <cellStyle name="Note 2 2 3 8 2" xfId="7051" xr:uid="{00000000-0005-0000-0000-0000D8200000}"/>
    <cellStyle name="Note 2 2 3 8 2 2" xfId="15490" xr:uid="{42BF4998-6B2C-41B8-996C-908A0E8438D4}"/>
    <cellStyle name="Note 2 2 3 8 3" xfId="11272" xr:uid="{16A2ED58-7ED8-44BB-87CF-3ECCBFA50A7A}"/>
    <cellStyle name="Note 2 2 3 9" xfId="4906" xr:uid="{00000000-0005-0000-0000-0000D9200000}"/>
    <cellStyle name="Note 2 2 3 9 2" xfId="13345" xr:uid="{49CAE074-FF6E-44B5-8332-BB6852FD0A16}"/>
    <cellStyle name="Note 2 2 4" xfId="1006" xr:uid="{00000000-0005-0000-0000-0000DA200000}"/>
    <cellStyle name="Note 2 2 4 2" xfId="3238" xr:uid="{00000000-0005-0000-0000-0000DB200000}"/>
    <cellStyle name="Note 2 2 4 2 2" xfId="7461" xr:uid="{00000000-0005-0000-0000-0000DC200000}"/>
    <cellStyle name="Note 2 2 4 2 2 2" xfId="15900" xr:uid="{7574C830-B857-44C7-A1A6-A6A7F1A13EEC}"/>
    <cellStyle name="Note 2 2 4 2 3" xfId="11682" xr:uid="{06FC7551-AEEC-47FE-AA9D-BD6FEB1B1A98}"/>
    <cellStyle name="Note 2 2 4 3" xfId="5316" xr:uid="{00000000-0005-0000-0000-0000DD200000}"/>
    <cellStyle name="Note 2 2 4 3 2" xfId="13755" xr:uid="{548ABEEA-D068-438B-956D-3510233F260A}"/>
    <cellStyle name="Note 2 2 4 4" xfId="9537" xr:uid="{A8EA0168-2322-405B-902A-F51027CC81AC}"/>
    <cellStyle name="Note 2 2 5" xfId="1421" xr:uid="{00000000-0005-0000-0000-0000DE200000}"/>
    <cellStyle name="Note 2 2 5 2" xfId="3651" xr:uid="{00000000-0005-0000-0000-0000DF200000}"/>
    <cellStyle name="Note 2 2 5 2 2" xfId="7874" xr:uid="{00000000-0005-0000-0000-0000E0200000}"/>
    <cellStyle name="Note 2 2 5 2 2 2" xfId="16313" xr:uid="{918175EC-B1CB-450B-A776-57AF3FBD322E}"/>
    <cellStyle name="Note 2 2 5 2 3" xfId="12095" xr:uid="{DEBD47D8-220E-4112-BD57-7CF4F8868C5D}"/>
    <cellStyle name="Note 2 2 5 3" xfId="5729" xr:uid="{00000000-0005-0000-0000-0000E1200000}"/>
    <cellStyle name="Note 2 2 5 3 2" xfId="14168" xr:uid="{89D69482-24F2-4DAC-92E9-3AF6760D0982}"/>
    <cellStyle name="Note 2 2 5 4" xfId="9950" xr:uid="{2138C300-AA15-4288-A23F-E8CEA7F3F816}"/>
    <cellStyle name="Note 2 2 6" xfId="1835" xr:uid="{00000000-0005-0000-0000-0000E2200000}"/>
    <cellStyle name="Note 2 2 6 2" xfId="4064" xr:uid="{00000000-0005-0000-0000-0000E3200000}"/>
    <cellStyle name="Note 2 2 6 2 2" xfId="8287" xr:uid="{00000000-0005-0000-0000-0000E4200000}"/>
    <cellStyle name="Note 2 2 6 2 2 2" xfId="16726" xr:uid="{5854B7A5-123A-4545-9053-0D91A5FF7911}"/>
    <cellStyle name="Note 2 2 6 2 3" xfId="12508" xr:uid="{7FD96A69-3179-4FFE-B7B6-ADE47ED58A15}"/>
    <cellStyle name="Note 2 2 6 3" xfId="6142" xr:uid="{00000000-0005-0000-0000-0000E5200000}"/>
    <cellStyle name="Note 2 2 6 3 2" xfId="14581" xr:uid="{44E09749-6971-43C7-9A3B-8B1D6EC09937}"/>
    <cellStyle name="Note 2 2 6 4" xfId="10363" xr:uid="{1FE343F8-27CB-4A22-86B8-896DB7F098F8}"/>
    <cellStyle name="Note 2 2 7" xfId="2248" xr:uid="{00000000-0005-0000-0000-0000E6200000}"/>
    <cellStyle name="Note 2 2 7 2" xfId="4477" xr:uid="{00000000-0005-0000-0000-0000E7200000}"/>
    <cellStyle name="Note 2 2 7 2 2" xfId="8700" xr:uid="{00000000-0005-0000-0000-0000E8200000}"/>
    <cellStyle name="Note 2 2 7 2 2 2" xfId="17139" xr:uid="{2A71209D-6F98-48FB-A42F-75FDF6D27D7E}"/>
    <cellStyle name="Note 2 2 7 2 3" xfId="12921" xr:uid="{00F8C07D-33EF-48FB-8834-2F8555D8257E}"/>
    <cellStyle name="Note 2 2 7 3" xfId="6555" xr:uid="{00000000-0005-0000-0000-0000E9200000}"/>
    <cellStyle name="Note 2 2 7 3 2" xfId="14994" xr:uid="{EA5EF669-6461-4511-8235-BDD8A489F8FE}"/>
    <cellStyle name="Note 2 2 7 4" xfId="10776" xr:uid="{D8215D8C-02D8-476F-B518-4CE8843049AA}"/>
    <cellStyle name="Note 2 2 8" xfId="2684" xr:uid="{00000000-0005-0000-0000-0000EA200000}"/>
    <cellStyle name="Note 2 2 8 2" xfId="6968" xr:uid="{00000000-0005-0000-0000-0000EB200000}"/>
    <cellStyle name="Note 2 2 8 2 2" xfId="15407" xr:uid="{A85BCED3-19D7-4D5B-9E05-B14583314862}"/>
    <cellStyle name="Note 2 2 8 3" xfId="11189" xr:uid="{D91EBC20-457B-4DD4-87FC-9CF4EAAAB75C}"/>
    <cellStyle name="Note 2 2 9" xfId="2743" xr:uid="{00000000-0005-0000-0000-0000EC200000}"/>
    <cellStyle name="Note 2 3" xfId="549" xr:uid="{00000000-0005-0000-0000-0000ED200000}"/>
    <cellStyle name="Note 2 3 10" xfId="4907" xr:uid="{00000000-0005-0000-0000-0000EE200000}"/>
    <cellStyle name="Note 2 3 10 2" xfId="13346" xr:uid="{8CEE33C0-EB51-4403-8DFD-64CC7BB4AF01}"/>
    <cellStyle name="Note 2 3 11" xfId="9128" xr:uid="{D131B82F-8A3F-4310-9E4E-9538966CDDE3}"/>
    <cellStyle name="Note 2 3 2" xfId="550" xr:uid="{00000000-0005-0000-0000-0000EF200000}"/>
    <cellStyle name="Note 2 3 2 10" xfId="9129" xr:uid="{C855E9A5-125B-4DD5-99DA-CE9BD3B54DD1}"/>
    <cellStyle name="Note 2 3 2 2" xfId="1011" xr:uid="{00000000-0005-0000-0000-0000F0200000}"/>
    <cellStyle name="Note 2 3 2 2 2" xfId="3243" xr:uid="{00000000-0005-0000-0000-0000F1200000}"/>
    <cellStyle name="Note 2 3 2 2 2 2" xfId="7466" xr:uid="{00000000-0005-0000-0000-0000F2200000}"/>
    <cellStyle name="Note 2 3 2 2 2 2 2" xfId="15905" xr:uid="{E0814475-B980-4729-90DA-4718D43C2514}"/>
    <cellStyle name="Note 2 3 2 2 2 3" xfId="11687" xr:uid="{004E5F19-0E08-414B-A58E-61C3AD0BDE8D}"/>
    <cellStyle name="Note 2 3 2 2 3" xfId="5321" xr:uid="{00000000-0005-0000-0000-0000F3200000}"/>
    <cellStyle name="Note 2 3 2 2 3 2" xfId="13760" xr:uid="{2539EAD6-2453-47F4-8957-61F03E796160}"/>
    <cellStyle name="Note 2 3 2 2 4" xfId="9542" xr:uid="{85A942D3-9847-4A6F-9F0E-48E6BDD08B3F}"/>
    <cellStyle name="Note 2 3 2 3" xfId="1426" xr:uid="{00000000-0005-0000-0000-0000F4200000}"/>
    <cellStyle name="Note 2 3 2 3 2" xfId="3656" xr:uid="{00000000-0005-0000-0000-0000F5200000}"/>
    <cellStyle name="Note 2 3 2 3 2 2" xfId="7879" xr:uid="{00000000-0005-0000-0000-0000F6200000}"/>
    <cellStyle name="Note 2 3 2 3 2 2 2" xfId="16318" xr:uid="{19CC9D71-5C06-443B-968A-93BF0B2EB323}"/>
    <cellStyle name="Note 2 3 2 3 2 3" xfId="12100" xr:uid="{78B83FEB-B27F-4BF4-B283-C235CBB1BFBB}"/>
    <cellStyle name="Note 2 3 2 3 3" xfId="5734" xr:uid="{00000000-0005-0000-0000-0000F7200000}"/>
    <cellStyle name="Note 2 3 2 3 3 2" xfId="14173" xr:uid="{2D84B823-93FC-477C-B22F-BFFB630EDEFB}"/>
    <cellStyle name="Note 2 3 2 3 4" xfId="9955" xr:uid="{150A4062-7412-4D8A-97EA-59A2E034E0AF}"/>
    <cellStyle name="Note 2 3 2 4" xfId="1840" xr:uid="{00000000-0005-0000-0000-0000F8200000}"/>
    <cellStyle name="Note 2 3 2 4 2" xfId="4069" xr:uid="{00000000-0005-0000-0000-0000F9200000}"/>
    <cellStyle name="Note 2 3 2 4 2 2" xfId="8292" xr:uid="{00000000-0005-0000-0000-0000FA200000}"/>
    <cellStyle name="Note 2 3 2 4 2 2 2" xfId="16731" xr:uid="{13337FB9-ED70-48C2-9C30-91E7F7617D37}"/>
    <cellStyle name="Note 2 3 2 4 2 3" xfId="12513" xr:uid="{714B277B-7F48-4CF0-B455-816122688419}"/>
    <cellStyle name="Note 2 3 2 4 3" xfId="6147" xr:uid="{00000000-0005-0000-0000-0000FB200000}"/>
    <cellStyle name="Note 2 3 2 4 3 2" xfId="14586" xr:uid="{2CF1A475-FA4B-453E-8534-84B7E36E0523}"/>
    <cellStyle name="Note 2 3 2 4 4" xfId="10368" xr:uid="{00F0AA29-F3DA-4B6B-9A72-BFC233B2403D}"/>
    <cellStyle name="Note 2 3 2 5" xfId="2253" xr:uid="{00000000-0005-0000-0000-0000FC200000}"/>
    <cellStyle name="Note 2 3 2 5 2" xfId="4482" xr:uid="{00000000-0005-0000-0000-0000FD200000}"/>
    <cellStyle name="Note 2 3 2 5 2 2" xfId="8705" xr:uid="{00000000-0005-0000-0000-0000FE200000}"/>
    <cellStyle name="Note 2 3 2 5 2 2 2" xfId="17144" xr:uid="{4273EB71-C9BE-4B69-B743-5D5B41894367}"/>
    <cellStyle name="Note 2 3 2 5 2 3" xfId="12926" xr:uid="{22CFBE2D-8FAA-479F-A0F3-CEAB85939D46}"/>
    <cellStyle name="Note 2 3 2 5 3" xfId="6560" xr:uid="{00000000-0005-0000-0000-0000FF200000}"/>
    <cellStyle name="Note 2 3 2 5 3 2" xfId="14999" xr:uid="{E7C24AE7-957D-4828-A12F-111E9666E621}"/>
    <cellStyle name="Note 2 3 2 5 4" xfId="10781" xr:uid="{FD4F3801-E258-4BB0-962F-D66C0FBE458B}"/>
    <cellStyle name="Note 2 3 2 6" xfId="2689" xr:uid="{00000000-0005-0000-0000-000000210000}"/>
    <cellStyle name="Note 2 3 2 6 2" xfId="6973" xr:uid="{00000000-0005-0000-0000-000001210000}"/>
    <cellStyle name="Note 2 3 2 6 2 2" xfId="15412" xr:uid="{D4F92E88-6284-43D2-A5E8-5C9206E87739}"/>
    <cellStyle name="Note 2 3 2 6 3" xfId="11194" xr:uid="{44B94A0C-A351-4A9A-8D83-AE2993987CEB}"/>
    <cellStyle name="Note 2 3 2 7" xfId="2748" xr:uid="{00000000-0005-0000-0000-000002210000}"/>
    <cellStyle name="Note 2 3 2 8" xfId="2829" xr:uid="{00000000-0005-0000-0000-000003210000}"/>
    <cellStyle name="Note 2 3 2 8 2" xfId="7053" xr:uid="{00000000-0005-0000-0000-000004210000}"/>
    <cellStyle name="Note 2 3 2 8 2 2" xfId="15492" xr:uid="{950B8EF7-4E18-4A34-AE5B-8F17706E42F5}"/>
    <cellStyle name="Note 2 3 2 8 3" xfId="11274" xr:uid="{5A6EF194-3B3B-42DB-97E7-63A9F799E4D0}"/>
    <cellStyle name="Note 2 3 2 9" xfId="4908" xr:uid="{00000000-0005-0000-0000-000005210000}"/>
    <cellStyle name="Note 2 3 2 9 2" xfId="13347" xr:uid="{6770BE50-6923-4822-B0BF-CF4E33FABECD}"/>
    <cellStyle name="Note 2 3 3" xfId="1010" xr:uid="{00000000-0005-0000-0000-000006210000}"/>
    <cellStyle name="Note 2 3 3 2" xfId="3242" xr:uid="{00000000-0005-0000-0000-000007210000}"/>
    <cellStyle name="Note 2 3 3 2 2" xfId="7465" xr:uid="{00000000-0005-0000-0000-000008210000}"/>
    <cellStyle name="Note 2 3 3 2 2 2" xfId="15904" xr:uid="{CA86B901-22BB-4934-982C-7A925A4DB701}"/>
    <cellStyle name="Note 2 3 3 2 3" xfId="11686" xr:uid="{3F3B6207-9981-472F-950B-075DE46D96A7}"/>
    <cellStyle name="Note 2 3 3 3" xfId="5320" xr:uid="{00000000-0005-0000-0000-000009210000}"/>
    <cellStyle name="Note 2 3 3 3 2" xfId="13759" xr:uid="{FEAB2F58-E8E8-43F3-8E52-BB1D5993E8A1}"/>
    <cellStyle name="Note 2 3 3 4" xfId="9541" xr:uid="{294881AF-3A80-492F-BA03-47527FCB29BF}"/>
    <cellStyle name="Note 2 3 4" xfId="1425" xr:uid="{00000000-0005-0000-0000-00000A210000}"/>
    <cellStyle name="Note 2 3 4 2" xfId="3655" xr:uid="{00000000-0005-0000-0000-00000B210000}"/>
    <cellStyle name="Note 2 3 4 2 2" xfId="7878" xr:uid="{00000000-0005-0000-0000-00000C210000}"/>
    <cellStyle name="Note 2 3 4 2 2 2" xfId="16317" xr:uid="{25926981-0D9F-4D8E-9321-358380E6E582}"/>
    <cellStyle name="Note 2 3 4 2 3" xfId="12099" xr:uid="{306012E8-3287-4C76-80C5-B4F0CCB59B0B}"/>
    <cellStyle name="Note 2 3 4 3" xfId="5733" xr:uid="{00000000-0005-0000-0000-00000D210000}"/>
    <cellStyle name="Note 2 3 4 3 2" xfId="14172" xr:uid="{C57CBBE3-417E-4689-A8D0-ED9127ECFE74}"/>
    <cellStyle name="Note 2 3 4 4" xfId="9954" xr:uid="{3528938A-23D8-416B-A25B-A67B997EE6BD}"/>
    <cellStyle name="Note 2 3 5" xfId="1839" xr:uid="{00000000-0005-0000-0000-00000E210000}"/>
    <cellStyle name="Note 2 3 5 2" xfId="4068" xr:uid="{00000000-0005-0000-0000-00000F210000}"/>
    <cellStyle name="Note 2 3 5 2 2" xfId="8291" xr:uid="{00000000-0005-0000-0000-000010210000}"/>
    <cellStyle name="Note 2 3 5 2 2 2" xfId="16730" xr:uid="{A2DF6D0F-1FAE-49F8-9F78-138AEF4BD2F0}"/>
    <cellStyle name="Note 2 3 5 2 3" xfId="12512" xr:uid="{D91684CD-BDA3-4E06-9EF2-ECD4B00B4C26}"/>
    <cellStyle name="Note 2 3 5 3" xfId="6146" xr:uid="{00000000-0005-0000-0000-000011210000}"/>
    <cellStyle name="Note 2 3 5 3 2" xfId="14585" xr:uid="{D8F19087-C5C3-437D-9F77-DB9A6AB927C0}"/>
    <cellStyle name="Note 2 3 5 4" xfId="10367" xr:uid="{4415E91E-1674-4ADB-9DCB-0291A955067A}"/>
    <cellStyle name="Note 2 3 6" xfId="2252" xr:uid="{00000000-0005-0000-0000-000012210000}"/>
    <cellStyle name="Note 2 3 6 2" xfId="4481" xr:uid="{00000000-0005-0000-0000-000013210000}"/>
    <cellStyle name="Note 2 3 6 2 2" xfId="8704" xr:uid="{00000000-0005-0000-0000-000014210000}"/>
    <cellStyle name="Note 2 3 6 2 2 2" xfId="17143" xr:uid="{742A34B9-0853-4752-ABDE-9B7B8ED68E3F}"/>
    <cellStyle name="Note 2 3 6 2 3" xfId="12925" xr:uid="{463AA97E-17D2-41E0-936E-EA477FD05277}"/>
    <cellStyle name="Note 2 3 6 3" xfId="6559" xr:uid="{00000000-0005-0000-0000-000015210000}"/>
    <cellStyle name="Note 2 3 6 3 2" xfId="14998" xr:uid="{C13C2EFE-A80C-453F-B381-B72C1CE798A3}"/>
    <cellStyle name="Note 2 3 6 4" xfId="10780" xr:uid="{D2C55D25-3DDA-436E-BC68-D5B366A9ABE1}"/>
    <cellStyle name="Note 2 3 7" xfId="2688" xr:uid="{00000000-0005-0000-0000-000016210000}"/>
    <cellStyle name="Note 2 3 7 2" xfId="6972" xr:uid="{00000000-0005-0000-0000-000017210000}"/>
    <cellStyle name="Note 2 3 7 2 2" xfId="15411" xr:uid="{EC551D8E-DF6F-44E2-9D61-D5E48F5E8FB3}"/>
    <cellStyle name="Note 2 3 7 3" xfId="11193" xr:uid="{6922FD1D-771F-4532-BFFE-08786377DC40}"/>
    <cellStyle name="Note 2 3 8" xfId="2747" xr:uid="{00000000-0005-0000-0000-000018210000}"/>
    <cellStyle name="Note 2 3 9" xfId="2828" xr:uid="{00000000-0005-0000-0000-000019210000}"/>
    <cellStyle name="Note 2 3 9 2" xfId="7052" xr:uid="{00000000-0005-0000-0000-00001A210000}"/>
    <cellStyle name="Note 2 3 9 2 2" xfId="15491" xr:uid="{6F748043-3BC3-4B88-878E-1669820998DE}"/>
    <cellStyle name="Note 2 3 9 3" xfId="11273" xr:uid="{AFE3CC04-833A-4764-A2A2-486FD334CBB1}"/>
    <cellStyle name="Note 2 4" xfId="551" xr:uid="{00000000-0005-0000-0000-00001B210000}"/>
    <cellStyle name="Note 2 4 10" xfId="9130" xr:uid="{2657245B-C158-4D3D-9EAA-CA4D2FF0890E}"/>
    <cellStyle name="Note 2 4 2" xfId="1012" xr:uid="{00000000-0005-0000-0000-00001C210000}"/>
    <cellStyle name="Note 2 4 2 2" xfId="3244" xr:uid="{00000000-0005-0000-0000-00001D210000}"/>
    <cellStyle name="Note 2 4 2 2 2" xfId="7467" xr:uid="{00000000-0005-0000-0000-00001E210000}"/>
    <cellStyle name="Note 2 4 2 2 2 2" xfId="15906" xr:uid="{1FD4F6BD-BC13-427B-B074-FCF9A993CDC0}"/>
    <cellStyle name="Note 2 4 2 2 3" xfId="11688" xr:uid="{A6C7A300-AB79-40C7-A11E-90E6FCDBCAB3}"/>
    <cellStyle name="Note 2 4 2 3" xfId="5322" xr:uid="{00000000-0005-0000-0000-00001F210000}"/>
    <cellStyle name="Note 2 4 2 3 2" xfId="13761" xr:uid="{36C07B0C-3596-43C5-A11D-805F585AFDB1}"/>
    <cellStyle name="Note 2 4 2 4" xfId="9543" xr:uid="{685C2E39-EF9B-4CFF-9070-084CDCB0191F}"/>
    <cellStyle name="Note 2 4 3" xfId="1427" xr:uid="{00000000-0005-0000-0000-000020210000}"/>
    <cellStyle name="Note 2 4 3 2" xfId="3657" xr:uid="{00000000-0005-0000-0000-000021210000}"/>
    <cellStyle name="Note 2 4 3 2 2" xfId="7880" xr:uid="{00000000-0005-0000-0000-000022210000}"/>
    <cellStyle name="Note 2 4 3 2 2 2" xfId="16319" xr:uid="{4E6F70AD-6AC5-432F-BD72-01FEBED07719}"/>
    <cellStyle name="Note 2 4 3 2 3" xfId="12101" xr:uid="{D3BDBAD8-97F6-413D-AC0F-BC1B95DE19F2}"/>
    <cellStyle name="Note 2 4 3 3" xfId="5735" xr:uid="{00000000-0005-0000-0000-000023210000}"/>
    <cellStyle name="Note 2 4 3 3 2" xfId="14174" xr:uid="{17B211C3-9F07-49FD-9C94-5DDEE54B4118}"/>
    <cellStyle name="Note 2 4 3 4" xfId="9956" xr:uid="{0E25AD6B-1C55-4C38-AE3A-48D01DAA309D}"/>
    <cellStyle name="Note 2 4 4" xfId="1841" xr:uid="{00000000-0005-0000-0000-000024210000}"/>
    <cellStyle name="Note 2 4 4 2" xfId="4070" xr:uid="{00000000-0005-0000-0000-000025210000}"/>
    <cellStyle name="Note 2 4 4 2 2" xfId="8293" xr:uid="{00000000-0005-0000-0000-000026210000}"/>
    <cellStyle name="Note 2 4 4 2 2 2" xfId="16732" xr:uid="{5ACF3EA1-9CE4-4EF0-86C6-1DF9EF892E43}"/>
    <cellStyle name="Note 2 4 4 2 3" xfId="12514" xr:uid="{8B4A7F67-1314-443D-A5CE-26771BE1A0C3}"/>
    <cellStyle name="Note 2 4 4 3" xfId="6148" xr:uid="{00000000-0005-0000-0000-000027210000}"/>
    <cellStyle name="Note 2 4 4 3 2" xfId="14587" xr:uid="{D6F61E9A-C5BB-445C-8CDF-C67B8A41C92E}"/>
    <cellStyle name="Note 2 4 4 4" xfId="10369" xr:uid="{CDB52867-5A12-4E9E-8146-25125D28BE6D}"/>
    <cellStyle name="Note 2 4 5" xfId="2254" xr:uid="{00000000-0005-0000-0000-000028210000}"/>
    <cellStyle name="Note 2 4 5 2" xfId="4483" xr:uid="{00000000-0005-0000-0000-000029210000}"/>
    <cellStyle name="Note 2 4 5 2 2" xfId="8706" xr:uid="{00000000-0005-0000-0000-00002A210000}"/>
    <cellStyle name="Note 2 4 5 2 2 2" xfId="17145" xr:uid="{81F596C5-2CB0-47C6-BEDF-21A18170AED0}"/>
    <cellStyle name="Note 2 4 5 2 3" xfId="12927" xr:uid="{EFC1374B-1730-466E-B826-8E1594921097}"/>
    <cellStyle name="Note 2 4 5 3" xfId="6561" xr:uid="{00000000-0005-0000-0000-00002B210000}"/>
    <cellStyle name="Note 2 4 5 3 2" xfId="15000" xr:uid="{52F45B3E-4286-47D3-9846-B6632F3217FB}"/>
    <cellStyle name="Note 2 4 5 4" xfId="10782" xr:uid="{9AC5AD8C-BA2B-40B8-9FF5-485F8C5C2ADA}"/>
    <cellStyle name="Note 2 4 6" xfId="2690" xr:uid="{00000000-0005-0000-0000-00002C210000}"/>
    <cellStyle name="Note 2 4 6 2" xfId="6974" xr:uid="{00000000-0005-0000-0000-00002D210000}"/>
    <cellStyle name="Note 2 4 6 2 2" xfId="15413" xr:uid="{17DDD680-B4FA-4A72-BBFF-FFD97F2EAAB5}"/>
    <cellStyle name="Note 2 4 6 3" xfId="11195" xr:uid="{F38EEE19-B007-476D-B5B5-060C592ADF31}"/>
    <cellStyle name="Note 2 4 7" xfId="2749" xr:uid="{00000000-0005-0000-0000-00002E210000}"/>
    <cellStyle name="Note 2 4 8" xfId="2830" xr:uid="{00000000-0005-0000-0000-00002F210000}"/>
    <cellStyle name="Note 2 4 8 2" xfId="7054" xr:uid="{00000000-0005-0000-0000-000030210000}"/>
    <cellStyle name="Note 2 4 8 2 2" xfId="15493" xr:uid="{E7863226-E858-4113-8B2A-7C3958343181}"/>
    <cellStyle name="Note 2 4 8 3" xfId="11275" xr:uid="{826FC9CA-7879-4D95-A44D-0633C5D8F5F9}"/>
    <cellStyle name="Note 2 4 9" xfId="4909" xr:uid="{00000000-0005-0000-0000-000031210000}"/>
    <cellStyle name="Note 2 4 9 2" xfId="13348" xr:uid="{1664890A-4755-42E3-AA08-A4DE63C9C463}"/>
    <cellStyle name="Note 2 5" xfId="552" xr:uid="{00000000-0005-0000-0000-000032210000}"/>
    <cellStyle name="Note 2 5 10" xfId="9131" xr:uid="{C59E08A5-B71C-49A6-A240-4B6FC9F72F3E}"/>
    <cellStyle name="Note 2 5 2" xfId="1013" xr:uid="{00000000-0005-0000-0000-000033210000}"/>
    <cellStyle name="Note 2 5 2 2" xfId="3245" xr:uid="{00000000-0005-0000-0000-000034210000}"/>
    <cellStyle name="Note 2 5 2 2 2" xfId="7468" xr:uid="{00000000-0005-0000-0000-000035210000}"/>
    <cellStyle name="Note 2 5 2 2 2 2" xfId="15907" xr:uid="{20FD804E-2A2F-4912-875E-83D35BE7EA2A}"/>
    <cellStyle name="Note 2 5 2 2 3" xfId="11689" xr:uid="{16B0D972-3221-41FC-B0B3-2C65A935BA0A}"/>
    <cellStyle name="Note 2 5 2 3" xfId="5323" xr:uid="{00000000-0005-0000-0000-000036210000}"/>
    <cellStyle name="Note 2 5 2 3 2" xfId="13762" xr:uid="{6B2B47E6-CB1C-45FB-9DBF-AB1635D7515A}"/>
    <cellStyle name="Note 2 5 2 4" xfId="9544" xr:uid="{2AC6E757-AE52-47DE-931F-CBEAEFF8957F}"/>
    <cellStyle name="Note 2 5 3" xfId="1428" xr:uid="{00000000-0005-0000-0000-000037210000}"/>
    <cellStyle name="Note 2 5 3 2" xfId="3658" xr:uid="{00000000-0005-0000-0000-000038210000}"/>
    <cellStyle name="Note 2 5 3 2 2" xfId="7881" xr:uid="{00000000-0005-0000-0000-000039210000}"/>
    <cellStyle name="Note 2 5 3 2 2 2" xfId="16320" xr:uid="{B7A756CC-8888-41D4-BFB5-E53EBCE35361}"/>
    <cellStyle name="Note 2 5 3 2 3" xfId="12102" xr:uid="{EC771427-22F6-4D9A-8102-C03E69FA6809}"/>
    <cellStyle name="Note 2 5 3 3" xfId="5736" xr:uid="{00000000-0005-0000-0000-00003A210000}"/>
    <cellStyle name="Note 2 5 3 3 2" xfId="14175" xr:uid="{15CE3C0A-6190-4D8C-B842-8538ED2D592F}"/>
    <cellStyle name="Note 2 5 3 4" xfId="9957" xr:uid="{26B34E4F-20C6-40E9-AD8D-8AFE4801F0E8}"/>
    <cellStyle name="Note 2 5 4" xfId="1842" xr:uid="{00000000-0005-0000-0000-00003B210000}"/>
    <cellStyle name="Note 2 5 4 2" xfId="4071" xr:uid="{00000000-0005-0000-0000-00003C210000}"/>
    <cellStyle name="Note 2 5 4 2 2" xfId="8294" xr:uid="{00000000-0005-0000-0000-00003D210000}"/>
    <cellStyle name="Note 2 5 4 2 2 2" xfId="16733" xr:uid="{69469568-D526-497D-B3BB-B70FCA3451D7}"/>
    <cellStyle name="Note 2 5 4 2 3" xfId="12515" xr:uid="{57D762A4-5AB3-4732-A833-E93558F2AC20}"/>
    <cellStyle name="Note 2 5 4 3" xfId="6149" xr:uid="{00000000-0005-0000-0000-00003E210000}"/>
    <cellStyle name="Note 2 5 4 3 2" xfId="14588" xr:uid="{F69B49C5-A36F-4CDA-8A8E-5BD42E8835C0}"/>
    <cellStyle name="Note 2 5 4 4" xfId="10370" xr:uid="{B64981EC-7B57-4620-91DD-8FBF6B6611A3}"/>
    <cellStyle name="Note 2 5 5" xfId="2255" xr:uid="{00000000-0005-0000-0000-00003F210000}"/>
    <cellStyle name="Note 2 5 5 2" xfId="4484" xr:uid="{00000000-0005-0000-0000-000040210000}"/>
    <cellStyle name="Note 2 5 5 2 2" xfId="8707" xr:uid="{00000000-0005-0000-0000-000041210000}"/>
    <cellStyle name="Note 2 5 5 2 2 2" xfId="17146" xr:uid="{D1ABCFD9-BBA9-4CE8-A044-33636B6F5B09}"/>
    <cellStyle name="Note 2 5 5 2 3" xfId="12928" xr:uid="{47981AB8-4787-450F-B75F-4F7E7BBC2933}"/>
    <cellStyle name="Note 2 5 5 3" xfId="6562" xr:uid="{00000000-0005-0000-0000-000042210000}"/>
    <cellStyle name="Note 2 5 5 3 2" xfId="15001" xr:uid="{F4BB0A8F-E602-4625-B8BA-5D8151DD07A6}"/>
    <cellStyle name="Note 2 5 5 4" xfId="10783" xr:uid="{6FCD2DE0-AA8C-4811-AFF2-B0714DF043CF}"/>
    <cellStyle name="Note 2 5 6" xfId="2691" xr:uid="{00000000-0005-0000-0000-000043210000}"/>
    <cellStyle name="Note 2 5 6 2" xfId="6975" xr:uid="{00000000-0005-0000-0000-000044210000}"/>
    <cellStyle name="Note 2 5 6 2 2" xfId="15414" xr:uid="{84BECCE7-C6DF-4A66-9542-698F11685B0E}"/>
    <cellStyle name="Note 2 5 6 3" xfId="11196" xr:uid="{F6263B3D-DCA8-418F-8630-B653C7667EC5}"/>
    <cellStyle name="Note 2 5 7" xfId="2750" xr:uid="{00000000-0005-0000-0000-000045210000}"/>
    <cellStyle name="Note 2 5 8" xfId="2831" xr:uid="{00000000-0005-0000-0000-000046210000}"/>
    <cellStyle name="Note 2 5 8 2" xfId="7055" xr:uid="{00000000-0005-0000-0000-000047210000}"/>
    <cellStyle name="Note 2 5 8 2 2" xfId="15494" xr:uid="{F5678128-4CB5-46CA-9C73-52F793E50912}"/>
    <cellStyle name="Note 2 5 8 3" xfId="11276" xr:uid="{A7C7388E-8251-4088-A6E8-0CBB9D241309}"/>
    <cellStyle name="Note 2 5 9" xfId="4910" xr:uid="{00000000-0005-0000-0000-000048210000}"/>
    <cellStyle name="Note 2 5 9 2" xfId="13349" xr:uid="{F7462EF4-9A58-4ED8-BE76-EE231A3E7C0B}"/>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7041B107-2F21-4470-A1E8-AE4C98F001C5}"/>
    <cellStyle name="Note 3 2 10 3" xfId="11277" xr:uid="{8F0B8353-0591-472D-9113-B870E6812150}"/>
    <cellStyle name="Note 3 2 11" xfId="4911" xr:uid="{00000000-0005-0000-0000-00004D210000}"/>
    <cellStyle name="Note 3 2 11 2" xfId="13350" xr:uid="{4ED97EAF-EFED-4F1A-B3CF-1394045093F6}"/>
    <cellStyle name="Note 3 2 12" xfId="9132" xr:uid="{192F40C2-F658-460C-A108-1A0BB7466BB7}"/>
    <cellStyle name="Note 3 2 2" xfId="555" xr:uid="{00000000-0005-0000-0000-00004E210000}"/>
    <cellStyle name="Note 3 2 2 10" xfId="4912" xr:uid="{00000000-0005-0000-0000-00004F210000}"/>
    <cellStyle name="Note 3 2 2 10 2" xfId="13351" xr:uid="{FAB48DF9-67A3-4850-BBFE-F96F79A65CCF}"/>
    <cellStyle name="Note 3 2 2 11" xfId="9133" xr:uid="{3A15DE6F-2620-414E-91F9-1E4ABDFE3635}"/>
    <cellStyle name="Note 3 2 2 2" xfId="556" xr:uid="{00000000-0005-0000-0000-000050210000}"/>
    <cellStyle name="Note 3 2 2 2 10" xfId="9134" xr:uid="{EE44082E-DDB1-47B9-998C-30CB6A8724EA}"/>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14E38107-C3C4-4323-8923-78FCB08BD105}"/>
    <cellStyle name="Note 3 2 2 2 2 2 3" xfId="11692" xr:uid="{8014DEDF-2345-4129-AF0C-4367D50CFE7A}"/>
    <cellStyle name="Note 3 2 2 2 2 3" xfId="5326" xr:uid="{00000000-0005-0000-0000-000054210000}"/>
    <cellStyle name="Note 3 2 2 2 2 3 2" xfId="13765" xr:uid="{EEAE6E30-00D8-4F48-9784-FF1BE80CCE28}"/>
    <cellStyle name="Note 3 2 2 2 2 4" xfId="9547" xr:uid="{B74076A2-67F3-4EC6-92C0-387B17AC5452}"/>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64E31158-F9D0-43F4-959B-D2952716CB3B}"/>
    <cellStyle name="Note 3 2 2 2 3 2 3" xfId="12105" xr:uid="{E401D0D7-168F-4328-9129-F5D830AAABC8}"/>
    <cellStyle name="Note 3 2 2 2 3 3" xfId="5739" xr:uid="{00000000-0005-0000-0000-000058210000}"/>
    <cellStyle name="Note 3 2 2 2 3 3 2" xfId="14178" xr:uid="{65D14AF9-8BCC-49EC-9EA3-3EAE7A6D9EAF}"/>
    <cellStyle name="Note 3 2 2 2 3 4" xfId="9960" xr:uid="{BFC387C2-32C0-4585-A6DD-826D1A0406E4}"/>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429E67D5-5966-4260-A89B-D221A30512A8}"/>
    <cellStyle name="Note 3 2 2 2 4 2 3" xfId="12518" xr:uid="{1A7A0BCD-29DA-470F-8549-A56050088FB1}"/>
    <cellStyle name="Note 3 2 2 2 4 3" xfId="6152" xr:uid="{00000000-0005-0000-0000-00005C210000}"/>
    <cellStyle name="Note 3 2 2 2 4 3 2" xfId="14591" xr:uid="{3CB03C14-025A-43C5-B58D-A4BF3C42C3DD}"/>
    <cellStyle name="Note 3 2 2 2 4 4" xfId="10373" xr:uid="{AFC76E63-A1FE-4FB9-868E-A89DB8884CAE}"/>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F3CF2D1B-777A-47A0-98E1-EE93B02EBF7C}"/>
    <cellStyle name="Note 3 2 2 2 5 2 3" xfId="12931" xr:uid="{D9CFA5FA-FECE-49A2-9B08-14E9AFB96F6B}"/>
    <cellStyle name="Note 3 2 2 2 5 3" xfId="6565" xr:uid="{00000000-0005-0000-0000-000060210000}"/>
    <cellStyle name="Note 3 2 2 2 5 3 2" xfId="15004" xr:uid="{6BF70221-E4E1-46A1-B75B-73FC10BC22EF}"/>
    <cellStyle name="Note 3 2 2 2 5 4" xfId="10786" xr:uid="{E38D51EC-6197-4026-9884-031F0635ACA8}"/>
    <cellStyle name="Note 3 2 2 2 6" xfId="2694" xr:uid="{00000000-0005-0000-0000-000061210000}"/>
    <cellStyle name="Note 3 2 2 2 6 2" xfId="6978" xr:uid="{00000000-0005-0000-0000-000062210000}"/>
    <cellStyle name="Note 3 2 2 2 6 2 2" xfId="15417" xr:uid="{52FD1852-581C-4D9A-B558-C8DFF2815D7D}"/>
    <cellStyle name="Note 3 2 2 2 6 3" xfId="11199" xr:uid="{86683617-AA88-4195-94B3-C50BF1704C39}"/>
    <cellStyle name="Note 3 2 2 2 7" xfId="2753" xr:uid="{00000000-0005-0000-0000-000063210000}"/>
    <cellStyle name="Note 3 2 2 2 8" xfId="2834" xr:uid="{00000000-0005-0000-0000-000064210000}"/>
    <cellStyle name="Note 3 2 2 2 8 2" xfId="7058" xr:uid="{00000000-0005-0000-0000-000065210000}"/>
    <cellStyle name="Note 3 2 2 2 8 2 2" xfId="15497" xr:uid="{FBE3BC5E-DDE6-41EB-B9BF-BC73E0F0287A}"/>
    <cellStyle name="Note 3 2 2 2 8 3" xfId="11279" xr:uid="{DB4AAB91-486F-4DE6-8842-37FF86376B01}"/>
    <cellStyle name="Note 3 2 2 2 9" xfId="4913" xr:uid="{00000000-0005-0000-0000-000066210000}"/>
    <cellStyle name="Note 3 2 2 2 9 2" xfId="13352" xr:uid="{3B1A5A40-0BB8-44C4-9D41-1750DE68E107}"/>
    <cellStyle name="Note 3 2 2 3" xfId="1015" xr:uid="{00000000-0005-0000-0000-000067210000}"/>
    <cellStyle name="Note 3 2 2 3 2" xfId="3247" xr:uid="{00000000-0005-0000-0000-000068210000}"/>
    <cellStyle name="Note 3 2 2 3 2 2" xfId="7470" xr:uid="{00000000-0005-0000-0000-000069210000}"/>
    <cellStyle name="Note 3 2 2 3 2 2 2" xfId="15909" xr:uid="{5E135FB9-92A0-443D-A1C3-915BBBCF60AE}"/>
    <cellStyle name="Note 3 2 2 3 2 3" xfId="11691" xr:uid="{9B94544F-5BFE-4FC5-97B3-925E7A2CBE96}"/>
    <cellStyle name="Note 3 2 2 3 3" xfId="5325" xr:uid="{00000000-0005-0000-0000-00006A210000}"/>
    <cellStyle name="Note 3 2 2 3 3 2" xfId="13764" xr:uid="{27884CC8-EEF5-4550-B5A3-DFFB0C4BF32A}"/>
    <cellStyle name="Note 3 2 2 3 4" xfId="9546" xr:uid="{54D94669-4EAF-474F-8F10-CB5495FB96E7}"/>
    <cellStyle name="Note 3 2 2 4" xfId="1430" xr:uid="{00000000-0005-0000-0000-00006B210000}"/>
    <cellStyle name="Note 3 2 2 4 2" xfId="3660" xr:uid="{00000000-0005-0000-0000-00006C210000}"/>
    <cellStyle name="Note 3 2 2 4 2 2" xfId="7883" xr:uid="{00000000-0005-0000-0000-00006D210000}"/>
    <cellStyle name="Note 3 2 2 4 2 2 2" xfId="16322" xr:uid="{0A9A612A-96BF-4F63-9524-6C285C1EE68D}"/>
    <cellStyle name="Note 3 2 2 4 2 3" xfId="12104" xr:uid="{405AC152-9F1E-46DA-93E7-9B50B83A2B61}"/>
    <cellStyle name="Note 3 2 2 4 3" xfId="5738" xr:uid="{00000000-0005-0000-0000-00006E210000}"/>
    <cellStyle name="Note 3 2 2 4 3 2" xfId="14177" xr:uid="{239406AA-284F-4C76-B7B1-01C982F0DFA0}"/>
    <cellStyle name="Note 3 2 2 4 4" xfId="9959" xr:uid="{6F94FE32-C6BD-4FDF-8D3C-A3C67CAA1FFD}"/>
    <cellStyle name="Note 3 2 2 5" xfId="1844" xr:uid="{00000000-0005-0000-0000-00006F210000}"/>
    <cellStyle name="Note 3 2 2 5 2" xfId="4073" xr:uid="{00000000-0005-0000-0000-000070210000}"/>
    <cellStyle name="Note 3 2 2 5 2 2" xfId="8296" xr:uid="{00000000-0005-0000-0000-000071210000}"/>
    <cellStyle name="Note 3 2 2 5 2 2 2" xfId="16735" xr:uid="{1D37319F-5022-4A54-AF8D-EBBA986B4C40}"/>
    <cellStyle name="Note 3 2 2 5 2 3" xfId="12517" xr:uid="{F3006627-E77B-4150-A2B9-B434A3A0FBCF}"/>
    <cellStyle name="Note 3 2 2 5 3" xfId="6151" xr:uid="{00000000-0005-0000-0000-000072210000}"/>
    <cellStyle name="Note 3 2 2 5 3 2" xfId="14590" xr:uid="{35D21715-E964-492B-84ED-878665511189}"/>
    <cellStyle name="Note 3 2 2 5 4" xfId="10372" xr:uid="{D9E790AF-8BC0-4244-B177-15FBC096D966}"/>
    <cellStyle name="Note 3 2 2 6" xfId="2257" xr:uid="{00000000-0005-0000-0000-000073210000}"/>
    <cellStyle name="Note 3 2 2 6 2" xfId="4486" xr:uid="{00000000-0005-0000-0000-000074210000}"/>
    <cellStyle name="Note 3 2 2 6 2 2" xfId="8709" xr:uid="{00000000-0005-0000-0000-000075210000}"/>
    <cellStyle name="Note 3 2 2 6 2 2 2" xfId="17148" xr:uid="{779E5F91-7874-4926-B772-A136B49D7477}"/>
    <cellStyle name="Note 3 2 2 6 2 3" xfId="12930" xr:uid="{6B70AFC5-9743-410F-8AB6-1460FA4D30CD}"/>
    <cellStyle name="Note 3 2 2 6 3" xfId="6564" xr:uid="{00000000-0005-0000-0000-000076210000}"/>
    <cellStyle name="Note 3 2 2 6 3 2" xfId="15003" xr:uid="{7893A25F-D462-4356-8CC2-57BADB4E98AA}"/>
    <cellStyle name="Note 3 2 2 6 4" xfId="10785" xr:uid="{7477D789-BC2B-4461-AD05-DE42B82AE83E}"/>
    <cellStyle name="Note 3 2 2 7" xfId="2693" xr:uid="{00000000-0005-0000-0000-000077210000}"/>
    <cellStyle name="Note 3 2 2 7 2" xfId="6977" xr:uid="{00000000-0005-0000-0000-000078210000}"/>
    <cellStyle name="Note 3 2 2 7 2 2" xfId="15416" xr:uid="{06802D0A-B20A-484B-B9D7-BEF736F9662A}"/>
    <cellStyle name="Note 3 2 2 7 3" xfId="11198" xr:uid="{AB40434E-F3DE-4D9B-9E48-0570A2AA5370}"/>
    <cellStyle name="Note 3 2 2 8" xfId="2752" xr:uid="{00000000-0005-0000-0000-000079210000}"/>
    <cellStyle name="Note 3 2 2 9" xfId="2833" xr:uid="{00000000-0005-0000-0000-00007A210000}"/>
    <cellStyle name="Note 3 2 2 9 2" xfId="7057" xr:uid="{00000000-0005-0000-0000-00007B210000}"/>
    <cellStyle name="Note 3 2 2 9 2 2" xfId="15496" xr:uid="{CD001E97-2FCC-46CC-87D1-44D4F0D26664}"/>
    <cellStyle name="Note 3 2 2 9 3" xfId="11278" xr:uid="{E1EC0548-DD44-40A0-B098-CC8F8BA151B8}"/>
    <cellStyle name="Note 3 2 3" xfId="557" xr:uid="{00000000-0005-0000-0000-00007C210000}"/>
    <cellStyle name="Note 3 2 3 10" xfId="9135" xr:uid="{3248F138-93C1-42BB-ACBB-0EC7A58E4A38}"/>
    <cellStyle name="Note 3 2 3 2" xfId="1017" xr:uid="{00000000-0005-0000-0000-00007D210000}"/>
    <cellStyle name="Note 3 2 3 2 2" xfId="3249" xr:uid="{00000000-0005-0000-0000-00007E210000}"/>
    <cellStyle name="Note 3 2 3 2 2 2" xfId="7472" xr:uid="{00000000-0005-0000-0000-00007F210000}"/>
    <cellStyle name="Note 3 2 3 2 2 2 2" xfId="15911" xr:uid="{59680254-B067-4945-8BBB-74C41454611C}"/>
    <cellStyle name="Note 3 2 3 2 2 3" xfId="11693" xr:uid="{ABEFE76E-E691-4AB9-B39D-8C85F775C55D}"/>
    <cellStyle name="Note 3 2 3 2 3" xfId="5327" xr:uid="{00000000-0005-0000-0000-000080210000}"/>
    <cellStyle name="Note 3 2 3 2 3 2" xfId="13766" xr:uid="{8C4AB816-9EA8-4060-8771-B7FA3CBDB843}"/>
    <cellStyle name="Note 3 2 3 2 4" xfId="9548" xr:uid="{FBB49A09-B855-4A4B-AFD2-91B1E3DD901E}"/>
    <cellStyle name="Note 3 2 3 3" xfId="1432" xr:uid="{00000000-0005-0000-0000-000081210000}"/>
    <cellStyle name="Note 3 2 3 3 2" xfId="3662" xr:uid="{00000000-0005-0000-0000-000082210000}"/>
    <cellStyle name="Note 3 2 3 3 2 2" xfId="7885" xr:uid="{00000000-0005-0000-0000-000083210000}"/>
    <cellStyle name="Note 3 2 3 3 2 2 2" xfId="16324" xr:uid="{5402C127-7C7F-46DA-A74E-FC7E75156C08}"/>
    <cellStyle name="Note 3 2 3 3 2 3" xfId="12106" xr:uid="{E1CA1FC5-78BD-422A-9D2B-69D22B67FA35}"/>
    <cellStyle name="Note 3 2 3 3 3" xfId="5740" xr:uid="{00000000-0005-0000-0000-000084210000}"/>
    <cellStyle name="Note 3 2 3 3 3 2" xfId="14179" xr:uid="{6EA27A9E-DBB0-4015-B7F9-0B72CE3E5444}"/>
    <cellStyle name="Note 3 2 3 3 4" xfId="9961" xr:uid="{9C52116F-077B-409F-A423-C8986864FDB4}"/>
    <cellStyle name="Note 3 2 3 4" xfId="1846" xr:uid="{00000000-0005-0000-0000-000085210000}"/>
    <cellStyle name="Note 3 2 3 4 2" xfId="4075" xr:uid="{00000000-0005-0000-0000-000086210000}"/>
    <cellStyle name="Note 3 2 3 4 2 2" xfId="8298" xr:uid="{00000000-0005-0000-0000-000087210000}"/>
    <cellStyle name="Note 3 2 3 4 2 2 2" xfId="16737" xr:uid="{7138A6EF-519B-41E9-8FD1-8D43DFDBDC00}"/>
    <cellStyle name="Note 3 2 3 4 2 3" xfId="12519" xr:uid="{6BDA8DBD-4295-49DA-AA20-DE4B2B2BF3CF}"/>
    <cellStyle name="Note 3 2 3 4 3" xfId="6153" xr:uid="{00000000-0005-0000-0000-000088210000}"/>
    <cellStyle name="Note 3 2 3 4 3 2" xfId="14592" xr:uid="{EA5615A4-064C-4E71-8EBC-8794A552B882}"/>
    <cellStyle name="Note 3 2 3 4 4" xfId="10374" xr:uid="{E84E1CE0-0076-49B2-858C-277E17D2FCAB}"/>
    <cellStyle name="Note 3 2 3 5" xfId="2259" xr:uid="{00000000-0005-0000-0000-000089210000}"/>
    <cellStyle name="Note 3 2 3 5 2" xfId="4488" xr:uid="{00000000-0005-0000-0000-00008A210000}"/>
    <cellStyle name="Note 3 2 3 5 2 2" xfId="8711" xr:uid="{00000000-0005-0000-0000-00008B210000}"/>
    <cellStyle name="Note 3 2 3 5 2 2 2" xfId="17150" xr:uid="{F66D501F-C45D-41EA-8ACE-A825C5ADC45B}"/>
    <cellStyle name="Note 3 2 3 5 2 3" xfId="12932" xr:uid="{BA0453EB-15EC-4506-81CC-5840BB75E6EC}"/>
    <cellStyle name="Note 3 2 3 5 3" xfId="6566" xr:uid="{00000000-0005-0000-0000-00008C210000}"/>
    <cellStyle name="Note 3 2 3 5 3 2" xfId="15005" xr:uid="{C8DC5799-EF11-444E-923D-A40D468F9D9A}"/>
    <cellStyle name="Note 3 2 3 5 4" xfId="10787" xr:uid="{68B36D66-A081-452A-BB52-B40AC79714E8}"/>
    <cellStyle name="Note 3 2 3 6" xfId="2695" xr:uid="{00000000-0005-0000-0000-00008D210000}"/>
    <cellStyle name="Note 3 2 3 6 2" xfId="6979" xr:uid="{00000000-0005-0000-0000-00008E210000}"/>
    <cellStyle name="Note 3 2 3 6 2 2" xfId="15418" xr:uid="{4E655F6B-8AB2-428C-B0A9-FA65223509AA}"/>
    <cellStyle name="Note 3 2 3 6 3" xfId="11200" xr:uid="{CA3DFC37-F45A-49D7-B087-0A0322FF9C06}"/>
    <cellStyle name="Note 3 2 3 7" xfId="2754" xr:uid="{00000000-0005-0000-0000-00008F210000}"/>
    <cellStyle name="Note 3 2 3 8" xfId="2835" xr:uid="{00000000-0005-0000-0000-000090210000}"/>
    <cellStyle name="Note 3 2 3 8 2" xfId="7059" xr:uid="{00000000-0005-0000-0000-000091210000}"/>
    <cellStyle name="Note 3 2 3 8 2 2" xfId="15498" xr:uid="{888D45D5-4AD2-42FB-8A81-36961A7A283C}"/>
    <cellStyle name="Note 3 2 3 8 3" xfId="11280" xr:uid="{F04DF1A1-04FE-48DE-B666-06C316B49665}"/>
    <cellStyle name="Note 3 2 3 9" xfId="4914" xr:uid="{00000000-0005-0000-0000-000092210000}"/>
    <cellStyle name="Note 3 2 3 9 2" xfId="13353" xr:uid="{72C2F95C-9CB8-4925-81BB-585E0104F7C9}"/>
    <cellStyle name="Note 3 2 4" xfId="1014" xr:uid="{00000000-0005-0000-0000-000093210000}"/>
    <cellStyle name="Note 3 2 4 2" xfId="3246" xr:uid="{00000000-0005-0000-0000-000094210000}"/>
    <cellStyle name="Note 3 2 4 2 2" xfId="7469" xr:uid="{00000000-0005-0000-0000-000095210000}"/>
    <cellStyle name="Note 3 2 4 2 2 2" xfId="15908" xr:uid="{7C898341-554C-4E0F-AE0B-3FE885E1090B}"/>
    <cellStyle name="Note 3 2 4 2 3" xfId="11690" xr:uid="{1C9D2547-FB3D-462D-BF93-2DC4F1AA7AC9}"/>
    <cellStyle name="Note 3 2 4 3" xfId="5324" xr:uid="{00000000-0005-0000-0000-000096210000}"/>
    <cellStyle name="Note 3 2 4 3 2" xfId="13763" xr:uid="{F61A0CC8-8E09-4930-997E-9F5174AC8303}"/>
    <cellStyle name="Note 3 2 4 4" xfId="9545" xr:uid="{E9597BD6-D4B1-4F95-917F-9354CFB6CACD}"/>
    <cellStyle name="Note 3 2 5" xfId="1429" xr:uid="{00000000-0005-0000-0000-000097210000}"/>
    <cellStyle name="Note 3 2 5 2" xfId="3659" xr:uid="{00000000-0005-0000-0000-000098210000}"/>
    <cellStyle name="Note 3 2 5 2 2" xfId="7882" xr:uid="{00000000-0005-0000-0000-000099210000}"/>
    <cellStyle name="Note 3 2 5 2 2 2" xfId="16321" xr:uid="{4CFF9D45-00ED-4186-A84E-69B6648292D2}"/>
    <cellStyle name="Note 3 2 5 2 3" xfId="12103" xr:uid="{6BC75667-9AC9-443B-9F49-26177F822D2C}"/>
    <cellStyle name="Note 3 2 5 3" xfId="5737" xr:uid="{00000000-0005-0000-0000-00009A210000}"/>
    <cellStyle name="Note 3 2 5 3 2" xfId="14176" xr:uid="{F11E32DE-2ED0-44E2-BF16-9896883095DC}"/>
    <cellStyle name="Note 3 2 5 4" xfId="9958" xr:uid="{5D29B0EC-A71B-4C32-9D6C-DC7F2FCD9640}"/>
    <cellStyle name="Note 3 2 6" xfId="1843" xr:uid="{00000000-0005-0000-0000-00009B210000}"/>
    <cellStyle name="Note 3 2 6 2" xfId="4072" xr:uid="{00000000-0005-0000-0000-00009C210000}"/>
    <cellStyle name="Note 3 2 6 2 2" xfId="8295" xr:uid="{00000000-0005-0000-0000-00009D210000}"/>
    <cellStyle name="Note 3 2 6 2 2 2" xfId="16734" xr:uid="{F202DA48-17C3-4EA7-83BB-988486F259E3}"/>
    <cellStyle name="Note 3 2 6 2 3" xfId="12516" xr:uid="{7A5B2C33-D623-4134-A6DF-242217394CD4}"/>
    <cellStyle name="Note 3 2 6 3" xfId="6150" xr:uid="{00000000-0005-0000-0000-00009E210000}"/>
    <cellStyle name="Note 3 2 6 3 2" xfId="14589" xr:uid="{E740210A-E3EC-4317-8455-E3E7FEE6BA09}"/>
    <cellStyle name="Note 3 2 6 4" xfId="10371" xr:uid="{E798A84E-B990-41B9-8E13-0297D3F93A52}"/>
    <cellStyle name="Note 3 2 7" xfId="2256" xr:uid="{00000000-0005-0000-0000-00009F210000}"/>
    <cellStyle name="Note 3 2 7 2" xfId="4485" xr:uid="{00000000-0005-0000-0000-0000A0210000}"/>
    <cellStyle name="Note 3 2 7 2 2" xfId="8708" xr:uid="{00000000-0005-0000-0000-0000A1210000}"/>
    <cellStyle name="Note 3 2 7 2 2 2" xfId="17147" xr:uid="{7EAFB857-02A2-4FC1-B784-CE824DCA59EF}"/>
    <cellStyle name="Note 3 2 7 2 3" xfId="12929" xr:uid="{715E62D1-B6ED-4DC8-88B0-E30BD87D504D}"/>
    <cellStyle name="Note 3 2 7 3" xfId="6563" xr:uid="{00000000-0005-0000-0000-0000A2210000}"/>
    <cellStyle name="Note 3 2 7 3 2" xfId="15002" xr:uid="{90D302BD-E4CF-4166-9EA5-BCCE98138F99}"/>
    <cellStyle name="Note 3 2 7 4" xfId="10784" xr:uid="{2F90AF8A-BCBE-4BE0-ACDB-CF834394A990}"/>
    <cellStyle name="Note 3 2 8" xfId="2692" xr:uid="{00000000-0005-0000-0000-0000A3210000}"/>
    <cellStyle name="Note 3 2 8 2" xfId="6976" xr:uid="{00000000-0005-0000-0000-0000A4210000}"/>
    <cellStyle name="Note 3 2 8 2 2" xfId="15415" xr:uid="{5CDDFDB3-5B49-4679-9600-D0B77D73C39B}"/>
    <cellStyle name="Note 3 2 8 3" xfId="11197" xr:uid="{889F401D-0052-43FD-8A4F-02C6B1E26665}"/>
    <cellStyle name="Note 3 2 9" xfId="2751" xr:uid="{00000000-0005-0000-0000-0000A5210000}"/>
    <cellStyle name="Note 3 3" xfId="558" xr:uid="{00000000-0005-0000-0000-0000A6210000}"/>
    <cellStyle name="Note 3 3 10" xfId="4915" xr:uid="{00000000-0005-0000-0000-0000A7210000}"/>
    <cellStyle name="Note 3 3 10 2" xfId="13354" xr:uid="{08A078BF-6D8E-4DF2-A760-0FCDB5EE0FDA}"/>
    <cellStyle name="Note 3 3 11" xfId="9136" xr:uid="{10951B16-B87B-4565-980D-5770FDA5AF13}"/>
    <cellStyle name="Note 3 3 2" xfId="559" xr:uid="{00000000-0005-0000-0000-0000A8210000}"/>
    <cellStyle name="Note 3 3 2 10" xfId="9137" xr:uid="{223B9E0F-F866-44DC-8974-1648CE1EBA51}"/>
    <cellStyle name="Note 3 3 2 2" xfId="1019" xr:uid="{00000000-0005-0000-0000-0000A9210000}"/>
    <cellStyle name="Note 3 3 2 2 2" xfId="3251" xr:uid="{00000000-0005-0000-0000-0000AA210000}"/>
    <cellStyle name="Note 3 3 2 2 2 2" xfId="7474" xr:uid="{00000000-0005-0000-0000-0000AB210000}"/>
    <cellStyle name="Note 3 3 2 2 2 2 2" xfId="15913" xr:uid="{469201E9-9C3E-432A-8CEE-0B5AA8D0DB99}"/>
    <cellStyle name="Note 3 3 2 2 2 3" xfId="11695" xr:uid="{94F1FCAB-5575-4087-A0E6-D1347BC7B319}"/>
    <cellStyle name="Note 3 3 2 2 3" xfId="5329" xr:uid="{00000000-0005-0000-0000-0000AC210000}"/>
    <cellStyle name="Note 3 3 2 2 3 2" xfId="13768" xr:uid="{9218B2EA-E20F-499B-8DE0-80FBCD8A1224}"/>
    <cellStyle name="Note 3 3 2 2 4" xfId="9550" xr:uid="{C4ABCDD7-13B9-4F42-8A19-C3D51E8E4A3E}"/>
    <cellStyle name="Note 3 3 2 3" xfId="1434" xr:uid="{00000000-0005-0000-0000-0000AD210000}"/>
    <cellStyle name="Note 3 3 2 3 2" xfId="3664" xr:uid="{00000000-0005-0000-0000-0000AE210000}"/>
    <cellStyle name="Note 3 3 2 3 2 2" xfId="7887" xr:uid="{00000000-0005-0000-0000-0000AF210000}"/>
    <cellStyle name="Note 3 3 2 3 2 2 2" xfId="16326" xr:uid="{72B4DC3E-91E0-4112-9D1E-25FCAE8E35E1}"/>
    <cellStyle name="Note 3 3 2 3 2 3" xfId="12108" xr:uid="{B02BF97C-6241-4379-A2CB-528B974E59A0}"/>
    <cellStyle name="Note 3 3 2 3 3" xfId="5742" xr:uid="{00000000-0005-0000-0000-0000B0210000}"/>
    <cellStyle name="Note 3 3 2 3 3 2" xfId="14181" xr:uid="{97ABA673-CF32-4BE4-8C3A-279A4D46EBF0}"/>
    <cellStyle name="Note 3 3 2 3 4" xfId="9963" xr:uid="{2002BA32-666E-4A22-B59E-205867D18C41}"/>
    <cellStyle name="Note 3 3 2 4" xfId="1848" xr:uid="{00000000-0005-0000-0000-0000B1210000}"/>
    <cellStyle name="Note 3 3 2 4 2" xfId="4077" xr:uid="{00000000-0005-0000-0000-0000B2210000}"/>
    <cellStyle name="Note 3 3 2 4 2 2" xfId="8300" xr:uid="{00000000-0005-0000-0000-0000B3210000}"/>
    <cellStyle name="Note 3 3 2 4 2 2 2" xfId="16739" xr:uid="{C12B5D20-C60A-4F5C-8CB4-1E410DD64390}"/>
    <cellStyle name="Note 3 3 2 4 2 3" xfId="12521" xr:uid="{9D94D93A-3D0E-4CE1-A8BC-86FA2F88FE48}"/>
    <cellStyle name="Note 3 3 2 4 3" xfId="6155" xr:uid="{00000000-0005-0000-0000-0000B4210000}"/>
    <cellStyle name="Note 3 3 2 4 3 2" xfId="14594" xr:uid="{8E074F71-9034-4BEB-8753-B5865D295298}"/>
    <cellStyle name="Note 3 3 2 4 4" xfId="10376" xr:uid="{26EE8162-F5FE-43C3-A5B6-96DF84ADF10A}"/>
    <cellStyle name="Note 3 3 2 5" xfId="2261" xr:uid="{00000000-0005-0000-0000-0000B5210000}"/>
    <cellStyle name="Note 3 3 2 5 2" xfId="4490" xr:uid="{00000000-0005-0000-0000-0000B6210000}"/>
    <cellStyle name="Note 3 3 2 5 2 2" xfId="8713" xr:uid="{00000000-0005-0000-0000-0000B7210000}"/>
    <cellStyle name="Note 3 3 2 5 2 2 2" xfId="17152" xr:uid="{F8AF17F6-2FE6-439F-B854-8FE54ECB1845}"/>
    <cellStyle name="Note 3 3 2 5 2 3" xfId="12934" xr:uid="{4C56F69E-6C1C-429A-BE51-BCA40F2F72AB}"/>
    <cellStyle name="Note 3 3 2 5 3" xfId="6568" xr:uid="{00000000-0005-0000-0000-0000B8210000}"/>
    <cellStyle name="Note 3 3 2 5 3 2" xfId="15007" xr:uid="{8D83705D-36FB-4A06-A365-79E710CDF574}"/>
    <cellStyle name="Note 3 3 2 5 4" xfId="10789" xr:uid="{D50F05BA-CE29-44FA-B676-458203E9556A}"/>
    <cellStyle name="Note 3 3 2 6" xfId="2697" xr:uid="{00000000-0005-0000-0000-0000B9210000}"/>
    <cellStyle name="Note 3 3 2 6 2" xfId="6981" xr:uid="{00000000-0005-0000-0000-0000BA210000}"/>
    <cellStyle name="Note 3 3 2 6 2 2" xfId="15420" xr:uid="{1808683F-A63B-4D73-BD5C-639CD3B2370A}"/>
    <cellStyle name="Note 3 3 2 6 3" xfId="11202" xr:uid="{E844E0AF-75E9-4206-88A2-ADD7C3BAFFBA}"/>
    <cellStyle name="Note 3 3 2 7" xfId="2756" xr:uid="{00000000-0005-0000-0000-0000BB210000}"/>
    <cellStyle name="Note 3 3 2 8" xfId="2837" xr:uid="{00000000-0005-0000-0000-0000BC210000}"/>
    <cellStyle name="Note 3 3 2 8 2" xfId="7061" xr:uid="{00000000-0005-0000-0000-0000BD210000}"/>
    <cellStyle name="Note 3 3 2 8 2 2" xfId="15500" xr:uid="{6604F60D-5630-4C3C-9B9D-8CF165810828}"/>
    <cellStyle name="Note 3 3 2 8 3" xfId="11282" xr:uid="{80A79B62-013A-444B-8217-6EA903E0D259}"/>
    <cellStyle name="Note 3 3 2 9" xfId="4916" xr:uid="{00000000-0005-0000-0000-0000BE210000}"/>
    <cellStyle name="Note 3 3 2 9 2" xfId="13355" xr:uid="{D8F31DDD-29BB-4EEB-ACD0-D258A62E9815}"/>
    <cellStyle name="Note 3 3 3" xfId="1018" xr:uid="{00000000-0005-0000-0000-0000BF210000}"/>
    <cellStyle name="Note 3 3 3 2" xfId="3250" xr:uid="{00000000-0005-0000-0000-0000C0210000}"/>
    <cellStyle name="Note 3 3 3 2 2" xfId="7473" xr:uid="{00000000-0005-0000-0000-0000C1210000}"/>
    <cellStyle name="Note 3 3 3 2 2 2" xfId="15912" xr:uid="{24BC1B50-4159-4D66-AE54-C0B5D1F8FBC8}"/>
    <cellStyle name="Note 3 3 3 2 3" xfId="11694" xr:uid="{848A64CE-34D9-4B23-8CB2-97807BD1078C}"/>
    <cellStyle name="Note 3 3 3 3" xfId="5328" xr:uid="{00000000-0005-0000-0000-0000C2210000}"/>
    <cellStyle name="Note 3 3 3 3 2" xfId="13767" xr:uid="{5A0781E5-A2CF-4C22-9F8F-3F5F88CD088C}"/>
    <cellStyle name="Note 3 3 3 4" xfId="9549" xr:uid="{02F02583-3D24-405D-B6F5-97AF0FF369B3}"/>
    <cellStyle name="Note 3 3 4" xfId="1433" xr:uid="{00000000-0005-0000-0000-0000C3210000}"/>
    <cellStyle name="Note 3 3 4 2" xfId="3663" xr:uid="{00000000-0005-0000-0000-0000C4210000}"/>
    <cellStyle name="Note 3 3 4 2 2" xfId="7886" xr:uid="{00000000-0005-0000-0000-0000C5210000}"/>
    <cellStyle name="Note 3 3 4 2 2 2" xfId="16325" xr:uid="{5F73D7F9-1929-424D-9820-B62A73C95BFA}"/>
    <cellStyle name="Note 3 3 4 2 3" xfId="12107" xr:uid="{0148D521-F002-42E5-BFDE-259A0CB5E8F9}"/>
    <cellStyle name="Note 3 3 4 3" xfId="5741" xr:uid="{00000000-0005-0000-0000-0000C6210000}"/>
    <cellStyle name="Note 3 3 4 3 2" xfId="14180" xr:uid="{0809C2FB-08CD-4512-A252-777243E1ACCA}"/>
    <cellStyle name="Note 3 3 4 4" xfId="9962" xr:uid="{11EB2C07-E000-447C-A617-5E953175D761}"/>
    <cellStyle name="Note 3 3 5" xfId="1847" xr:uid="{00000000-0005-0000-0000-0000C7210000}"/>
    <cellStyle name="Note 3 3 5 2" xfId="4076" xr:uid="{00000000-0005-0000-0000-0000C8210000}"/>
    <cellStyle name="Note 3 3 5 2 2" xfId="8299" xr:uid="{00000000-0005-0000-0000-0000C9210000}"/>
    <cellStyle name="Note 3 3 5 2 2 2" xfId="16738" xr:uid="{3CCFBF92-9A0F-48DD-97F7-9FA2D2163A1E}"/>
    <cellStyle name="Note 3 3 5 2 3" xfId="12520" xr:uid="{81905D7F-4A3C-4609-997F-92410D8D2411}"/>
    <cellStyle name="Note 3 3 5 3" xfId="6154" xr:uid="{00000000-0005-0000-0000-0000CA210000}"/>
    <cellStyle name="Note 3 3 5 3 2" xfId="14593" xr:uid="{899BD472-BD7D-454D-9C31-30EE168C4749}"/>
    <cellStyle name="Note 3 3 5 4" xfId="10375" xr:uid="{266D4BC7-C2F2-4B86-B728-DEACD9F2D9BB}"/>
    <cellStyle name="Note 3 3 6" xfId="2260" xr:uid="{00000000-0005-0000-0000-0000CB210000}"/>
    <cellStyle name="Note 3 3 6 2" xfId="4489" xr:uid="{00000000-0005-0000-0000-0000CC210000}"/>
    <cellStyle name="Note 3 3 6 2 2" xfId="8712" xr:uid="{00000000-0005-0000-0000-0000CD210000}"/>
    <cellStyle name="Note 3 3 6 2 2 2" xfId="17151" xr:uid="{A8397EB1-5D74-4517-872B-D739A6AFB49B}"/>
    <cellStyle name="Note 3 3 6 2 3" xfId="12933" xr:uid="{65B99E43-1A4F-4A95-8219-BC9199CB3CC0}"/>
    <cellStyle name="Note 3 3 6 3" xfId="6567" xr:uid="{00000000-0005-0000-0000-0000CE210000}"/>
    <cellStyle name="Note 3 3 6 3 2" xfId="15006" xr:uid="{379C5BE5-66B8-4BEE-A06D-50726B9F7C1B}"/>
    <cellStyle name="Note 3 3 6 4" xfId="10788" xr:uid="{299B4638-26AE-402B-BB4C-444AE273FFBA}"/>
    <cellStyle name="Note 3 3 7" xfId="2696" xr:uid="{00000000-0005-0000-0000-0000CF210000}"/>
    <cellStyle name="Note 3 3 7 2" xfId="6980" xr:uid="{00000000-0005-0000-0000-0000D0210000}"/>
    <cellStyle name="Note 3 3 7 2 2" xfId="15419" xr:uid="{79EC3453-D0F3-41AD-94C2-1926E1D916C4}"/>
    <cellStyle name="Note 3 3 7 3" xfId="11201" xr:uid="{F109F4C2-3E7A-4409-B9B2-45747F4216D2}"/>
    <cellStyle name="Note 3 3 8" xfId="2755" xr:uid="{00000000-0005-0000-0000-0000D1210000}"/>
    <cellStyle name="Note 3 3 9" xfId="2836" xr:uid="{00000000-0005-0000-0000-0000D2210000}"/>
    <cellStyle name="Note 3 3 9 2" xfId="7060" xr:uid="{00000000-0005-0000-0000-0000D3210000}"/>
    <cellStyle name="Note 3 3 9 2 2" xfId="15499" xr:uid="{5E3B94DD-DC93-4576-BD99-A16B761968E7}"/>
    <cellStyle name="Note 3 3 9 3" xfId="11281" xr:uid="{54CD54E7-16F5-43D1-A8DD-589AC102970C}"/>
    <cellStyle name="Note 3 4" xfId="560" xr:uid="{00000000-0005-0000-0000-0000D4210000}"/>
    <cellStyle name="Note 3 4 10" xfId="9138" xr:uid="{3F0FFF58-3C6F-4B4F-9CC0-F43C0B1664C8}"/>
    <cellStyle name="Note 3 4 2" xfId="1020" xr:uid="{00000000-0005-0000-0000-0000D5210000}"/>
    <cellStyle name="Note 3 4 2 2" xfId="3252" xr:uid="{00000000-0005-0000-0000-0000D6210000}"/>
    <cellStyle name="Note 3 4 2 2 2" xfId="7475" xr:uid="{00000000-0005-0000-0000-0000D7210000}"/>
    <cellStyle name="Note 3 4 2 2 2 2" xfId="15914" xr:uid="{5AA44172-2473-4964-B7B6-35D278D6212F}"/>
    <cellStyle name="Note 3 4 2 2 3" xfId="11696" xr:uid="{2D6904A9-10B1-4459-97F7-80CBDDB34195}"/>
    <cellStyle name="Note 3 4 2 3" xfId="5330" xr:uid="{00000000-0005-0000-0000-0000D8210000}"/>
    <cellStyle name="Note 3 4 2 3 2" xfId="13769" xr:uid="{9BAD286F-0390-4725-8A9A-76C8B8075A9C}"/>
    <cellStyle name="Note 3 4 2 4" xfId="9551" xr:uid="{8AD32565-0D37-4190-882A-E177AAFC0935}"/>
    <cellStyle name="Note 3 4 3" xfId="1435" xr:uid="{00000000-0005-0000-0000-0000D9210000}"/>
    <cellStyle name="Note 3 4 3 2" xfId="3665" xr:uid="{00000000-0005-0000-0000-0000DA210000}"/>
    <cellStyle name="Note 3 4 3 2 2" xfId="7888" xr:uid="{00000000-0005-0000-0000-0000DB210000}"/>
    <cellStyle name="Note 3 4 3 2 2 2" xfId="16327" xr:uid="{F38907DD-734C-465D-9020-C021F48A991B}"/>
    <cellStyle name="Note 3 4 3 2 3" xfId="12109" xr:uid="{D81F13E8-EFC1-49F0-9920-92D54D942414}"/>
    <cellStyle name="Note 3 4 3 3" xfId="5743" xr:uid="{00000000-0005-0000-0000-0000DC210000}"/>
    <cellStyle name="Note 3 4 3 3 2" xfId="14182" xr:uid="{E8E78433-D0C2-4542-B04A-F96EF0863B4F}"/>
    <cellStyle name="Note 3 4 3 4" xfId="9964" xr:uid="{950ACFA3-95FE-4730-80A1-1C550C91E61C}"/>
    <cellStyle name="Note 3 4 4" xfId="1849" xr:uid="{00000000-0005-0000-0000-0000DD210000}"/>
    <cellStyle name="Note 3 4 4 2" xfId="4078" xr:uid="{00000000-0005-0000-0000-0000DE210000}"/>
    <cellStyle name="Note 3 4 4 2 2" xfId="8301" xr:uid="{00000000-0005-0000-0000-0000DF210000}"/>
    <cellStyle name="Note 3 4 4 2 2 2" xfId="16740" xr:uid="{559F8883-1B8D-4896-9EF8-C5C67BBC983C}"/>
    <cellStyle name="Note 3 4 4 2 3" xfId="12522" xr:uid="{61006D5A-F59A-43E8-ADDF-589B3BC1670F}"/>
    <cellStyle name="Note 3 4 4 3" xfId="6156" xr:uid="{00000000-0005-0000-0000-0000E0210000}"/>
    <cellStyle name="Note 3 4 4 3 2" xfId="14595" xr:uid="{85189765-5642-4506-82EF-85C6B88E0163}"/>
    <cellStyle name="Note 3 4 4 4" xfId="10377" xr:uid="{1C9F66B0-8E90-4890-B920-8ECFBC4B88D1}"/>
    <cellStyle name="Note 3 4 5" xfId="2262" xr:uid="{00000000-0005-0000-0000-0000E1210000}"/>
    <cellStyle name="Note 3 4 5 2" xfId="4491" xr:uid="{00000000-0005-0000-0000-0000E2210000}"/>
    <cellStyle name="Note 3 4 5 2 2" xfId="8714" xr:uid="{00000000-0005-0000-0000-0000E3210000}"/>
    <cellStyle name="Note 3 4 5 2 2 2" xfId="17153" xr:uid="{59B34507-EAEE-4AF9-B4E9-09859FB93067}"/>
    <cellStyle name="Note 3 4 5 2 3" xfId="12935" xr:uid="{7683921E-CEFC-403A-9739-24F57B1EE36A}"/>
    <cellStyle name="Note 3 4 5 3" xfId="6569" xr:uid="{00000000-0005-0000-0000-0000E4210000}"/>
    <cellStyle name="Note 3 4 5 3 2" xfId="15008" xr:uid="{4E7CEDBC-D003-4D5E-A0F2-3840C3FAD6AD}"/>
    <cellStyle name="Note 3 4 5 4" xfId="10790" xr:uid="{02C8AA7D-8190-422F-B3A1-DAA7689AADC0}"/>
    <cellStyle name="Note 3 4 6" xfId="2698" xr:uid="{00000000-0005-0000-0000-0000E5210000}"/>
    <cellStyle name="Note 3 4 6 2" xfId="6982" xr:uid="{00000000-0005-0000-0000-0000E6210000}"/>
    <cellStyle name="Note 3 4 6 2 2" xfId="15421" xr:uid="{F25D2553-631B-4507-9024-4FFE0335F235}"/>
    <cellStyle name="Note 3 4 6 3" xfId="11203" xr:uid="{A4829EE9-8A2F-4F59-A70E-DCA9207C9747}"/>
    <cellStyle name="Note 3 4 7" xfId="2757" xr:uid="{00000000-0005-0000-0000-0000E7210000}"/>
    <cellStyle name="Note 3 4 8" xfId="2838" xr:uid="{00000000-0005-0000-0000-0000E8210000}"/>
    <cellStyle name="Note 3 4 8 2" xfId="7062" xr:uid="{00000000-0005-0000-0000-0000E9210000}"/>
    <cellStyle name="Note 3 4 8 2 2" xfId="15501" xr:uid="{E2335EA2-4EC6-4F4D-8CB9-8D694EA206C1}"/>
    <cellStyle name="Note 3 4 8 3" xfId="11283" xr:uid="{76AEFB5B-4A79-4C29-A4B3-F511A26DBE55}"/>
    <cellStyle name="Note 3 4 9" xfId="4917" xr:uid="{00000000-0005-0000-0000-0000EA210000}"/>
    <cellStyle name="Note 3 4 9 2" xfId="13356" xr:uid="{F386B2B6-8CD1-4BBC-9FB0-6EE25225F83E}"/>
    <cellStyle name="Note 3 5" xfId="561" xr:uid="{00000000-0005-0000-0000-0000EB210000}"/>
    <cellStyle name="Note 3 5 10" xfId="9139" xr:uid="{E4F1245E-CC79-4754-951C-038906DCA102}"/>
    <cellStyle name="Note 3 5 2" xfId="1021" xr:uid="{00000000-0005-0000-0000-0000EC210000}"/>
    <cellStyle name="Note 3 5 2 2" xfId="3253" xr:uid="{00000000-0005-0000-0000-0000ED210000}"/>
    <cellStyle name="Note 3 5 2 2 2" xfId="7476" xr:uid="{00000000-0005-0000-0000-0000EE210000}"/>
    <cellStyle name="Note 3 5 2 2 2 2" xfId="15915" xr:uid="{E381F662-90F7-45E8-84A5-F409D2FB3C4A}"/>
    <cellStyle name="Note 3 5 2 2 3" xfId="11697" xr:uid="{B3B8D037-FFC0-486E-9DD9-C28C5800AA1C}"/>
    <cellStyle name="Note 3 5 2 3" xfId="5331" xr:uid="{00000000-0005-0000-0000-0000EF210000}"/>
    <cellStyle name="Note 3 5 2 3 2" xfId="13770" xr:uid="{843AF4FC-A2CB-40C2-939E-7BDE6C0DD8D8}"/>
    <cellStyle name="Note 3 5 2 4" xfId="9552" xr:uid="{917CA3DC-6A5B-45BD-92AB-D8E7A0A7A181}"/>
    <cellStyle name="Note 3 5 3" xfId="1436" xr:uid="{00000000-0005-0000-0000-0000F0210000}"/>
    <cellStyle name="Note 3 5 3 2" xfId="3666" xr:uid="{00000000-0005-0000-0000-0000F1210000}"/>
    <cellStyle name="Note 3 5 3 2 2" xfId="7889" xr:uid="{00000000-0005-0000-0000-0000F2210000}"/>
    <cellStyle name="Note 3 5 3 2 2 2" xfId="16328" xr:uid="{C7C2A158-E93F-4B30-8655-ED540A9DC76E}"/>
    <cellStyle name="Note 3 5 3 2 3" xfId="12110" xr:uid="{A61BD239-C49C-44D9-9B6E-AB73FD183462}"/>
    <cellStyle name="Note 3 5 3 3" xfId="5744" xr:uid="{00000000-0005-0000-0000-0000F3210000}"/>
    <cellStyle name="Note 3 5 3 3 2" xfId="14183" xr:uid="{0BD1312E-8073-4916-B597-383E75695901}"/>
    <cellStyle name="Note 3 5 3 4" xfId="9965" xr:uid="{78A82752-A3CB-4DE0-B919-CF3CBF77EEFE}"/>
    <cellStyle name="Note 3 5 4" xfId="1850" xr:uid="{00000000-0005-0000-0000-0000F4210000}"/>
    <cellStyle name="Note 3 5 4 2" xfId="4079" xr:uid="{00000000-0005-0000-0000-0000F5210000}"/>
    <cellStyle name="Note 3 5 4 2 2" xfId="8302" xr:uid="{00000000-0005-0000-0000-0000F6210000}"/>
    <cellStyle name="Note 3 5 4 2 2 2" xfId="16741" xr:uid="{6B2E9645-F097-4E3B-9601-47EA45D9EEC2}"/>
    <cellStyle name="Note 3 5 4 2 3" xfId="12523" xr:uid="{C3251302-C12D-4010-803F-903025B7A091}"/>
    <cellStyle name="Note 3 5 4 3" xfId="6157" xr:uid="{00000000-0005-0000-0000-0000F7210000}"/>
    <cellStyle name="Note 3 5 4 3 2" xfId="14596" xr:uid="{F778F690-E362-47EE-B0A9-78D0A6267798}"/>
    <cellStyle name="Note 3 5 4 4" xfId="10378" xr:uid="{D2B5B17D-8CBD-413C-B1D6-19EC06EE11A9}"/>
    <cellStyle name="Note 3 5 5" xfId="2263" xr:uid="{00000000-0005-0000-0000-0000F8210000}"/>
    <cellStyle name="Note 3 5 5 2" xfId="4492" xr:uid="{00000000-0005-0000-0000-0000F9210000}"/>
    <cellStyle name="Note 3 5 5 2 2" xfId="8715" xr:uid="{00000000-0005-0000-0000-0000FA210000}"/>
    <cellStyle name="Note 3 5 5 2 2 2" xfId="17154" xr:uid="{679DF639-C023-42B1-987D-38EBA112D9E4}"/>
    <cellStyle name="Note 3 5 5 2 3" xfId="12936" xr:uid="{6A39FE98-B0AC-4438-80B5-407D83E5CBF1}"/>
    <cellStyle name="Note 3 5 5 3" xfId="6570" xr:uid="{00000000-0005-0000-0000-0000FB210000}"/>
    <cellStyle name="Note 3 5 5 3 2" xfId="15009" xr:uid="{041319E9-D812-405A-97C8-2BF4C698C1BD}"/>
    <cellStyle name="Note 3 5 5 4" xfId="10791" xr:uid="{B5C76D34-3C69-4A04-A694-86AE79901B58}"/>
    <cellStyle name="Note 3 5 6" xfId="2699" xr:uid="{00000000-0005-0000-0000-0000FC210000}"/>
    <cellStyle name="Note 3 5 6 2" xfId="6983" xr:uid="{00000000-0005-0000-0000-0000FD210000}"/>
    <cellStyle name="Note 3 5 6 2 2" xfId="15422" xr:uid="{0FF9E1AA-BB69-4964-B450-9A763A1BE509}"/>
    <cellStyle name="Note 3 5 6 3" xfId="11204" xr:uid="{C2A0BB38-1E22-46DC-AB03-F7F6C2A7725B}"/>
    <cellStyle name="Note 3 5 7" xfId="2758" xr:uid="{00000000-0005-0000-0000-0000FE210000}"/>
    <cellStyle name="Note 3 5 8" xfId="2839" xr:uid="{00000000-0005-0000-0000-0000FF210000}"/>
    <cellStyle name="Note 3 5 8 2" xfId="7063" xr:uid="{00000000-0005-0000-0000-000000220000}"/>
    <cellStyle name="Note 3 5 8 2 2" xfId="15502" xr:uid="{5FB76C2E-1B46-44B5-ACC3-F26CB71D48F8}"/>
    <cellStyle name="Note 3 5 8 3" xfId="11284" xr:uid="{296DDD70-D9F7-46B0-937C-B9341579DCB1}"/>
    <cellStyle name="Note 3 5 9" xfId="4918" xr:uid="{00000000-0005-0000-0000-000001220000}"/>
    <cellStyle name="Note 3 5 9 2" xfId="13357" xr:uid="{CA4FE568-9805-4339-821B-6118E1556DE4}"/>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3DCCD0CC-3CD3-4ED7-9D54-89D2274ADAAE}"/>
    <cellStyle name="Percent 4" xfId="4502" xr:uid="{00000000-0005-0000-0000-000007220000}"/>
    <cellStyle name="Percent 4 2" xfId="8718" xr:uid="{00000000-0005-0000-0000-000008220000}"/>
    <cellStyle name="Percent 4 2 2" xfId="17157" xr:uid="{FF98F9D3-15CE-443A-A83B-78CB010F5CB5}"/>
    <cellStyle name="Percent 4 3" xfId="8721" xr:uid="{D09CD3FC-D632-4B66-A68A-5CC92F993799}"/>
    <cellStyle name="Percent 4 3 2" xfId="8725" xr:uid="{D57AE941-8E59-43F0-AB73-09B3BCCFA234}"/>
    <cellStyle name="Percent 4 3 2 2" xfId="17163" xr:uid="{7EBCB33F-1B8A-4A0D-8B9D-ABC16D3952B9}"/>
    <cellStyle name="Percent 4 3 3" xfId="17160" xr:uid="{3133C60B-6E4B-4EEB-A26C-5DA2437BDB4D}"/>
    <cellStyle name="Percent 4 4" xfId="12943" xr:uid="{7BD14B19-CD15-454C-BF94-EDFB622814E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52</xdr:row>
      <xdr:rowOff>0</xdr:rowOff>
    </xdr:from>
    <xdr:to>
      <xdr:col>0</xdr:col>
      <xdr:colOff>9525</xdr:colOff>
      <xdr:row>78</xdr:row>
      <xdr:rowOff>104775</xdr:rowOff>
    </xdr:to>
    <xdr:pic>
      <xdr:nvPicPr>
        <xdr:cNvPr id="10" name="Picture 1">
          <a:extLst>
            <a:ext uri="{FF2B5EF4-FFF2-40B4-BE49-F238E27FC236}">
              <a16:creationId xmlns:a16="http://schemas.microsoft.com/office/drawing/2014/main" id="{85FA2402-18C7-D392-E06C-D13FAD4064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724900"/>
          <a:ext cx="9525" cy="4314825"/>
        </a:xfrm>
        <a:prstGeom prst="rect">
          <a:avLst/>
        </a:prstGeom>
        <a:solidFill>
          <a:srgbClr val="FFFFFF"/>
        </a:solidFill>
        <a:ln w="9525">
          <a:solidFill>
            <a:srgbClr val="000000"/>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Dan.Schmidt@cushwake.com" TargetMode="External"/><Relationship Id="rId13"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hyperlink" Target="https://www.govtrack.us/congress/members/map" TargetMode="External"/><Relationship Id="rId12"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mmikl@charitieshousing.org" TargetMode="External"/><Relationship Id="rId11" Type="http://schemas.openxmlformats.org/officeDocument/2006/relationships/drawing" Target="../drawings/drawing2.xml"/><Relationship Id="rId5" Type="http://schemas.openxmlformats.org/officeDocument/2006/relationships/hyperlink" Target="mailto:jbillitteri@charitieshousing.org" TargetMode="External"/><Relationship Id="rId10"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hyperlink" Target="mailto:daniel.galleno@cushwake.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17" t="s">
        <v>0</v>
      </c>
      <c r="B1" s="1217"/>
      <c r="C1" s="1217"/>
      <c r="D1" s="1217"/>
      <c r="E1" s="1217"/>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row>
    <row r="2" spans="1:38" ht="13.5" thickBot="1">
      <c r="A2" s="1218"/>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row>
    <row r="3" spans="1:38" ht="13.5"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2"/>
    </row>
    <row r="8" spans="1:38">
      <c r="A8" s="143"/>
      <c r="B8" s="143"/>
      <c r="C8" s="14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2"/>
    </row>
    <row r="9" spans="1:38">
      <c r="A9" s="143"/>
      <c r="B9" s="143"/>
      <c r="C9" s="14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2"/>
    </row>
    <row r="12" spans="1:38">
      <c r="A12" s="143"/>
      <c r="B12" s="143"/>
      <c r="C12" s="14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2"/>
    </row>
    <row r="13" spans="1:38">
      <c r="A13" s="143"/>
      <c r="B13" s="143"/>
      <c r="C13" s="14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2"/>
    </row>
    <row r="14" spans="1:38" ht="13.35" customHeight="1">
      <c r="A14" s="143"/>
      <c r="B14" s="143"/>
      <c r="C14" s="14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2"/>
    </row>
    <row r="15" spans="1:38" ht="13.35" customHeight="1">
      <c r="A15" s="143"/>
      <c r="B15" s="143"/>
      <c r="C15" s="14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2"/>
    </row>
    <row r="16" spans="1:38">
      <c r="A16" s="143"/>
      <c r="B16" s="143"/>
      <c r="C16" s="144"/>
      <c r="D16" s="382"/>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3"/>
    </row>
    <row r="19" spans="1:38">
      <c r="A19" s="143"/>
      <c r="B19" s="143"/>
      <c r="C19" s="14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3"/>
    </row>
    <row r="20" spans="1:38">
      <c r="A20" s="143"/>
      <c r="B20" s="143"/>
      <c r="C20" s="14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3"/>
    </row>
    <row r="21" spans="1:38" ht="13.35" customHeight="1">
      <c r="A21" s="143"/>
      <c r="B21" s="143"/>
      <c r="C21" s="14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3"/>
    </row>
    <row r="22" spans="1:38">
      <c r="A22" s="143"/>
      <c r="B22" s="143"/>
      <c r="C22" s="14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3"/>
    </row>
    <row r="23" spans="1:38">
      <c r="A23" s="143"/>
      <c r="B23" s="143"/>
      <c r="C23" s="14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3"/>
    </row>
    <row r="24" spans="1:38">
      <c r="A24" s="143"/>
      <c r="B24" s="143"/>
      <c r="C24" s="14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3"/>
    </row>
    <row r="25" spans="1:38">
      <c r="A25" s="143"/>
      <c r="B25" s="143"/>
      <c r="C25" s="14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3"/>
    </row>
    <row r="26" spans="1:38">
      <c r="A26" s="143"/>
      <c r="B26" s="143"/>
      <c r="C26" s="14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3"/>
    </row>
    <row r="27" spans="1:38" ht="12" customHeight="1">
      <c r="A27" s="143"/>
      <c r="B27" s="143"/>
      <c r="C27" s="14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3"/>
    </row>
    <row r="28" spans="1:38" ht="13.35" customHeight="1">
      <c r="A28" s="143"/>
      <c r="B28" s="143"/>
      <c r="C28" s="14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3"/>
    </row>
    <row r="29" spans="1:38" ht="13.35" customHeight="1">
      <c r="A29" s="143"/>
      <c r="B29" s="143"/>
      <c r="C29" s="14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3"/>
    </row>
    <row r="30" spans="1:38">
      <c r="A30" s="143"/>
      <c r="B30" s="143"/>
      <c r="C30" s="144"/>
      <c r="D30" s="382"/>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3"/>
    </row>
    <row r="33" spans="1:38">
      <c r="A33" s="143"/>
      <c r="B33" s="143"/>
      <c r="C33" s="144"/>
      <c r="D33" s="382"/>
      <c r="E33" s="1226" t="s">
        <v>11</v>
      </c>
      <c r="F33" s="1227"/>
      <c r="G33" s="1227"/>
      <c r="H33" s="1227"/>
      <c r="I33" s="1227"/>
      <c r="J33" s="1227"/>
      <c r="K33" s="1227"/>
      <c r="L33" s="1227"/>
      <c r="M33" s="1227"/>
      <c r="N33" s="1227"/>
      <c r="O33" s="1227"/>
      <c r="P33" s="1227"/>
      <c r="Q33" s="1227"/>
      <c r="R33" s="1227"/>
      <c r="S33" s="1227"/>
      <c r="T33" s="1227"/>
      <c r="U33" s="1227"/>
      <c r="V33" s="1227"/>
      <c r="W33" s="1227"/>
      <c r="X33" s="1227"/>
      <c r="Y33" s="1227"/>
      <c r="Z33" s="1227"/>
      <c r="AA33" s="1227"/>
      <c r="AB33" s="1227"/>
      <c r="AC33" s="1227"/>
      <c r="AD33" s="1227"/>
      <c r="AE33" s="1227"/>
      <c r="AF33" s="1227"/>
      <c r="AG33" s="1227"/>
      <c r="AH33" s="1227"/>
      <c r="AI33" s="1227"/>
      <c r="AJ33" s="1227"/>
      <c r="AK33" s="1227"/>
      <c r="AL33" s="143"/>
    </row>
    <row r="34" spans="1:38">
      <c r="A34" s="3"/>
      <c r="C34" s="2"/>
    </row>
    <row r="35" spans="1:38">
      <c r="A35" s="3"/>
      <c r="D35" s="1220" t="s">
        <v>12</v>
      </c>
      <c r="E35" s="1220"/>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1220"/>
    </row>
    <row r="36" spans="1:38">
      <c r="A36" s="3"/>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row>
    <row r="37" spans="1:38">
      <c r="A37" s="3"/>
      <c r="D37" s="87"/>
      <c r="E37" s="1225" t="s">
        <v>13</v>
      </c>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row>
    <row r="38" spans="1:38">
      <c r="A38" s="3"/>
      <c r="D38" s="87"/>
      <c r="E38" s="1225" t="s">
        <v>14</v>
      </c>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35" customHeight="1">
      <c r="A42" s="3"/>
      <c r="B42"/>
      <c r="C42" s="2"/>
      <c r="D42" s="3"/>
      <c r="E42" s="3" t="s">
        <v>19</v>
      </c>
      <c r="F42" s="1219" t="s">
        <v>20</v>
      </c>
    </row>
    <row r="43" spans="1:38" s="1219"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3" t="s">
        <v>24</v>
      </c>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s="85" customFormat="1">
      <c r="A46" s="3"/>
      <c r="B46"/>
      <c r="C46" s="2"/>
      <c r="D46" s="3"/>
      <c r="E46" s="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1:38" s="85" customFormat="1" ht="13.35" customHeight="1">
      <c r="A47" s="3"/>
      <c r="B47"/>
      <c r="C47" s="2"/>
      <c r="D47" s="3"/>
      <c r="E47" s="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3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8" t="s">
        <v>61</v>
      </c>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c r="A91" s="3"/>
      <c r="C91" s="2"/>
      <c r="D91" s="3"/>
      <c r="E91" s="3"/>
      <c r="G91" s="1228"/>
      <c r="H91" s="1228"/>
      <c r="I91" s="1228"/>
      <c r="J91" s="1228"/>
      <c r="K91" s="1228"/>
      <c r="L91" s="1228"/>
      <c r="M91" s="1228"/>
      <c r="N91" s="1228"/>
      <c r="O91" s="1228"/>
      <c r="P91" s="1228"/>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row>
    <row r="92" spans="1:37">
      <c r="A92" s="3"/>
      <c r="C92" s="2"/>
      <c r="D92" s="3"/>
      <c r="E92" s="3"/>
      <c r="G92" s="1228"/>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c r="A100" s="3"/>
      <c r="D100" s="75"/>
      <c r="E100" s="1229" t="s">
        <v>68</v>
      </c>
      <c r="F100" s="1229"/>
      <c r="G100" s="1229"/>
      <c r="H100" s="1229"/>
      <c r="I100" s="1229"/>
      <c r="J100" s="1229"/>
      <c r="K100" s="1229"/>
      <c r="L100" s="1229"/>
      <c r="M100" s="1229"/>
      <c r="N100" s="1229"/>
      <c r="O100" s="1229"/>
      <c r="P100" s="1229"/>
      <c r="Q100" s="1229"/>
      <c r="R100" s="1229"/>
      <c r="S100" s="1229"/>
      <c r="T100" s="1229"/>
      <c r="U100" s="1229"/>
      <c r="V100" s="1229"/>
      <c r="W100" s="1229"/>
      <c r="X100" s="1229"/>
      <c r="Y100" s="1229"/>
      <c r="Z100" s="1229"/>
      <c r="AA100" s="1229"/>
      <c r="AB100" s="1229"/>
      <c r="AC100" s="1229"/>
      <c r="AD100" s="1229"/>
      <c r="AE100" s="1229"/>
      <c r="AF100" s="1229"/>
      <c r="AG100" s="1229"/>
      <c r="AH100" s="1229"/>
      <c r="AI100" s="1229"/>
      <c r="AJ100" s="1229"/>
      <c r="AK100" s="1229"/>
    </row>
    <row r="101" spans="1:38">
      <c r="A101" s="3"/>
      <c r="D101" s="75"/>
      <c r="E101" s="1229"/>
      <c r="F101" s="1229"/>
      <c r="G101" s="1229"/>
      <c r="H101" s="1229"/>
      <c r="I101" s="1229"/>
      <c r="J101" s="1229"/>
      <c r="K101" s="1229"/>
      <c r="L101" s="1229"/>
      <c r="M101" s="1229"/>
      <c r="N101" s="1229"/>
      <c r="O101" s="1229"/>
      <c r="P101" s="1229"/>
      <c r="Q101" s="1229"/>
      <c r="R101" s="1229"/>
      <c r="S101" s="1229"/>
      <c r="T101" s="1229"/>
      <c r="U101" s="1229"/>
      <c r="V101" s="1229"/>
      <c r="W101" s="1229"/>
      <c r="X101" s="1229"/>
      <c r="Y101" s="1229"/>
      <c r="Z101" s="1229"/>
      <c r="AA101" s="1229"/>
      <c r="AB101" s="1229"/>
      <c r="AC101" s="1229"/>
      <c r="AD101" s="1229"/>
      <c r="AE101" s="1229"/>
      <c r="AF101" s="1229"/>
      <c r="AG101" s="1229"/>
      <c r="AH101" s="1229"/>
      <c r="AI101" s="1229"/>
      <c r="AJ101" s="1229"/>
      <c r="AK101" s="122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2" t="s">
        <v>276</v>
      </c>
      <c r="F367" s="1222"/>
      <c r="G367" s="1222"/>
      <c r="H367" s="1222"/>
      <c r="I367" s="1222"/>
      <c r="J367" s="1222"/>
      <c r="K367" s="1222"/>
      <c r="L367" s="1222"/>
      <c r="M367" s="1222"/>
      <c r="N367" s="1222"/>
      <c r="O367" s="1222"/>
      <c r="P367" s="1222"/>
      <c r="Q367" s="1222"/>
      <c r="R367" s="1222"/>
      <c r="S367" s="1222"/>
      <c r="T367" s="1222"/>
      <c r="U367" s="1222"/>
      <c r="V367" s="1222"/>
      <c r="W367" s="1222"/>
      <c r="X367" s="1222"/>
      <c r="Y367" s="1222"/>
      <c r="Z367" s="1222"/>
      <c r="AA367" s="1222"/>
      <c r="AB367" s="1222"/>
      <c r="AC367" s="1222"/>
      <c r="AD367" s="1222"/>
      <c r="AE367" s="1222"/>
      <c r="AF367" s="1222"/>
      <c r="AG367" s="1222"/>
      <c r="AH367" s="1222"/>
      <c r="AI367" s="1222"/>
      <c r="AJ367" s="1222"/>
      <c r="AK367" s="1222"/>
      <c r="AL367" s="1222"/>
    </row>
    <row r="368" spans="1:38">
      <c r="B368" s="2"/>
      <c r="E368" s="1222"/>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c r="AI368" s="1222"/>
      <c r="AJ368" s="1222"/>
      <c r="AK368" s="1222"/>
      <c r="AL368" s="1222"/>
    </row>
    <row r="369" spans="1:37" s="1224" customFormat="1">
      <c r="A369"/>
      <c r="B369" s="2"/>
      <c r="C369"/>
      <c r="D369"/>
      <c r="E369" s="1223" t="s">
        <v>277</v>
      </c>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c r="AI369" s="1223"/>
      <c r="AJ369" s="1223"/>
      <c r="AK369" s="1223"/>
    </row>
    <row r="370" spans="1:37" s="1224" customFormat="1">
      <c r="A370"/>
      <c r="B370" s="2"/>
      <c r="C370" s="2"/>
      <c r="D370"/>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c r="AA370" s="1223"/>
      <c r="AB370" s="1223"/>
      <c r="AC370" s="1223"/>
      <c r="AD370" s="1223"/>
      <c r="AE370" s="1223"/>
      <c r="AF370" s="1223"/>
      <c r="AG370" s="1223"/>
      <c r="AH370" s="1223"/>
      <c r="AI370" s="1223"/>
      <c r="AJ370" s="1223"/>
      <c r="AK370" s="1223"/>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T91" sqref="BT91"/>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94" t="s">
        <v>2469</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c r="AD1" s="2395"/>
      <c r="AE1" s="2395"/>
      <c r="AF1" s="2395"/>
      <c r="AG1" s="2395"/>
      <c r="AH1" s="2395"/>
      <c r="AI1" s="2395"/>
      <c r="AJ1" s="2395"/>
      <c r="AK1" s="2395"/>
      <c r="AL1" s="2395"/>
      <c r="AM1" s="2395"/>
      <c r="AN1" s="2395"/>
      <c r="AO1" s="2395"/>
      <c r="AP1" s="2395"/>
      <c r="AQ1" s="2395"/>
      <c r="AR1" s="2395"/>
      <c r="AS1" s="2395"/>
      <c r="AT1" s="2395"/>
      <c r="AU1" s="2395"/>
      <c r="AV1" s="2395"/>
      <c r="AW1" s="2395"/>
      <c r="AX1" s="2395"/>
      <c r="AY1" s="2395"/>
      <c r="AZ1" s="2395"/>
      <c r="BA1" s="2395"/>
      <c r="BB1" s="2395"/>
      <c r="BC1" s="2395"/>
      <c r="BD1" s="2395"/>
      <c r="BE1" s="2396"/>
    </row>
    <row r="2" spans="1:65" ht="15.75" customHeight="1">
      <c r="A2" s="2397" t="s">
        <v>2470</v>
      </c>
      <c r="B2" s="2398"/>
      <c r="C2" s="2398"/>
      <c r="D2" s="2398"/>
      <c r="E2" s="2398"/>
      <c r="F2" s="2398"/>
      <c r="G2" s="2398"/>
      <c r="H2" s="2398"/>
      <c r="I2" s="2398"/>
      <c r="J2" s="2398"/>
      <c r="K2" s="2398"/>
      <c r="L2" s="2398"/>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398"/>
      <c r="AO2" s="2398"/>
      <c r="AP2" s="2398"/>
      <c r="AQ2" s="2398"/>
      <c r="AR2" s="2398"/>
      <c r="AS2" s="2398"/>
      <c r="AT2" s="2398"/>
      <c r="AU2" s="2398"/>
      <c r="AV2" s="2398"/>
      <c r="AW2" s="2398"/>
      <c r="AX2" s="2398"/>
      <c r="AY2" s="2398"/>
      <c r="AZ2" s="2398"/>
      <c r="BA2" s="2398"/>
      <c r="BB2" s="2398"/>
      <c r="BC2" s="2398"/>
      <c r="BD2" s="2398"/>
      <c r="BE2" s="2399"/>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86" t="str">
        <f>IF(Application!H18="","",Application!H18)</f>
        <v>Montecito Multifamily</v>
      </c>
      <c r="M4" s="2387"/>
      <c r="N4" s="2387"/>
      <c r="O4" s="2387"/>
      <c r="P4" s="2387"/>
      <c r="Q4" s="2387"/>
      <c r="R4" s="2387"/>
      <c r="S4" s="2387"/>
      <c r="T4" s="2387"/>
      <c r="U4" s="2387"/>
      <c r="V4" s="2387"/>
      <c r="W4" s="2387"/>
      <c r="X4" s="2387"/>
      <c r="Y4" s="2387"/>
      <c r="Z4" s="2387"/>
      <c r="AA4" s="2387"/>
      <c r="AB4" s="2387"/>
      <c r="AC4" s="2388"/>
      <c r="AD4" s="1086"/>
      <c r="AE4" s="1086"/>
      <c r="AF4" s="2400" t="s">
        <v>2471</v>
      </c>
      <c r="AG4" s="2400"/>
      <c r="AH4" s="2400"/>
      <c r="AI4" s="2400"/>
      <c r="AJ4" s="2400"/>
      <c r="AK4" s="2400"/>
      <c r="AL4" s="2400"/>
      <c r="AM4" s="2400"/>
      <c r="AN4" s="2400"/>
      <c r="AO4" s="2400"/>
      <c r="AP4" s="2401"/>
      <c r="AQ4" s="2402"/>
      <c r="AR4" s="2402"/>
      <c r="AS4" s="2402"/>
      <c r="AT4" s="2402"/>
      <c r="AU4" s="2402"/>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400" t="s">
        <v>2472</v>
      </c>
      <c r="AG5" s="2400"/>
      <c r="AH5" s="2400"/>
      <c r="AI5" s="2400"/>
      <c r="AJ5" s="2400"/>
      <c r="AK5" s="2400"/>
      <c r="AL5" s="2400"/>
      <c r="AM5" s="2400"/>
      <c r="AN5" s="2400"/>
      <c r="AO5" s="2400"/>
      <c r="AP5" s="2401"/>
      <c r="AQ5" s="2402"/>
      <c r="AR5" s="2402"/>
      <c r="AS5" s="2402"/>
      <c r="AT5" s="2402"/>
      <c r="AU5" s="2402"/>
      <c r="AV5" s="1086"/>
      <c r="AW5" s="1086"/>
      <c r="AX5" s="1086"/>
      <c r="AY5" s="1086"/>
      <c r="AZ5" s="1086"/>
      <c r="BA5" s="1086"/>
      <c r="BB5" s="1086"/>
      <c r="BC5" s="1086"/>
      <c r="BD5" s="1086"/>
      <c r="BE5" s="1087"/>
    </row>
    <row r="6" spans="1:65" ht="15.75" customHeight="1" thickBot="1">
      <c r="A6" s="1085"/>
      <c r="B6" s="1088" t="s">
        <v>2473</v>
      </c>
      <c r="C6" s="1086"/>
      <c r="D6" s="1086"/>
      <c r="E6" s="1086"/>
      <c r="F6" s="1086"/>
      <c r="G6" s="1086"/>
      <c r="H6" s="1086"/>
      <c r="I6" s="1086"/>
      <c r="J6" s="1086"/>
      <c r="K6" s="1086"/>
      <c r="L6" s="2386" t="str">
        <f>IF(Application!H16="","",Application!H16)</f>
        <v>Charities Housing Development Corporation of Santa Clara County</v>
      </c>
      <c r="M6" s="2387"/>
      <c r="N6" s="2387"/>
      <c r="O6" s="2387"/>
      <c r="P6" s="2387"/>
      <c r="Q6" s="2387"/>
      <c r="R6" s="2387"/>
      <c r="S6" s="2387"/>
      <c r="T6" s="2387"/>
      <c r="U6" s="2387"/>
      <c r="V6" s="2387"/>
      <c r="W6" s="2387"/>
      <c r="X6" s="2387"/>
      <c r="Y6" s="2387"/>
      <c r="Z6" s="2387"/>
      <c r="AA6" s="2387"/>
      <c r="AB6" s="2387"/>
      <c r="AC6" s="2388"/>
      <c r="AD6" s="1086"/>
      <c r="AE6" s="1086"/>
      <c r="AF6" s="2389" t="s">
        <v>2474</v>
      </c>
      <c r="AG6" s="2389"/>
      <c r="AH6" s="2389"/>
      <c r="AI6" s="2389"/>
      <c r="AJ6" s="2389"/>
      <c r="AK6" s="2389"/>
      <c r="AL6" s="2389"/>
      <c r="AM6" s="2389"/>
      <c r="AN6" s="2389"/>
      <c r="AO6" s="2389"/>
      <c r="AP6" s="2390">
        <v>0</v>
      </c>
      <c r="AQ6" s="2390"/>
      <c r="AR6" s="2390"/>
      <c r="AS6" s="2390"/>
      <c r="AT6" s="2390"/>
      <c r="AU6" s="2390"/>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89" t="s">
        <v>2475</v>
      </c>
      <c r="AG7" s="2389"/>
      <c r="AH7" s="2389"/>
      <c r="AI7" s="2389"/>
      <c r="AJ7" s="2389"/>
      <c r="AK7" s="2389"/>
      <c r="AL7" s="2389"/>
      <c r="AM7" s="2389"/>
      <c r="AN7" s="2389"/>
      <c r="AO7" s="2389"/>
      <c r="AP7" s="2390">
        <v>0</v>
      </c>
      <c r="AQ7" s="2390"/>
      <c r="AR7" s="2390"/>
      <c r="AS7" s="2390"/>
      <c r="AT7" s="2390"/>
      <c r="AU7" s="2390"/>
      <c r="AV7" s="1086"/>
      <c r="AW7" s="1086"/>
      <c r="AX7" s="1086"/>
      <c r="AY7" s="1086"/>
      <c r="AZ7" s="1086"/>
      <c r="BA7" s="1086"/>
      <c r="BB7" s="1086"/>
      <c r="BC7" s="1086"/>
      <c r="BD7" s="1086"/>
      <c r="BE7" s="1087"/>
    </row>
    <row r="8" spans="1:65" thickBot="1">
      <c r="A8" s="1085"/>
      <c r="B8" s="1088" t="s">
        <v>2476</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91" t="str">
        <f>Application!T196</f>
        <v>No</v>
      </c>
      <c r="AC8" s="2392"/>
      <c r="AD8" s="2393"/>
      <c r="AE8" s="1086"/>
      <c r="AF8" s="2389" t="s">
        <v>2477</v>
      </c>
      <c r="AG8" s="2389"/>
      <c r="AH8" s="2389"/>
      <c r="AI8" s="2389"/>
      <c r="AJ8" s="2389"/>
      <c r="AK8" s="2389"/>
      <c r="AL8" s="2389"/>
      <c r="AM8" s="2389"/>
      <c r="AN8" s="2389"/>
      <c r="AO8" s="2389"/>
      <c r="AP8" s="2390" t="s">
        <v>1274</v>
      </c>
      <c r="AQ8" s="2390"/>
      <c r="AR8" s="2390"/>
      <c r="AS8" s="2390"/>
      <c r="AT8" s="2390"/>
      <c r="AU8" s="2390"/>
      <c r="AV8" s="1086"/>
      <c r="AW8" s="1086"/>
      <c r="AX8" s="1086"/>
      <c r="AY8" s="1086"/>
      <c r="AZ8" s="1086"/>
      <c r="BA8" s="1086"/>
      <c r="BB8" s="1086"/>
      <c r="BC8" s="1086"/>
      <c r="BD8" s="1086"/>
      <c r="BE8" s="1087"/>
      <c r="BM8" s="1083" t="s">
        <v>2405</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2478</v>
      </c>
    </row>
    <row r="10" spans="1:65" ht="15">
      <c r="A10" s="1085"/>
      <c r="B10" s="1088" t="s">
        <v>2479</v>
      </c>
      <c r="C10" s="1088"/>
      <c r="D10" s="1088"/>
      <c r="E10" s="1088"/>
      <c r="F10" s="1088"/>
      <c r="G10" s="1088"/>
      <c r="H10" s="1088"/>
      <c r="I10" s="1088"/>
      <c r="J10" s="1088"/>
      <c r="K10" s="1088"/>
      <c r="L10" s="1088"/>
      <c r="M10" s="1086"/>
      <c r="N10" s="2382">
        <f>Application!AO623</f>
        <v>14743000</v>
      </c>
      <c r="O10" s="2382"/>
      <c r="P10" s="2382"/>
      <c r="Q10" s="2382"/>
      <c r="R10" s="2382"/>
      <c r="S10" s="2382"/>
      <c r="T10" s="2382"/>
      <c r="U10" s="1086"/>
      <c r="V10" s="1086"/>
      <c r="W10" s="1086"/>
      <c r="X10" s="2368" t="s">
        <v>2480</v>
      </c>
      <c r="Y10" s="2368"/>
      <c r="Z10" s="2368"/>
      <c r="AA10" s="2368"/>
      <c r="AB10" s="2368"/>
      <c r="AC10" s="2368"/>
      <c r="AD10" s="2368"/>
      <c r="AE10" s="2368"/>
      <c r="AF10" s="2368"/>
      <c r="AG10" s="2368"/>
      <c r="AH10" s="2368"/>
      <c r="AI10" s="2368"/>
      <c r="AJ10" s="2368"/>
      <c r="AK10" s="2368"/>
      <c r="AL10" s="2383">
        <f>Application!W471</f>
        <v>22</v>
      </c>
      <c r="AM10" s="2384"/>
      <c r="AN10" s="2384"/>
      <c r="AO10" s="2384"/>
      <c r="AP10" s="2384"/>
      <c r="AQ10" s="1089"/>
      <c r="AR10" s="1089"/>
      <c r="AS10" s="1089"/>
      <c r="AT10" s="1089"/>
      <c r="AU10" s="1089"/>
      <c r="AV10" s="1089"/>
      <c r="AW10" s="1089"/>
      <c r="AX10" s="1086"/>
      <c r="AY10" s="1086"/>
      <c r="AZ10" s="1086"/>
      <c r="BA10" s="1086"/>
      <c r="BB10" s="1086"/>
      <c r="BC10" s="1086"/>
      <c r="BD10" s="1086"/>
      <c r="BE10" s="1087"/>
      <c r="BM10" s="1083" t="s">
        <v>2481</v>
      </c>
    </row>
    <row r="11" spans="1:65" ht="15">
      <c r="A11" s="1085"/>
      <c r="B11" s="1088" t="s">
        <v>2482</v>
      </c>
      <c r="C11" s="1088"/>
      <c r="D11" s="1088"/>
      <c r="E11" s="1088"/>
      <c r="F11" s="1088"/>
      <c r="G11" s="1088"/>
      <c r="H11" s="1088"/>
      <c r="I11" s="1088"/>
      <c r="J11" s="1088"/>
      <c r="K11" s="1088"/>
      <c r="L11" s="1088"/>
      <c r="M11" s="1086"/>
      <c r="N11" s="2382">
        <f>Application!AA911</f>
        <v>0</v>
      </c>
      <c r="O11" s="2382"/>
      <c r="P11" s="2382"/>
      <c r="Q11" s="2382"/>
      <c r="R11" s="2382"/>
      <c r="S11" s="2382"/>
      <c r="T11" s="2382"/>
      <c r="U11" s="1086"/>
      <c r="V11" s="1086"/>
      <c r="W11" s="1086"/>
      <c r="X11" s="2385" t="s">
        <v>2483</v>
      </c>
      <c r="Y11" s="2385"/>
      <c r="Z11" s="2385"/>
      <c r="AA11" s="2385"/>
      <c r="AB11" s="2385"/>
      <c r="AC11" s="2385"/>
      <c r="AD11" s="2385"/>
      <c r="AE11" s="2385"/>
      <c r="AF11" s="2385"/>
      <c r="AG11" s="2385"/>
      <c r="AH11" s="2385"/>
      <c r="AI11" s="2385"/>
      <c r="AJ11" s="2385"/>
      <c r="AK11" s="2385"/>
      <c r="AL11" s="2369"/>
      <c r="AM11" s="2370"/>
      <c r="AN11" s="2370"/>
      <c r="AO11" s="2370"/>
      <c r="AP11" s="2370"/>
      <c r="AQ11" s="1090"/>
      <c r="AR11" s="1091"/>
      <c r="AS11" s="1089"/>
      <c r="AT11" s="1089"/>
      <c r="AU11" s="1089"/>
      <c r="AV11" s="1089"/>
      <c r="AW11" s="1089"/>
      <c r="AX11" s="1086"/>
      <c r="AY11" s="1086"/>
      <c r="AZ11" s="1086"/>
      <c r="BA11" s="1086"/>
      <c r="BB11" s="1086"/>
      <c r="BC11" s="1086"/>
      <c r="BD11" s="1086"/>
      <c r="BE11" s="1087"/>
      <c r="BM11" s="1083" t="s">
        <v>1274</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68" t="s">
        <v>2484</v>
      </c>
      <c r="Y12" s="2368"/>
      <c r="Z12" s="2368"/>
      <c r="AA12" s="2368"/>
      <c r="AB12" s="2368"/>
      <c r="AC12" s="2368"/>
      <c r="AD12" s="2368"/>
      <c r="AE12" s="2368"/>
      <c r="AF12" s="2368"/>
      <c r="AG12" s="2368"/>
      <c r="AH12" s="2368"/>
      <c r="AI12" s="2368"/>
      <c r="AJ12" s="2368"/>
      <c r="AK12" s="2368"/>
      <c r="AL12" s="2369"/>
      <c r="AM12" s="2370"/>
      <c r="AN12" s="2370"/>
      <c r="AO12" s="2370"/>
      <c r="AP12" s="2370"/>
      <c r="AQ12" s="1089"/>
      <c r="AR12" s="1089"/>
      <c r="AS12" s="1089"/>
      <c r="AT12" s="1089"/>
      <c r="AU12" s="1089"/>
      <c r="AV12" s="1086"/>
      <c r="AW12" s="1086"/>
      <c r="AX12" s="1086"/>
      <c r="AY12" s="1086"/>
      <c r="AZ12" s="1086"/>
      <c r="BA12" s="1086"/>
      <c r="BB12" s="1086"/>
      <c r="BC12" s="1086"/>
      <c r="BD12" s="1086"/>
      <c r="BE12" s="1092"/>
      <c r="BM12" s="1083" t="s">
        <v>2485</v>
      </c>
    </row>
    <row r="13" spans="1:65" thickBot="1">
      <c r="A13" s="1086"/>
      <c r="B13" s="2371" t="s">
        <v>2486</v>
      </c>
      <c r="C13" s="2372"/>
      <c r="D13" s="2372"/>
      <c r="E13" s="2372"/>
      <c r="F13" s="2372"/>
      <c r="G13" s="2372"/>
      <c r="H13" s="2372"/>
      <c r="I13" s="2372"/>
      <c r="J13" s="2372"/>
      <c r="K13" s="2372"/>
      <c r="L13" s="2372"/>
      <c r="M13" s="2372"/>
      <c r="N13" s="2372"/>
      <c r="O13" s="2372"/>
      <c r="P13" s="2373"/>
      <c r="Q13" s="2374" t="s">
        <v>837</v>
      </c>
      <c r="R13" s="2375"/>
      <c r="S13" s="2375"/>
      <c r="T13" s="2376"/>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2487</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377" t="s">
        <v>2488</v>
      </c>
      <c r="C15" s="2378"/>
      <c r="D15" s="2378"/>
      <c r="E15" s="2378"/>
      <c r="F15" s="2378"/>
      <c r="G15" s="2378"/>
      <c r="H15" s="2378"/>
      <c r="I15" s="2378"/>
      <c r="J15" s="2378"/>
      <c r="K15" s="2378"/>
      <c r="L15" s="2378"/>
      <c r="M15" s="2378"/>
      <c r="N15" s="2378"/>
      <c r="O15" s="2378"/>
      <c r="P15" s="2378"/>
      <c r="Q15" s="2378"/>
      <c r="R15" s="2379"/>
      <c r="S15" s="2380" t="str">
        <f>IF(Application!AB214="","",Application!AB214)</f>
        <v/>
      </c>
      <c r="T15" s="2380"/>
      <c r="U15" s="2380"/>
      <c r="V15" s="2380"/>
      <c r="W15" s="2381"/>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232" t="s">
        <v>2489</v>
      </c>
      <c r="C17" s="2233"/>
      <c r="D17" s="2233"/>
      <c r="E17" s="2233"/>
      <c r="F17" s="2233"/>
      <c r="G17" s="2233"/>
      <c r="H17" s="2233"/>
      <c r="I17" s="2233"/>
      <c r="J17" s="2233"/>
      <c r="K17" s="2233"/>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c r="AS17" s="2233"/>
      <c r="AT17" s="2233"/>
      <c r="AU17" s="2233"/>
      <c r="AV17" s="2233"/>
      <c r="AW17" s="2233"/>
      <c r="AX17" s="2233"/>
      <c r="AY17" s="2234"/>
      <c r="AZ17" s="1086"/>
      <c r="BA17" s="1086"/>
      <c r="BB17" s="1086"/>
      <c r="BC17" s="1086"/>
      <c r="BD17" s="1086"/>
      <c r="BE17" s="1092"/>
      <c r="BF17" s="1084"/>
    </row>
    <row r="18" spans="1:58" ht="15.75" customHeight="1">
      <c r="A18" s="1086"/>
      <c r="B18" s="2361" t="s">
        <v>2490</v>
      </c>
      <c r="C18" s="2362"/>
      <c r="D18" s="2362"/>
      <c r="E18" s="2362"/>
      <c r="F18" s="2362"/>
      <c r="G18" s="2362"/>
      <c r="H18" s="2362"/>
      <c r="I18" s="2363"/>
      <c r="J18" s="2364" t="s">
        <v>2423</v>
      </c>
      <c r="K18" s="2365"/>
      <c r="L18" s="2365"/>
      <c r="M18" s="2365"/>
      <c r="N18" s="2365"/>
      <c r="O18" s="2366"/>
      <c r="P18" s="2364" t="s">
        <v>1511</v>
      </c>
      <c r="Q18" s="2365"/>
      <c r="R18" s="2365"/>
      <c r="S18" s="2365"/>
      <c r="T18" s="2365"/>
      <c r="U18" s="2366"/>
      <c r="V18" s="2364" t="s">
        <v>1515</v>
      </c>
      <c r="W18" s="2365"/>
      <c r="X18" s="2365"/>
      <c r="Y18" s="2365"/>
      <c r="Z18" s="2365"/>
      <c r="AA18" s="2366"/>
      <c r="AB18" s="2364" t="s">
        <v>1516</v>
      </c>
      <c r="AC18" s="2365"/>
      <c r="AD18" s="2365"/>
      <c r="AE18" s="2365"/>
      <c r="AF18" s="2365"/>
      <c r="AG18" s="2366"/>
      <c r="AH18" s="2364" t="s">
        <v>1517</v>
      </c>
      <c r="AI18" s="2365"/>
      <c r="AJ18" s="2365"/>
      <c r="AK18" s="2365"/>
      <c r="AL18" s="2365"/>
      <c r="AM18" s="2366"/>
      <c r="AN18" s="2364" t="s">
        <v>1520</v>
      </c>
      <c r="AO18" s="2365"/>
      <c r="AP18" s="2365"/>
      <c r="AQ18" s="2365"/>
      <c r="AR18" s="2365"/>
      <c r="AS18" s="2366"/>
      <c r="AT18" s="2364" t="s">
        <v>2491</v>
      </c>
      <c r="AU18" s="2365"/>
      <c r="AV18" s="2365"/>
      <c r="AW18" s="2365"/>
      <c r="AX18" s="2365"/>
      <c r="AY18" s="2367"/>
      <c r="AZ18" s="1086"/>
      <c r="BA18" s="1086"/>
      <c r="BB18" s="1086"/>
      <c r="BC18" s="1086"/>
      <c r="BD18" s="1086"/>
      <c r="BE18" s="1092"/>
    </row>
    <row r="19" spans="1:58" ht="15">
      <c r="A19" s="1086"/>
      <c r="B19" s="2358">
        <v>0.3</v>
      </c>
      <c r="C19" s="2359"/>
      <c r="D19" s="2359"/>
      <c r="E19" s="2359"/>
      <c r="F19" s="2359"/>
      <c r="G19" s="2359"/>
      <c r="H19" s="2359"/>
      <c r="I19" s="2360"/>
      <c r="J19" s="2343">
        <f>SUM(P19:AS19)</f>
        <v>42</v>
      </c>
      <c r="K19" s="2344"/>
      <c r="L19" s="2344"/>
      <c r="M19" s="2344"/>
      <c r="N19" s="2344"/>
      <c r="O19" s="2345"/>
      <c r="P19" s="2343" cm="1">
        <f t="array" ref="P19">SUMPRODUCT((Application!$B$714:$B$738 = 'CalHFA Addendum'!P$18)*(Application!$AC$714:$AC$738 = 'CalHFA Addendum'!$B19),Application!$G$714:$G$738)</f>
        <v>21</v>
      </c>
      <c r="Q19" s="2344"/>
      <c r="R19" s="2344"/>
      <c r="S19" s="2344"/>
      <c r="T19" s="2344"/>
      <c r="U19" s="2345"/>
      <c r="V19" s="2343" cm="1">
        <f t="array" ref="V19">SUMPRODUCT((Application!$B$714:$B$738 = 'CalHFA Addendum'!V$18)*(Application!$AC$714:$AC$738 = 'CalHFA Addendum'!$B19),Application!$G$714:$G$738)</f>
        <v>10</v>
      </c>
      <c r="W19" s="2344"/>
      <c r="X19" s="2344"/>
      <c r="Y19" s="2344"/>
      <c r="Z19" s="2344"/>
      <c r="AA19" s="2345"/>
      <c r="AB19" s="2343" cm="1">
        <f t="array" ref="AB19">SUMPRODUCT((Application!$B$714:$B$738 = 'CalHFA Addendum'!AB$18)*(Application!$AC$714:$AC$738 = 'CalHFA Addendum'!$B19),Application!$G$714:$G$738)</f>
        <v>9</v>
      </c>
      <c r="AC19" s="2344"/>
      <c r="AD19" s="2344"/>
      <c r="AE19" s="2344"/>
      <c r="AF19" s="2344"/>
      <c r="AG19" s="2345"/>
      <c r="AH19" s="2343" cm="1">
        <f t="array" ref="AH19">SUMPRODUCT((Application!$B$714:$B$738 = 'CalHFA Addendum'!AH$18)*(Application!$AC$714:$AC$738 = 'CalHFA Addendum'!$B19),Application!$G$714:$G$738)</f>
        <v>2</v>
      </c>
      <c r="AI19" s="2344"/>
      <c r="AJ19" s="2344"/>
      <c r="AK19" s="2344"/>
      <c r="AL19" s="2344"/>
      <c r="AM19" s="2345"/>
      <c r="AN19" s="2343" cm="1">
        <f t="array" ref="AN19">SUMPRODUCT((Application!$B$714:$B$738 = 'CalHFA Addendum'!AN$18)*(Application!$AC$714:$AC$738 = 'CalHFA Addendum'!$B19),Application!$G$714:$G$738)</f>
        <v>0</v>
      </c>
      <c r="AO19" s="2344"/>
      <c r="AP19" s="2344"/>
      <c r="AQ19" s="2344"/>
      <c r="AR19" s="2344"/>
      <c r="AS19" s="2345"/>
      <c r="AT19" s="2346">
        <f t="shared" ref="AT19:AT28" si="0">J19/$J$29</f>
        <v>0.49411764705882355</v>
      </c>
      <c r="AU19" s="2347"/>
      <c r="AV19" s="2347"/>
      <c r="AW19" s="2347"/>
      <c r="AX19" s="2347"/>
      <c r="AY19" s="2348"/>
      <c r="AZ19" s="1093"/>
      <c r="BA19" s="1086"/>
      <c r="BB19" s="1086"/>
      <c r="BC19" s="1086"/>
      <c r="BD19" s="1086"/>
      <c r="BE19" s="1092"/>
    </row>
    <row r="20" spans="1:58" ht="15" customHeight="1">
      <c r="A20" s="1086"/>
      <c r="B20" s="2358">
        <v>0.4</v>
      </c>
      <c r="C20" s="2359"/>
      <c r="D20" s="2359"/>
      <c r="E20" s="2359"/>
      <c r="F20" s="2359"/>
      <c r="G20" s="2359"/>
      <c r="H20" s="2359"/>
      <c r="I20" s="2360"/>
      <c r="J20" s="2343">
        <f t="shared" ref="J20:J28" si="1">SUM(P20:AS20)</f>
        <v>0</v>
      </c>
      <c r="K20" s="2344"/>
      <c r="L20" s="2344"/>
      <c r="M20" s="2344"/>
      <c r="N20" s="2344"/>
      <c r="O20" s="2345"/>
      <c r="P20" s="2343" cm="1">
        <f t="array" ref="P20">SUMPRODUCT((Application!$B$714:$B$738 = 'CalHFA Addendum'!P$18)*(Application!$AC$714:$AC$738 = 'CalHFA Addendum'!$B20),Application!$G$714:$G$738)</f>
        <v>0</v>
      </c>
      <c r="Q20" s="2344"/>
      <c r="R20" s="2344"/>
      <c r="S20" s="2344"/>
      <c r="T20" s="2344"/>
      <c r="U20" s="2345"/>
      <c r="V20" s="2343" cm="1">
        <f t="array" ref="V20">SUMPRODUCT((Application!$B$714:$B$738 = 'CalHFA Addendum'!V$18)*(Application!$AC$714:$AC$738 = 'CalHFA Addendum'!$B20),Application!$G$714:$G$738)</f>
        <v>0</v>
      </c>
      <c r="W20" s="2344"/>
      <c r="X20" s="2344"/>
      <c r="Y20" s="2344"/>
      <c r="Z20" s="2344"/>
      <c r="AA20" s="2345"/>
      <c r="AB20" s="2343" cm="1">
        <f t="array" ref="AB20">SUMPRODUCT((Application!$B$714:$B$738 = 'CalHFA Addendum'!AB$18)*(Application!$AC$714:$AC$738 = 'CalHFA Addendum'!$B20),Application!$G$714:$G$738)</f>
        <v>0</v>
      </c>
      <c r="AC20" s="2344"/>
      <c r="AD20" s="2344"/>
      <c r="AE20" s="2344"/>
      <c r="AF20" s="2344"/>
      <c r="AG20" s="2345"/>
      <c r="AH20" s="2343" cm="1">
        <f t="array" ref="AH20">SUMPRODUCT((Application!$B$714:$B$738 = 'CalHFA Addendum'!AH$18)*(Application!$AC$714:$AC$738 = 'CalHFA Addendum'!$B20),Application!$G$714:$G$738)</f>
        <v>0</v>
      </c>
      <c r="AI20" s="2344"/>
      <c r="AJ20" s="2344"/>
      <c r="AK20" s="2344"/>
      <c r="AL20" s="2344"/>
      <c r="AM20" s="2345"/>
      <c r="AN20" s="2343" cm="1">
        <f t="array" ref="AN20">SUMPRODUCT((Application!$B$714:$B$738 = 'CalHFA Addendum'!AN$18)*(Application!$AC$714:$AC$738 = 'CalHFA Addendum'!$B20),Application!$G$714:$G$738)</f>
        <v>0</v>
      </c>
      <c r="AO20" s="2344"/>
      <c r="AP20" s="2344"/>
      <c r="AQ20" s="2344"/>
      <c r="AR20" s="2344"/>
      <c r="AS20" s="2345"/>
      <c r="AT20" s="2346">
        <f t="shared" si="0"/>
        <v>0</v>
      </c>
      <c r="AU20" s="2347"/>
      <c r="AV20" s="2347"/>
      <c r="AW20" s="2347"/>
      <c r="AX20" s="2347"/>
      <c r="AY20" s="2348"/>
      <c r="AZ20" s="1086"/>
      <c r="BA20" s="1086"/>
      <c r="BB20" s="1086"/>
      <c r="BC20" s="1086"/>
      <c r="BD20" s="1086"/>
      <c r="BE20" s="1092"/>
    </row>
    <row r="21" spans="1:58" ht="15">
      <c r="A21" s="1086"/>
      <c r="B21" s="2358">
        <v>0.5</v>
      </c>
      <c r="C21" s="2359"/>
      <c r="D21" s="2359"/>
      <c r="E21" s="2359"/>
      <c r="F21" s="2359"/>
      <c r="G21" s="2359"/>
      <c r="H21" s="2359"/>
      <c r="I21" s="2360"/>
      <c r="J21" s="2343">
        <f t="shared" si="1"/>
        <v>42</v>
      </c>
      <c r="K21" s="2344"/>
      <c r="L21" s="2344"/>
      <c r="M21" s="2344"/>
      <c r="N21" s="2344"/>
      <c r="O21" s="2345"/>
      <c r="P21" s="2343" cm="1">
        <f t="array" ref="P21">SUMPRODUCT((Application!$B$714:$B$738 = 'CalHFA Addendum'!P$18)*(Application!$AC$714:$AC$738 = 'CalHFA Addendum'!$B21),Application!$G$714:$G$738)</f>
        <v>3</v>
      </c>
      <c r="Q21" s="2344"/>
      <c r="R21" s="2344"/>
      <c r="S21" s="2344"/>
      <c r="T21" s="2344"/>
      <c r="U21" s="2345"/>
      <c r="V21" s="2343" cm="1">
        <f t="array" ref="V21">SUMPRODUCT((Application!$B$714:$B$738 = 'CalHFA Addendum'!V$18)*(Application!$AC$714:$AC$738 = 'CalHFA Addendum'!$B21),Application!$G$714:$G$738)</f>
        <v>8</v>
      </c>
      <c r="W21" s="2344"/>
      <c r="X21" s="2344"/>
      <c r="Y21" s="2344"/>
      <c r="Z21" s="2344"/>
      <c r="AA21" s="2345"/>
      <c r="AB21" s="2343" cm="1">
        <f t="array" ref="AB21">SUMPRODUCT((Application!$B$714:$B$738 = 'CalHFA Addendum'!AB$18)*(Application!$AC$714:$AC$738 = 'CalHFA Addendum'!$B21),Application!$G$714:$G$738)</f>
        <v>12</v>
      </c>
      <c r="AC21" s="2344"/>
      <c r="AD21" s="2344"/>
      <c r="AE21" s="2344"/>
      <c r="AF21" s="2344"/>
      <c r="AG21" s="2345"/>
      <c r="AH21" s="2343" cm="1">
        <f t="array" ref="AH21">SUMPRODUCT((Application!$B$714:$B$738 = 'CalHFA Addendum'!AH$18)*(Application!$AC$714:$AC$738 = 'CalHFA Addendum'!$B21),Application!$G$714:$G$738)</f>
        <v>19</v>
      </c>
      <c r="AI21" s="2344"/>
      <c r="AJ21" s="2344"/>
      <c r="AK21" s="2344"/>
      <c r="AL21" s="2344"/>
      <c r="AM21" s="2345"/>
      <c r="AN21" s="2343" cm="1">
        <f t="array" ref="AN21">SUMPRODUCT((Application!$B$714:$B$738 = 'CalHFA Addendum'!AN$18)*(Application!$AC$714:$AC$738 = 'CalHFA Addendum'!$B21),Application!$G$714:$G$738)</f>
        <v>0</v>
      </c>
      <c r="AO21" s="2344"/>
      <c r="AP21" s="2344"/>
      <c r="AQ21" s="2344"/>
      <c r="AR21" s="2344"/>
      <c r="AS21" s="2345"/>
      <c r="AT21" s="2346">
        <f t="shared" si="0"/>
        <v>0.49411764705882355</v>
      </c>
      <c r="AU21" s="2347"/>
      <c r="AV21" s="2347"/>
      <c r="AW21" s="2347"/>
      <c r="AX21" s="2347"/>
      <c r="AY21" s="2348"/>
      <c r="AZ21" s="1086"/>
      <c r="BA21" s="1086"/>
      <c r="BB21" s="1086"/>
      <c r="BC21" s="1086"/>
      <c r="BD21" s="1086"/>
      <c r="BE21" s="1092"/>
    </row>
    <row r="22" spans="1:58" ht="15">
      <c r="A22" s="1086"/>
      <c r="B22" s="2358">
        <v>0.6</v>
      </c>
      <c r="C22" s="2359"/>
      <c r="D22" s="2359"/>
      <c r="E22" s="2359"/>
      <c r="F22" s="2359"/>
      <c r="G22" s="2359"/>
      <c r="H22" s="2359"/>
      <c r="I22" s="2360"/>
      <c r="J22" s="2343">
        <f t="shared" si="1"/>
        <v>0</v>
      </c>
      <c r="K22" s="2344"/>
      <c r="L22" s="2344"/>
      <c r="M22" s="2344"/>
      <c r="N22" s="2344"/>
      <c r="O22" s="2345"/>
      <c r="P22" s="2343" cm="1">
        <f t="array" ref="P22">SUMPRODUCT((Application!$B$714:$B$738 = 'CalHFA Addendum'!P$18)*(Application!$AC$714:$AC$738 = 'CalHFA Addendum'!$B22),Application!$G$714:$G$738)</f>
        <v>0</v>
      </c>
      <c r="Q22" s="2344"/>
      <c r="R22" s="2344"/>
      <c r="S22" s="2344"/>
      <c r="T22" s="2344"/>
      <c r="U22" s="2345"/>
      <c r="V22" s="2343" cm="1">
        <f t="array" ref="V22">SUMPRODUCT((Application!$B$714:$B$738 = 'CalHFA Addendum'!V$18)*(Application!$AC$714:$AC$738 = 'CalHFA Addendum'!$B22),Application!$G$714:$G$738)</f>
        <v>0</v>
      </c>
      <c r="W22" s="2344"/>
      <c r="X22" s="2344"/>
      <c r="Y22" s="2344"/>
      <c r="Z22" s="2344"/>
      <c r="AA22" s="2345"/>
      <c r="AB22" s="2343" cm="1">
        <f t="array" ref="AB22">SUMPRODUCT((Application!$B$714:$B$738 = 'CalHFA Addendum'!AB$18)*(Application!$AC$714:$AC$738 = 'CalHFA Addendum'!$B22),Application!$G$714:$G$738)</f>
        <v>0</v>
      </c>
      <c r="AC22" s="2344"/>
      <c r="AD22" s="2344"/>
      <c r="AE22" s="2344"/>
      <c r="AF22" s="2344"/>
      <c r="AG22" s="2345"/>
      <c r="AH22" s="2343" cm="1">
        <f t="array" ref="AH22">SUMPRODUCT((Application!$B$714:$B$738 = 'CalHFA Addendum'!AH$18)*(Application!$AC$714:$AC$738 = 'CalHFA Addendum'!$B22),Application!$G$714:$G$738)</f>
        <v>0</v>
      </c>
      <c r="AI22" s="2344"/>
      <c r="AJ22" s="2344"/>
      <c r="AK22" s="2344"/>
      <c r="AL22" s="2344"/>
      <c r="AM22" s="2345"/>
      <c r="AN22" s="2343" cm="1">
        <f t="array" ref="AN22">SUMPRODUCT((Application!$B$714:$B$738 = 'CalHFA Addendum'!AN$18)*(Application!$AC$714:$AC$738 = 'CalHFA Addendum'!$B22),Application!$G$714:$G$738)</f>
        <v>0</v>
      </c>
      <c r="AO22" s="2344"/>
      <c r="AP22" s="2344"/>
      <c r="AQ22" s="2344"/>
      <c r="AR22" s="2344"/>
      <c r="AS22" s="2345"/>
      <c r="AT22" s="2346">
        <f t="shared" si="0"/>
        <v>0</v>
      </c>
      <c r="AU22" s="2347"/>
      <c r="AV22" s="2347"/>
      <c r="AW22" s="2347"/>
      <c r="AX22" s="2347"/>
      <c r="AY22" s="2348"/>
      <c r="AZ22" s="1086"/>
      <c r="BA22" s="1086"/>
      <c r="BB22" s="1086"/>
      <c r="BC22" s="1086"/>
      <c r="BD22" s="1086"/>
      <c r="BE22" s="1092"/>
    </row>
    <row r="23" spans="1:58" ht="15">
      <c r="A23" s="1086"/>
      <c r="B23" s="2358">
        <v>0.7</v>
      </c>
      <c r="C23" s="2359"/>
      <c r="D23" s="2359"/>
      <c r="E23" s="2359"/>
      <c r="F23" s="2359"/>
      <c r="G23" s="2359"/>
      <c r="H23" s="2359"/>
      <c r="I23" s="2360"/>
      <c r="J23" s="2343">
        <f t="shared" si="1"/>
        <v>0</v>
      </c>
      <c r="K23" s="2344"/>
      <c r="L23" s="2344"/>
      <c r="M23" s="2344"/>
      <c r="N23" s="2344"/>
      <c r="O23" s="2345"/>
      <c r="P23" s="2343" cm="1">
        <f t="array" ref="P23">SUMPRODUCT((Application!$B$714:$B$738 = 'CalHFA Addendum'!P$18)*(Application!$AC$714:$AC$738 = 'CalHFA Addendum'!$B23),Application!$G$714:$G$738)</f>
        <v>0</v>
      </c>
      <c r="Q23" s="2344"/>
      <c r="R23" s="2344"/>
      <c r="S23" s="2344"/>
      <c r="T23" s="2344"/>
      <c r="U23" s="2345"/>
      <c r="V23" s="2343" cm="1">
        <f t="array" ref="V23">SUMPRODUCT((Application!$B$714:$B$738 = 'CalHFA Addendum'!V$18)*(Application!$AC$714:$AC$738 = 'CalHFA Addendum'!$B23),Application!$G$714:$G$738)</f>
        <v>0</v>
      </c>
      <c r="W23" s="2344"/>
      <c r="X23" s="2344"/>
      <c r="Y23" s="2344"/>
      <c r="Z23" s="2344"/>
      <c r="AA23" s="2345"/>
      <c r="AB23" s="2343" cm="1">
        <f t="array" ref="AB23">SUMPRODUCT((Application!$B$714:$B$738 = 'CalHFA Addendum'!AB$18)*(Application!$AC$714:$AC$738 = 'CalHFA Addendum'!$B23),Application!$G$714:$G$738)</f>
        <v>0</v>
      </c>
      <c r="AC23" s="2344"/>
      <c r="AD23" s="2344"/>
      <c r="AE23" s="2344"/>
      <c r="AF23" s="2344"/>
      <c r="AG23" s="2345"/>
      <c r="AH23" s="2343" cm="1">
        <f t="array" ref="AH23">SUMPRODUCT((Application!$B$714:$B$738 = 'CalHFA Addendum'!AH$18)*(Application!$AC$714:$AC$738 = 'CalHFA Addendum'!$B23),Application!$G$714:$G$738)</f>
        <v>0</v>
      </c>
      <c r="AI23" s="2344"/>
      <c r="AJ23" s="2344"/>
      <c r="AK23" s="2344"/>
      <c r="AL23" s="2344"/>
      <c r="AM23" s="2345"/>
      <c r="AN23" s="2343" cm="1">
        <f t="array" ref="AN23">SUMPRODUCT((Application!$B$714:$B$738 = 'CalHFA Addendum'!AN$18)*(Application!$AC$714:$AC$738 = 'CalHFA Addendum'!$B23),Application!$G$714:$G$738)</f>
        <v>0</v>
      </c>
      <c r="AO23" s="2344"/>
      <c r="AP23" s="2344"/>
      <c r="AQ23" s="2344"/>
      <c r="AR23" s="2344"/>
      <c r="AS23" s="2345"/>
      <c r="AT23" s="2346">
        <f t="shared" si="0"/>
        <v>0</v>
      </c>
      <c r="AU23" s="2347"/>
      <c r="AV23" s="2347"/>
      <c r="AW23" s="2347"/>
      <c r="AX23" s="2347"/>
      <c r="AY23" s="2348"/>
      <c r="AZ23" s="1086"/>
      <c r="BA23" s="1086"/>
      <c r="BB23" s="1086"/>
      <c r="BC23" s="1086"/>
      <c r="BD23" s="1086"/>
      <c r="BE23" s="1092"/>
    </row>
    <row r="24" spans="1:58" ht="15">
      <c r="A24" s="1086"/>
      <c r="B24" s="2358">
        <v>0.8</v>
      </c>
      <c r="C24" s="2359"/>
      <c r="D24" s="2359"/>
      <c r="E24" s="2359"/>
      <c r="F24" s="2359"/>
      <c r="G24" s="2359"/>
      <c r="H24" s="2359"/>
      <c r="I24" s="2360"/>
      <c r="J24" s="2343">
        <f t="shared" si="1"/>
        <v>0</v>
      </c>
      <c r="K24" s="2344"/>
      <c r="L24" s="2344"/>
      <c r="M24" s="2344"/>
      <c r="N24" s="2344"/>
      <c r="O24" s="2345"/>
      <c r="P24" s="2343" cm="1">
        <f t="array" ref="P24">SUMPRODUCT((Application!$B$714:$B$738 = 'CalHFA Addendum'!P$18)*(Application!$AC$714:$AC$738 = 'CalHFA Addendum'!$B24),Application!$G$714:$G$738)</f>
        <v>0</v>
      </c>
      <c r="Q24" s="2344"/>
      <c r="R24" s="2344"/>
      <c r="S24" s="2344"/>
      <c r="T24" s="2344"/>
      <c r="U24" s="2345"/>
      <c r="V24" s="2343" cm="1">
        <f t="array" ref="V24">SUMPRODUCT((Application!$B$714:$B$738 = 'CalHFA Addendum'!V$18)*(Application!$AC$714:$AC$738 = 'CalHFA Addendum'!$B24),Application!$G$714:$G$738)</f>
        <v>0</v>
      </c>
      <c r="W24" s="2344"/>
      <c r="X24" s="2344"/>
      <c r="Y24" s="2344"/>
      <c r="Z24" s="2344"/>
      <c r="AA24" s="2345"/>
      <c r="AB24" s="2343" cm="1">
        <f t="array" ref="AB24">SUMPRODUCT((Application!$B$714:$B$738 = 'CalHFA Addendum'!AB$18)*(Application!$AC$714:$AC$738 = 'CalHFA Addendum'!$B24),Application!$G$714:$G$738)</f>
        <v>0</v>
      </c>
      <c r="AC24" s="2344"/>
      <c r="AD24" s="2344"/>
      <c r="AE24" s="2344"/>
      <c r="AF24" s="2344"/>
      <c r="AG24" s="2345"/>
      <c r="AH24" s="2343" cm="1">
        <f t="array" ref="AH24">SUMPRODUCT((Application!$B$714:$B$738 = 'CalHFA Addendum'!AH$18)*(Application!$AC$714:$AC$738 = 'CalHFA Addendum'!$B24),Application!$G$714:$G$738)</f>
        <v>0</v>
      </c>
      <c r="AI24" s="2344"/>
      <c r="AJ24" s="2344"/>
      <c r="AK24" s="2344"/>
      <c r="AL24" s="2344"/>
      <c r="AM24" s="2345"/>
      <c r="AN24" s="2343" cm="1">
        <f t="array" ref="AN24">SUMPRODUCT((Application!$B$714:$B$738 = 'CalHFA Addendum'!AN$18)*(Application!$AC$714:$AC$738 = 'CalHFA Addendum'!$B24),Application!$G$714:$G$738)</f>
        <v>0</v>
      </c>
      <c r="AO24" s="2344"/>
      <c r="AP24" s="2344"/>
      <c r="AQ24" s="2344"/>
      <c r="AR24" s="2344"/>
      <c r="AS24" s="2345"/>
      <c r="AT24" s="2346">
        <f t="shared" si="0"/>
        <v>0</v>
      </c>
      <c r="AU24" s="2347"/>
      <c r="AV24" s="2347"/>
      <c r="AW24" s="2347"/>
      <c r="AX24" s="2347"/>
      <c r="AY24" s="2348"/>
      <c r="AZ24" s="1086"/>
      <c r="BA24" s="1086"/>
      <c r="BB24" s="1086"/>
      <c r="BC24" s="1086"/>
      <c r="BD24" s="1086"/>
      <c r="BE24" s="1092"/>
    </row>
    <row r="25" spans="1:58" ht="15">
      <c r="A25" s="1086"/>
      <c r="B25" s="2358">
        <v>0.9</v>
      </c>
      <c r="C25" s="2359"/>
      <c r="D25" s="2359"/>
      <c r="E25" s="2359"/>
      <c r="F25" s="2359"/>
      <c r="G25" s="2359"/>
      <c r="H25" s="2359"/>
      <c r="I25" s="2360"/>
      <c r="J25" s="2343">
        <f t="shared" si="1"/>
        <v>0</v>
      </c>
      <c r="K25" s="2344"/>
      <c r="L25" s="2344"/>
      <c r="M25" s="2344"/>
      <c r="N25" s="2344"/>
      <c r="O25" s="2345"/>
      <c r="P25" s="2343" cm="1">
        <f t="array" ref="P25">SUMPRODUCT((Application!$B$714:$B$738 = 'CalHFA Addendum'!P$18)*(Application!$AC$714:$AC$738 = 'CalHFA Addendum'!$B25),Application!$G$714:$G$738)</f>
        <v>0</v>
      </c>
      <c r="Q25" s="2344"/>
      <c r="R25" s="2344"/>
      <c r="S25" s="2344"/>
      <c r="T25" s="2344"/>
      <c r="U25" s="2345"/>
      <c r="V25" s="2343" cm="1">
        <f t="array" ref="V25">SUMPRODUCT((Application!$B$714:$B$738 = 'CalHFA Addendum'!V$18)*(Application!$AC$714:$AC$738 = 'CalHFA Addendum'!$B25),Application!$G$714:$G$738)</f>
        <v>0</v>
      </c>
      <c r="W25" s="2344"/>
      <c r="X25" s="2344"/>
      <c r="Y25" s="2344"/>
      <c r="Z25" s="2344"/>
      <c r="AA25" s="2345"/>
      <c r="AB25" s="2343" cm="1">
        <f t="array" ref="AB25">SUMPRODUCT((Application!$B$714:$B$738 = 'CalHFA Addendum'!AB$18)*(Application!$AC$714:$AC$738 = 'CalHFA Addendum'!$B25),Application!$G$714:$G$738)</f>
        <v>0</v>
      </c>
      <c r="AC25" s="2344"/>
      <c r="AD25" s="2344"/>
      <c r="AE25" s="2344"/>
      <c r="AF25" s="2344"/>
      <c r="AG25" s="2345"/>
      <c r="AH25" s="2343" cm="1">
        <f t="array" ref="AH25">SUMPRODUCT((Application!$B$714:$B$738 = 'CalHFA Addendum'!AH$18)*(Application!$AC$714:$AC$738 = 'CalHFA Addendum'!$B25),Application!$G$714:$G$738)</f>
        <v>0</v>
      </c>
      <c r="AI25" s="2344"/>
      <c r="AJ25" s="2344"/>
      <c r="AK25" s="2344"/>
      <c r="AL25" s="2344"/>
      <c r="AM25" s="2345"/>
      <c r="AN25" s="2343" cm="1">
        <f t="array" ref="AN25">SUMPRODUCT((Application!$B$714:$B$738 = 'CalHFA Addendum'!AN$18)*(Application!$AC$714:$AC$738 = 'CalHFA Addendum'!$B25),Application!$G$714:$G$738)</f>
        <v>0</v>
      </c>
      <c r="AO25" s="2344"/>
      <c r="AP25" s="2344"/>
      <c r="AQ25" s="2344"/>
      <c r="AR25" s="2344"/>
      <c r="AS25" s="2345"/>
      <c r="AT25" s="2346">
        <f t="shared" si="0"/>
        <v>0</v>
      </c>
      <c r="AU25" s="2347"/>
      <c r="AV25" s="2347"/>
      <c r="AW25" s="2347"/>
      <c r="AX25" s="2347"/>
      <c r="AY25" s="2348"/>
      <c r="AZ25" s="1086"/>
      <c r="BA25" s="1086"/>
      <c r="BB25" s="1086"/>
      <c r="BC25" s="1086"/>
      <c r="BD25" s="1086"/>
      <c r="BE25" s="1092"/>
    </row>
    <row r="26" spans="1:58" ht="15">
      <c r="A26" s="1086"/>
      <c r="B26" s="2358">
        <v>1</v>
      </c>
      <c r="C26" s="2359"/>
      <c r="D26" s="2359"/>
      <c r="E26" s="2359"/>
      <c r="F26" s="2359"/>
      <c r="G26" s="2359"/>
      <c r="H26" s="2359"/>
      <c r="I26" s="2360"/>
      <c r="J26" s="2343">
        <f t="shared" si="1"/>
        <v>0</v>
      </c>
      <c r="K26" s="2344"/>
      <c r="L26" s="2344"/>
      <c r="M26" s="2344"/>
      <c r="N26" s="2344"/>
      <c r="O26" s="2345"/>
      <c r="P26" s="2343" cm="1">
        <f t="array" ref="P26">SUMPRODUCT((Application!$B$714:$B$738 = 'CalHFA Addendum'!P$18)*(Application!$AC$714:$AC$738 = 'CalHFA Addendum'!$B26),Application!$G$714:$G$738)</f>
        <v>0</v>
      </c>
      <c r="Q26" s="2344"/>
      <c r="R26" s="2344"/>
      <c r="S26" s="2344"/>
      <c r="T26" s="2344"/>
      <c r="U26" s="2345"/>
      <c r="V26" s="2343" cm="1">
        <f t="array" ref="V26">SUMPRODUCT((Application!$B$714:$B$738 = 'CalHFA Addendum'!V$18)*(Application!$AC$714:$AC$738 = 'CalHFA Addendum'!$B26),Application!$G$714:$G$738)</f>
        <v>0</v>
      </c>
      <c r="W26" s="2344"/>
      <c r="X26" s="2344"/>
      <c r="Y26" s="2344"/>
      <c r="Z26" s="2344"/>
      <c r="AA26" s="2345"/>
      <c r="AB26" s="2343" cm="1">
        <f t="array" ref="AB26">SUMPRODUCT((Application!$B$714:$B$738 = 'CalHFA Addendum'!AB$18)*(Application!$AC$714:$AC$738 = 'CalHFA Addendum'!$B26),Application!$G$714:$G$738)</f>
        <v>0</v>
      </c>
      <c r="AC26" s="2344"/>
      <c r="AD26" s="2344"/>
      <c r="AE26" s="2344"/>
      <c r="AF26" s="2344"/>
      <c r="AG26" s="2345"/>
      <c r="AH26" s="2343" cm="1">
        <f t="array" ref="AH26">SUMPRODUCT((Application!$B$714:$B$738 = 'CalHFA Addendum'!AH$18)*(Application!$AC$714:$AC$738 = 'CalHFA Addendum'!$B26),Application!$G$714:$G$738)</f>
        <v>0</v>
      </c>
      <c r="AI26" s="2344"/>
      <c r="AJ26" s="2344"/>
      <c r="AK26" s="2344"/>
      <c r="AL26" s="2344"/>
      <c r="AM26" s="2345"/>
      <c r="AN26" s="2343" cm="1">
        <f t="array" ref="AN26">SUMPRODUCT((Application!$B$714:$B$738 = 'CalHFA Addendum'!AN$18)*(Application!$AC$714:$AC$738 = 'CalHFA Addendum'!$B26),Application!$G$714:$G$738)</f>
        <v>0</v>
      </c>
      <c r="AO26" s="2344"/>
      <c r="AP26" s="2344"/>
      <c r="AQ26" s="2344"/>
      <c r="AR26" s="2344"/>
      <c r="AS26" s="2345"/>
      <c r="AT26" s="2346">
        <f t="shared" si="0"/>
        <v>0</v>
      </c>
      <c r="AU26" s="2347"/>
      <c r="AV26" s="2347"/>
      <c r="AW26" s="2347"/>
      <c r="AX26" s="2347"/>
      <c r="AY26" s="2348"/>
      <c r="AZ26" s="1086"/>
      <c r="BA26" s="1086"/>
      <c r="BB26" s="1086"/>
      <c r="BC26" s="1086"/>
      <c r="BD26" s="1086"/>
      <c r="BE26" s="1092"/>
    </row>
    <row r="27" spans="1:58" ht="15">
      <c r="A27" s="1086"/>
      <c r="B27" s="2358">
        <v>1.1000000000000001</v>
      </c>
      <c r="C27" s="2359"/>
      <c r="D27" s="2359"/>
      <c r="E27" s="2359"/>
      <c r="F27" s="2359"/>
      <c r="G27" s="2359"/>
      <c r="H27" s="2359"/>
      <c r="I27" s="2360"/>
      <c r="J27" s="2343">
        <f t="shared" si="1"/>
        <v>0</v>
      </c>
      <c r="K27" s="2344"/>
      <c r="L27" s="2344"/>
      <c r="M27" s="2344"/>
      <c r="N27" s="2344"/>
      <c r="O27" s="2345"/>
      <c r="P27" s="2343" cm="1">
        <f t="array" ref="P27">SUMPRODUCT((Application!$B$714:$B$738 = 'CalHFA Addendum'!P$18)*(Application!$AC$714:$AC$738 = 'CalHFA Addendum'!$B27),Application!$G$714:$G$738)</f>
        <v>0</v>
      </c>
      <c r="Q27" s="2344"/>
      <c r="R27" s="2344"/>
      <c r="S27" s="2344"/>
      <c r="T27" s="2344"/>
      <c r="U27" s="2345"/>
      <c r="V27" s="2343" cm="1">
        <f t="array" ref="V27">SUMPRODUCT((Application!$B$714:$B$738 = 'CalHFA Addendum'!V$18)*(Application!$AC$714:$AC$738 = 'CalHFA Addendum'!$B27),Application!$G$714:$G$738)</f>
        <v>0</v>
      </c>
      <c r="W27" s="2344"/>
      <c r="X27" s="2344"/>
      <c r="Y27" s="2344"/>
      <c r="Z27" s="2344"/>
      <c r="AA27" s="2345"/>
      <c r="AB27" s="2343" cm="1">
        <f t="array" ref="AB27">SUMPRODUCT((Application!$B$714:$B$738 = 'CalHFA Addendum'!AB$18)*(Application!$AC$714:$AC$738 = 'CalHFA Addendum'!$B27),Application!$G$714:$G$738)</f>
        <v>0</v>
      </c>
      <c r="AC27" s="2344"/>
      <c r="AD27" s="2344"/>
      <c r="AE27" s="2344"/>
      <c r="AF27" s="2344"/>
      <c r="AG27" s="2345"/>
      <c r="AH27" s="2343" cm="1">
        <f t="array" ref="AH27">SUMPRODUCT((Application!$B$714:$B$738 = 'CalHFA Addendum'!AH$18)*(Application!$AC$714:$AC$738 = 'CalHFA Addendum'!$B27),Application!$G$714:$G$738)</f>
        <v>0</v>
      </c>
      <c r="AI27" s="2344"/>
      <c r="AJ27" s="2344"/>
      <c r="AK27" s="2344"/>
      <c r="AL27" s="2344"/>
      <c r="AM27" s="2345"/>
      <c r="AN27" s="2343" cm="1">
        <f t="array" ref="AN27">SUMPRODUCT((Application!$B$714:$B$738 = 'CalHFA Addendum'!AN$18)*(Application!$AC$714:$AC$738 = 'CalHFA Addendum'!$B27),Application!$G$714:$G$738)</f>
        <v>0</v>
      </c>
      <c r="AO27" s="2344"/>
      <c r="AP27" s="2344"/>
      <c r="AQ27" s="2344"/>
      <c r="AR27" s="2344"/>
      <c r="AS27" s="2345"/>
      <c r="AT27" s="2346">
        <f t="shared" si="0"/>
        <v>0</v>
      </c>
      <c r="AU27" s="2347"/>
      <c r="AV27" s="2347"/>
      <c r="AW27" s="2347"/>
      <c r="AX27" s="2347"/>
      <c r="AY27" s="2348"/>
      <c r="AZ27" s="1086"/>
      <c r="BA27" s="1086"/>
      <c r="BB27" s="1086"/>
      <c r="BC27" s="1086"/>
      <c r="BD27" s="1086"/>
      <c r="BE27" s="1092"/>
    </row>
    <row r="28" spans="1:58" thickBot="1">
      <c r="A28" s="1086"/>
      <c r="B28" s="2349" t="s">
        <v>2492</v>
      </c>
      <c r="C28" s="2350"/>
      <c r="D28" s="2350"/>
      <c r="E28" s="2350"/>
      <c r="F28" s="2350"/>
      <c r="G28" s="2350"/>
      <c r="H28" s="2350"/>
      <c r="I28" s="2351"/>
      <c r="J28" s="2352">
        <f t="shared" si="1"/>
        <v>1</v>
      </c>
      <c r="K28" s="2353"/>
      <c r="L28" s="2353"/>
      <c r="M28" s="2353"/>
      <c r="N28" s="2353"/>
      <c r="O28" s="2354"/>
      <c r="P28" s="2352">
        <f>_xlfn.IFNA(VLOOKUP(P$18,Application!$J$758:$S$761,6,FALSE), 0)</f>
        <v>0</v>
      </c>
      <c r="Q28" s="2353"/>
      <c r="R28" s="2353"/>
      <c r="S28" s="2353"/>
      <c r="T28" s="2353"/>
      <c r="U28" s="2354"/>
      <c r="V28" s="2352">
        <f>_xlfn.IFNA(VLOOKUP(V$18,Application!$J$758:$S$761,6,FALSE), 0)</f>
        <v>0</v>
      </c>
      <c r="W28" s="2353"/>
      <c r="X28" s="2353"/>
      <c r="Y28" s="2353"/>
      <c r="Z28" s="2353"/>
      <c r="AA28" s="2354"/>
      <c r="AB28" s="2352">
        <f>_xlfn.IFNA(VLOOKUP(AB$18,Application!$J$758:$S$761,6,FALSE), 0)</f>
        <v>0</v>
      </c>
      <c r="AC28" s="2353"/>
      <c r="AD28" s="2353"/>
      <c r="AE28" s="2353"/>
      <c r="AF28" s="2353"/>
      <c r="AG28" s="2354"/>
      <c r="AH28" s="2352">
        <f>_xlfn.IFNA(VLOOKUP(AH$18,Application!$J$758:$S$761,6,FALSE), 0)</f>
        <v>1</v>
      </c>
      <c r="AI28" s="2353"/>
      <c r="AJ28" s="2353"/>
      <c r="AK28" s="2353"/>
      <c r="AL28" s="2353"/>
      <c r="AM28" s="2354"/>
      <c r="AN28" s="2352">
        <f>_xlfn.IFNA(VLOOKUP(AN$18,Application!$J$758:$S$761,6,FALSE), 0)</f>
        <v>0</v>
      </c>
      <c r="AO28" s="2353"/>
      <c r="AP28" s="2353"/>
      <c r="AQ28" s="2353"/>
      <c r="AR28" s="2353"/>
      <c r="AS28" s="2354"/>
      <c r="AT28" s="2355">
        <f t="shared" si="0"/>
        <v>1.1764705882352941E-2</v>
      </c>
      <c r="AU28" s="2356"/>
      <c r="AV28" s="2356"/>
      <c r="AW28" s="2356"/>
      <c r="AX28" s="2356"/>
      <c r="AY28" s="2357"/>
      <c r="AZ28" s="1086"/>
      <c r="BA28" s="1086"/>
      <c r="BB28" s="1086"/>
      <c r="BC28" s="1086"/>
      <c r="BD28" s="1086"/>
      <c r="BE28" s="1092"/>
    </row>
    <row r="29" spans="1:58" thickBot="1">
      <c r="A29" s="1086"/>
      <c r="B29" s="2342" t="s">
        <v>2423</v>
      </c>
      <c r="C29" s="2331"/>
      <c r="D29" s="2331"/>
      <c r="E29" s="2331"/>
      <c r="F29" s="2331"/>
      <c r="G29" s="2331"/>
      <c r="H29" s="2331"/>
      <c r="I29" s="2332"/>
      <c r="J29" s="2330">
        <f>SUM(J19:O28)</f>
        <v>85</v>
      </c>
      <c r="K29" s="2331"/>
      <c r="L29" s="2331"/>
      <c r="M29" s="2331"/>
      <c r="N29" s="2331"/>
      <c r="O29" s="2332"/>
      <c r="P29" s="2330">
        <f>SUM(P19:U28)</f>
        <v>24</v>
      </c>
      <c r="Q29" s="2331"/>
      <c r="R29" s="2331"/>
      <c r="S29" s="2331"/>
      <c r="T29" s="2331"/>
      <c r="U29" s="2332"/>
      <c r="V29" s="2330">
        <f>SUM(V19:AA28)</f>
        <v>18</v>
      </c>
      <c r="W29" s="2331"/>
      <c r="X29" s="2331"/>
      <c r="Y29" s="2331"/>
      <c r="Z29" s="2331"/>
      <c r="AA29" s="2332"/>
      <c r="AB29" s="2330">
        <f>SUM(AB19:AG28)</f>
        <v>21</v>
      </c>
      <c r="AC29" s="2331"/>
      <c r="AD29" s="2331"/>
      <c r="AE29" s="2331"/>
      <c r="AF29" s="2331"/>
      <c r="AG29" s="2332"/>
      <c r="AH29" s="2330">
        <f>SUM(AH19:AM28)</f>
        <v>22</v>
      </c>
      <c r="AI29" s="2331"/>
      <c r="AJ29" s="2331"/>
      <c r="AK29" s="2331"/>
      <c r="AL29" s="2331"/>
      <c r="AM29" s="2332"/>
      <c r="AN29" s="2330">
        <f>SUM(AN19:AS28)</f>
        <v>0</v>
      </c>
      <c r="AO29" s="2331"/>
      <c r="AP29" s="2331"/>
      <c r="AQ29" s="2331"/>
      <c r="AR29" s="2331"/>
      <c r="AS29" s="2332"/>
      <c r="AT29" s="2333">
        <f>J29/$J$29</f>
        <v>1</v>
      </c>
      <c r="AU29" s="2334"/>
      <c r="AV29" s="2334"/>
      <c r="AW29" s="2334"/>
      <c r="AX29" s="2334"/>
      <c r="AY29" s="2335"/>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210" t="s">
        <v>2493</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7"/>
      <c r="BA31" s="1086"/>
      <c r="BB31" s="1086"/>
      <c r="BC31" s="1086"/>
      <c r="BD31" s="1086"/>
      <c r="BE31" s="1092"/>
    </row>
    <row r="32" spans="1:58" ht="15">
      <c r="A32" s="1086"/>
      <c r="B32" s="2336" t="s">
        <v>2494</v>
      </c>
      <c r="C32" s="2337"/>
      <c r="D32" s="2337"/>
      <c r="E32" s="2337"/>
      <c r="F32" s="2337"/>
      <c r="G32" s="2337"/>
      <c r="H32" s="2337"/>
      <c r="I32" s="2337"/>
      <c r="J32" s="2339" t="s">
        <v>2495</v>
      </c>
      <c r="K32" s="2340"/>
      <c r="L32" s="2340"/>
      <c r="M32" s="2340"/>
      <c r="N32" s="2339" t="s">
        <v>2496</v>
      </c>
      <c r="O32" s="2340"/>
      <c r="P32" s="2340"/>
      <c r="Q32" s="2340"/>
      <c r="R32" s="2211" t="s">
        <v>2497</v>
      </c>
      <c r="S32" s="2211"/>
      <c r="T32" s="2211"/>
      <c r="U32" s="2211"/>
      <c r="V32" s="2211"/>
      <c r="W32" s="2211"/>
      <c r="X32" s="2211"/>
      <c r="Y32" s="2211"/>
      <c r="Z32" s="2211"/>
      <c r="AA32" s="2211"/>
      <c r="AB32" s="2211"/>
      <c r="AC32" s="2211"/>
      <c r="AD32" s="2211"/>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61"/>
      <c r="BA32" s="1086"/>
      <c r="BB32" s="1086"/>
      <c r="BC32" s="1086"/>
      <c r="BD32" s="1086"/>
      <c r="BE32" s="1092"/>
    </row>
    <row r="33" spans="1:58" ht="15" customHeight="1">
      <c r="A33" s="1086"/>
      <c r="B33" s="2338"/>
      <c r="C33" s="2337"/>
      <c r="D33" s="2337"/>
      <c r="E33" s="2337"/>
      <c r="F33" s="2337"/>
      <c r="G33" s="2337"/>
      <c r="H33" s="2337"/>
      <c r="I33" s="2337"/>
      <c r="J33" s="2340"/>
      <c r="K33" s="2340"/>
      <c r="L33" s="2340"/>
      <c r="M33" s="2340"/>
      <c r="N33" s="2340"/>
      <c r="O33" s="2340"/>
      <c r="P33" s="2340"/>
      <c r="Q33" s="2340"/>
      <c r="R33" s="2312" t="s">
        <v>2498</v>
      </c>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41"/>
      <c r="BA33" s="1093"/>
      <c r="BB33" s="1086"/>
      <c r="BC33" s="1086"/>
      <c r="BD33" s="1086"/>
      <c r="BE33" s="1092"/>
    </row>
    <row r="34" spans="1:58" ht="15.75" customHeight="1">
      <c r="A34" s="1086"/>
      <c r="B34" s="2338"/>
      <c r="C34" s="2337"/>
      <c r="D34" s="2337"/>
      <c r="E34" s="2337"/>
      <c r="F34" s="2337"/>
      <c r="G34" s="2337"/>
      <c r="H34" s="2337"/>
      <c r="I34" s="2337"/>
      <c r="J34" s="2340"/>
      <c r="K34" s="2340"/>
      <c r="L34" s="2340"/>
      <c r="M34" s="2340"/>
      <c r="N34" s="2340"/>
      <c r="O34" s="2340"/>
      <c r="P34" s="2340"/>
      <c r="Q34" s="2340"/>
      <c r="R34" s="2339"/>
      <c r="S34" s="2339"/>
      <c r="T34" s="2339"/>
      <c r="U34" s="2339"/>
      <c r="V34" s="2339"/>
      <c r="W34" s="2339"/>
      <c r="X34" s="2339"/>
      <c r="Y34" s="2339"/>
      <c r="Z34" s="2339"/>
      <c r="AA34" s="2339"/>
      <c r="AB34" s="2339"/>
      <c r="AC34" s="2339"/>
      <c r="AD34" s="2339"/>
      <c r="AE34" s="2339"/>
      <c r="AF34" s="2339"/>
      <c r="AG34" s="2339"/>
      <c r="AH34" s="2339"/>
      <c r="AI34" s="2339"/>
      <c r="AJ34" s="2339"/>
      <c r="AK34" s="2339"/>
      <c r="AL34" s="2339"/>
      <c r="AM34" s="2339"/>
      <c r="AN34" s="2339"/>
      <c r="AO34" s="2339"/>
      <c r="AP34" s="2339"/>
      <c r="AQ34" s="2339"/>
      <c r="AR34" s="2339"/>
      <c r="AS34" s="2339"/>
      <c r="AT34" s="2339"/>
      <c r="AU34" s="2339"/>
      <c r="AV34" s="2339"/>
      <c r="AW34" s="2339"/>
      <c r="AX34" s="2339"/>
      <c r="AY34" s="2339"/>
      <c r="AZ34" s="2341"/>
      <c r="BA34" s="1093"/>
      <c r="BB34" s="1086"/>
      <c r="BC34" s="1086"/>
      <c r="BD34" s="1086"/>
      <c r="BE34" s="1092"/>
    </row>
    <row r="35" spans="1:58" ht="15.75" customHeight="1">
      <c r="A35" s="1086"/>
      <c r="B35" s="2338"/>
      <c r="C35" s="2337"/>
      <c r="D35" s="2337"/>
      <c r="E35" s="2337"/>
      <c r="F35" s="2337"/>
      <c r="G35" s="2337"/>
      <c r="H35" s="2337"/>
      <c r="I35" s="2337"/>
      <c r="J35" s="2340"/>
      <c r="K35" s="2340"/>
      <c r="L35" s="2340"/>
      <c r="M35" s="2340"/>
      <c r="N35" s="2340"/>
      <c r="O35" s="2340"/>
      <c r="P35" s="2340"/>
      <c r="Q35" s="2340"/>
      <c r="R35" s="2326">
        <v>0.3</v>
      </c>
      <c r="S35" s="2326"/>
      <c r="T35" s="2326"/>
      <c r="U35" s="2326"/>
      <c r="V35" s="2326">
        <v>0.4</v>
      </c>
      <c r="W35" s="2326"/>
      <c r="X35" s="2326"/>
      <c r="Y35" s="2326"/>
      <c r="Z35" s="2326">
        <v>0.5</v>
      </c>
      <c r="AA35" s="2326"/>
      <c r="AB35" s="2326"/>
      <c r="AC35" s="2326"/>
      <c r="AD35" s="2326">
        <v>0.6</v>
      </c>
      <c r="AE35" s="2326"/>
      <c r="AF35" s="2326"/>
      <c r="AG35" s="2326"/>
      <c r="AH35" s="2326">
        <v>0.8</v>
      </c>
      <c r="AI35" s="2326"/>
      <c r="AJ35" s="2326"/>
      <c r="AK35" s="2326"/>
      <c r="AL35" s="2327">
        <v>1</v>
      </c>
      <c r="AM35" s="2327"/>
      <c r="AN35" s="2327"/>
      <c r="AO35" s="2328" t="s">
        <v>2499</v>
      </c>
      <c r="AP35" s="2328"/>
      <c r="AQ35" s="2328"/>
      <c r="AR35" s="2328"/>
      <c r="AS35" s="2328"/>
      <c r="AT35" s="2328"/>
      <c r="AU35" s="2328" t="s">
        <v>2500</v>
      </c>
      <c r="AV35" s="2328"/>
      <c r="AW35" s="2328"/>
      <c r="AX35" s="2328"/>
      <c r="AY35" s="2328"/>
      <c r="AZ35" s="2329"/>
      <c r="BA35" s="1093"/>
      <c r="BB35" s="1086"/>
      <c r="BC35" s="1086"/>
      <c r="BD35" s="1086"/>
      <c r="BE35" s="1092"/>
      <c r="BF35" s="1084"/>
    </row>
    <row r="36" spans="1:58" ht="15.75" customHeight="1">
      <c r="A36" s="1086"/>
      <c r="B36" s="2265" t="s">
        <v>2501</v>
      </c>
      <c r="C36" s="2266"/>
      <c r="D36" s="2266"/>
      <c r="E36" s="2266"/>
      <c r="F36" s="2266"/>
      <c r="G36" s="2266"/>
      <c r="H36" s="2266"/>
      <c r="I36" s="2266"/>
      <c r="J36" s="2325" t="s">
        <v>2502</v>
      </c>
      <c r="K36" s="2325"/>
      <c r="L36" s="2325"/>
      <c r="M36" s="2325"/>
      <c r="N36" s="2325">
        <v>55</v>
      </c>
      <c r="O36" s="2325"/>
      <c r="P36" s="2325"/>
      <c r="Q36" s="2325"/>
      <c r="R36" s="2318">
        <v>0</v>
      </c>
      <c r="S36" s="2318"/>
      <c r="T36" s="2318"/>
      <c r="U36" s="2318"/>
      <c r="V36" s="2318">
        <v>0</v>
      </c>
      <c r="W36" s="2318"/>
      <c r="X36" s="2318"/>
      <c r="Y36" s="2318"/>
      <c r="Z36" s="2318">
        <v>10</v>
      </c>
      <c r="AA36" s="2318"/>
      <c r="AB36" s="2318"/>
      <c r="AC36" s="2318"/>
      <c r="AD36" s="2318">
        <v>30</v>
      </c>
      <c r="AE36" s="2318"/>
      <c r="AF36" s="2318"/>
      <c r="AG36" s="2318"/>
      <c r="AH36" s="2318">
        <v>0</v>
      </c>
      <c r="AI36" s="2318"/>
      <c r="AJ36" s="2318"/>
      <c r="AK36" s="2318"/>
      <c r="AL36" s="2318">
        <v>0</v>
      </c>
      <c r="AM36" s="2318"/>
      <c r="AN36" s="2318"/>
      <c r="AO36" s="2319">
        <f>SUM(R36:AN36)</f>
        <v>40</v>
      </c>
      <c r="AP36" s="2319"/>
      <c r="AQ36" s="2319"/>
      <c r="AR36" s="2319"/>
      <c r="AS36" s="2319"/>
      <c r="AT36" s="2319"/>
      <c r="AU36" s="2320">
        <f>AO36/$J$29</f>
        <v>0.47058823529411764</v>
      </c>
      <c r="AV36" s="2320"/>
      <c r="AW36" s="2320"/>
      <c r="AX36" s="2320"/>
      <c r="AY36" s="2320"/>
      <c r="AZ36" s="2321"/>
      <c r="BA36" s="1086"/>
      <c r="BB36" s="1086"/>
      <c r="BC36" s="1086"/>
      <c r="BD36" s="1086"/>
      <c r="BE36" s="1092"/>
      <c r="BF36" s="1084"/>
    </row>
    <row r="37" spans="1:58" ht="15.75" customHeight="1">
      <c r="A37" s="1086"/>
      <c r="B37" s="2265" t="s">
        <v>2503</v>
      </c>
      <c r="C37" s="2266"/>
      <c r="D37" s="2266"/>
      <c r="E37" s="2266"/>
      <c r="F37" s="2266"/>
      <c r="G37" s="2266"/>
      <c r="H37" s="2266"/>
      <c r="I37" s="2266"/>
      <c r="J37" s="2325" t="s">
        <v>2504</v>
      </c>
      <c r="K37" s="2325"/>
      <c r="L37" s="2325"/>
      <c r="M37" s="2325"/>
      <c r="N37" s="2325">
        <v>55</v>
      </c>
      <c r="O37" s="2325"/>
      <c r="P37" s="2325"/>
      <c r="Q37" s="2325"/>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9">
        <f t="shared" ref="AO37:AO47" si="2">SUM(R37:AN37)</f>
        <v>10</v>
      </c>
      <c r="AP37" s="2319"/>
      <c r="AQ37" s="2319"/>
      <c r="AR37" s="2319"/>
      <c r="AS37" s="2319"/>
      <c r="AT37" s="2319"/>
      <c r="AU37" s="2320">
        <f t="shared" ref="AU37:AU47" si="3">AO37/$J$29</f>
        <v>0.11764705882352941</v>
      </c>
      <c r="AV37" s="2320"/>
      <c r="AW37" s="2320"/>
      <c r="AX37" s="2320"/>
      <c r="AY37" s="2320"/>
      <c r="AZ37" s="2321"/>
      <c r="BA37" s="1086"/>
      <c r="BB37" s="1086"/>
      <c r="BC37" s="1086"/>
      <c r="BD37" s="1086"/>
      <c r="BE37" s="1092"/>
      <c r="BF37" s="1084"/>
    </row>
    <row r="38" spans="1:58" ht="15.75" customHeight="1">
      <c r="A38" s="1086"/>
      <c r="B38" s="2265" t="s">
        <v>2505</v>
      </c>
      <c r="C38" s="2266"/>
      <c r="D38" s="2266"/>
      <c r="E38" s="2266"/>
      <c r="F38" s="2266"/>
      <c r="G38" s="2266"/>
      <c r="H38" s="2266"/>
      <c r="I38" s="2266"/>
      <c r="J38" s="2325" t="s">
        <v>2506</v>
      </c>
      <c r="K38" s="2325"/>
      <c r="L38" s="2325"/>
      <c r="M38" s="2325"/>
      <c r="N38" s="2325">
        <v>55</v>
      </c>
      <c r="O38" s="2325"/>
      <c r="P38" s="2325"/>
      <c r="Q38" s="2325"/>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9">
        <f t="shared" si="2"/>
        <v>0</v>
      </c>
      <c r="AP38" s="2319"/>
      <c r="AQ38" s="2319"/>
      <c r="AR38" s="2319"/>
      <c r="AS38" s="2319"/>
      <c r="AT38" s="2319"/>
      <c r="AU38" s="2320">
        <f t="shared" si="3"/>
        <v>0</v>
      </c>
      <c r="AV38" s="2320"/>
      <c r="AW38" s="2320"/>
      <c r="AX38" s="2320"/>
      <c r="AY38" s="2320"/>
      <c r="AZ38" s="2321"/>
      <c r="BA38" s="1086"/>
      <c r="BB38" s="1086"/>
      <c r="BC38" s="1086"/>
      <c r="BD38" s="1086"/>
      <c r="BE38" s="1092"/>
      <c r="BF38" s="1084"/>
    </row>
    <row r="39" spans="1:58" ht="15.75" customHeight="1">
      <c r="A39" s="1086"/>
      <c r="B39" s="2265" t="s">
        <v>2507</v>
      </c>
      <c r="C39" s="2266"/>
      <c r="D39" s="2266"/>
      <c r="E39" s="2266"/>
      <c r="F39" s="2266"/>
      <c r="G39" s="2266"/>
      <c r="H39" s="2266"/>
      <c r="I39" s="2266"/>
      <c r="J39" s="2325"/>
      <c r="K39" s="2325"/>
      <c r="L39" s="2325"/>
      <c r="M39" s="2325"/>
      <c r="N39" s="2325"/>
      <c r="O39" s="2325"/>
      <c r="P39" s="2325"/>
      <c r="Q39" s="2325"/>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9">
        <f t="shared" si="2"/>
        <v>0</v>
      </c>
      <c r="AP39" s="2319"/>
      <c r="AQ39" s="2319"/>
      <c r="AR39" s="2319"/>
      <c r="AS39" s="2319"/>
      <c r="AT39" s="2319"/>
      <c r="AU39" s="2320">
        <f t="shared" si="3"/>
        <v>0</v>
      </c>
      <c r="AV39" s="2320"/>
      <c r="AW39" s="2320"/>
      <c r="AX39" s="2320"/>
      <c r="AY39" s="2320"/>
      <c r="AZ39" s="2321"/>
      <c r="BA39" s="1086"/>
      <c r="BB39" s="1086"/>
      <c r="BC39" s="1086"/>
      <c r="BD39" s="1086"/>
      <c r="BE39" s="1092"/>
    </row>
    <row r="40" spans="1:58" ht="15.75" customHeight="1">
      <c r="A40" s="1086"/>
      <c r="B40" s="2265" t="s">
        <v>2507</v>
      </c>
      <c r="C40" s="2266"/>
      <c r="D40" s="2266"/>
      <c r="E40" s="2266"/>
      <c r="F40" s="2266"/>
      <c r="G40" s="2266"/>
      <c r="H40" s="2266"/>
      <c r="I40" s="2266"/>
      <c r="J40" s="2325"/>
      <c r="K40" s="2325"/>
      <c r="L40" s="2325"/>
      <c r="M40" s="2325"/>
      <c r="N40" s="2325"/>
      <c r="O40" s="2325"/>
      <c r="P40" s="2325"/>
      <c r="Q40" s="2325"/>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9">
        <f t="shared" si="2"/>
        <v>0</v>
      </c>
      <c r="AP40" s="2319"/>
      <c r="AQ40" s="2319"/>
      <c r="AR40" s="2319"/>
      <c r="AS40" s="2319"/>
      <c r="AT40" s="2319"/>
      <c r="AU40" s="2320">
        <f t="shared" si="3"/>
        <v>0</v>
      </c>
      <c r="AV40" s="2320"/>
      <c r="AW40" s="2320"/>
      <c r="AX40" s="2320"/>
      <c r="AY40" s="2320"/>
      <c r="AZ40" s="2321"/>
      <c r="BA40" s="1086"/>
      <c r="BB40" s="1086"/>
      <c r="BC40" s="1086"/>
      <c r="BD40" s="1086"/>
      <c r="BE40" s="1092"/>
    </row>
    <row r="41" spans="1:58" ht="15.75" customHeight="1">
      <c r="A41" s="1086"/>
      <c r="B41" s="2265" t="s">
        <v>2508</v>
      </c>
      <c r="C41" s="2266"/>
      <c r="D41" s="2266"/>
      <c r="E41" s="2266"/>
      <c r="F41" s="2266"/>
      <c r="G41" s="2266"/>
      <c r="H41" s="2266"/>
      <c r="I41" s="2266"/>
      <c r="J41" s="2325"/>
      <c r="K41" s="2325"/>
      <c r="L41" s="2325"/>
      <c r="M41" s="2325"/>
      <c r="N41" s="2325"/>
      <c r="O41" s="2325"/>
      <c r="P41" s="2325"/>
      <c r="Q41" s="2325"/>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9">
        <f t="shared" si="2"/>
        <v>0</v>
      </c>
      <c r="AP41" s="2319"/>
      <c r="AQ41" s="2319"/>
      <c r="AR41" s="2319"/>
      <c r="AS41" s="2319"/>
      <c r="AT41" s="2319"/>
      <c r="AU41" s="2320">
        <f t="shared" si="3"/>
        <v>0</v>
      </c>
      <c r="AV41" s="2320"/>
      <c r="AW41" s="2320"/>
      <c r="AX41" s="2320"/>
      <c r="AY41" s="2320"/>
      <c r="AZ41" s="2321"/>
      <c r="BA41" s="1086"/>
      <c r="BB41" s="1086"/>
      <c r="BC41" s="1086"/>
      <c r="BD41" s="1086"/>
      <c r="BE41" s="1092"/>
    </row>
    <row r="42" spans="1:58" ht="15.75" customHeight="1">
      <c r="A42" s="1086"/>
      <c r="B42" s="2265" t="s">
        <v>2508</v>
      </c>
      <c r="C42" s="2266"/>
      <c r="D42" s="2266"/>
      <c r="E42" s="2266"/>
      <c r="F42" s="2266"/>
      <c r="G42" s="2266"/>
      <c r="H42" s="2266"/>
      <c r="I42" s="2266"/>
      <c r="J42" s="2325"/>
      <c r="K42" s="2325"/>
      <c r="L42" s="2325"/>
      <c r="M42" s="2325"/>
      <c r="N42" s="2325"/>
      <c r="O42" s="2325"/>
      <c r="P42" s="2325"/>
      <c r="Q42" s="2325"/>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9">
        <f t="shared" si="2"/>
        <v>0</v>
      </c>
      <c r="AP42" s="2319"/>
      <c r="AQ42" s="2319"/>
      <c r="AR42" s="2319"/>
      <c r="AS42" s="2319"/>
      <c r="AT42" s="2319"/>
      <c r="AU42" s="2320">
        <f t="shared" si="3"/>
        <v>0</v>
      </c>
      <c r="AV42" s="2320"/>
      <c r="AW42" s="2320"/>
      <c r="AX42" s="2320"/>
      <c r="AY42" s="2320"/>
      <c r="AZ42" s="2321"/>
      <c r="BA42" s="1086"/>
      <c r="BB42" s="1086"/>
      <c r="BC42" s="1086"/>
      <c r="BD42" s="1086"/>
      <c r="BE42" s="1092"/>
    </row>
    <row r="43" spans="1:58" ht="15.75" customHeight="1">
      <c r="A43" s="1086"/>
      <c r="B43" s="2270" t="s">
        <v>2509</v>
      </c>
      <c r="C43" s="2271"/>
      <c r="D43" s="2271"/>
      <c r="E43" s="2271"/>
      <c r="F43" s="2271"/>
      <c r="G43" s="2271"/>
      <c r="H43" s="2271"/>
      <c r="I43" s="2271"/>
      <c r="J43" s="2325"/>
      <c r="K43" s="2325"/>
      <c r="L43" s="2325"/>
      <c r="M43" s="2325"/>
      <c r="N43" s="2325"/>
      <c r="O43" s="2325"/>
      <c r="P43" s="2325"/>
      <c r="Q43" s="2325"/>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9">
        <f t="shared" si="2"/>
        <v>0</v>
      </c>
      <c r="AP43" s="2319"/>
      <c r="AQ43" s="2319"/>
      <c r="AR43" s="2319"/>
      <c r="AS43" s="2319"/>
      <c r="AT43" s="2319"/>
      <c r="AU43" s="2320">
        <f t="shared" si="3"/>
        <v>0</v>
      </c>
      <c r="AV43" s="2320"/>
      <c r="AW43" s="2320"/>
      <c r="AX43" s="2320"/>
      <c r="AY43" s="2320"/>
      <c r="AZ43" s="2321"/>
      <c r="BA43" s="1086"/>
      <c r="BB43" s="1086"/>
      <c r="BC43" s="1086"/>
      <c r="BD43" s="1086"/>
      <c r="BE43" s="1092"/>
    </row>
    <row r="44" spans="1:58" ht="15.75" customHeight="1">
      <c r="A44" s="1086"/>
      <c r="B44" s="2270" t="s">
        <v>2510</v>
      </c>
      <c r="C44" s="2271"/>
      <c r="D44" s="2271"/>
      <c r="E44" s="2271"/>
      <c r="F44" s="2271"/>
      <c r="G44" s="2271"/>
      <c r="H44" s="2271"/>
      <c r="I44" s="2271"/>
      <c r="J44" s="2325"/>
      <c r="K44" s="2325"/>
      <c r="L44" s="2325"/>
      <c r="M44" s="2325"/>
      <c r="N44" s="2325"/>
      <c r="O44" s="2325"/>
      <c r="P44" s="2325"/>
      <c r="Q44" s="2325"/>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9">
        <f t="shared" si="2"/>
        <v>0</v>
      </c>
      <c r="AP44" s="2319"/>
      <c r="AQ44" s="2319"/>
      <c r="AR44" s="2319"/>
      <c r="AS44" s="2319"/>
      <c r="AT44" s="2319"/>
      <c r="AU44" s="2320">
        <f t="shared" si="3"/>
        <v>0</v>
      </c>
      <c r="AV44" s="2320"/>
      <c r="AW44" s="2320"/>
      <c r="AX44" s="2320"/>
      <c r="AY44" s="2320"/>
      <c r="AZ44" s="2321"/>
      <c r="BA44" s="1086"/>
      <c r="BB44" s="1086"/>
      <c r="BC44" s="1086"/>
      <c r="BD44" s="1086"/>
      <c r="BE44" s="1092"/>
    </row>
    <row r="45" spans="1:58" ht="15.75" customHeight="1">
      <c r="A45" s="1086"/>
      <c r="B45" s="2270" t="s">
        <v>2511</v>
      </c>
      <c r="C45" s="2271"/>
      <c r="D45" s="2271"/>
      <c r="E45" s="2271"/>
      <c r="F45" s="2271"/>
      <c r="G45" s="2271"/>
      <c r="H45" s="2271"/>
      <c r="I45" s="2271"/>
      <c r="J45" s="2325"/>
      <c r="K45" s="2325"/>
      <c r="L45" s="2325"/>
      <c r="M45" s="2325"/>
      <c r="N45" s="2325"/>
      <c r="O45" s="2325"/>
      <c r="P45" s="2325"/>
      <c r="Q45" s="2325"/>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9">
        <f t="shared" si="2"/>
        <v>0</v>
      </c>
      <c r="AP45" s="2319"/>
      <c r="AQ45" s="2319"/>
      <c r="AR45" s="2319"/>
      <c r="AS45" s="2319"/>
      <c r="AT45" s="2319"/>
      <c r="AU45" s="2320">
        <f t="shared" si="3"/>
        <v>0</v>
      </c>
      <c r="AV45" s="2320"/>
      <c r="AW45" s="2320"/>
      <c r="AX45" s="2320"/>
      <c r="AY45" s="2320"/>
      <c r="AZ45" s="2321"/>
      <c r="BA45" s="1086"/>
      <c r="BB45" s="1086"/>
      <c r="BC45" s="1086"/>
      <c r="BD45" s="1086"/>
      <c r="BE45" s="1092"/>
    </row>
    <row r="46" spans="1:58" ht="15.75" customHeight="1">
      <c r="A46" s="1086"/>
      <c r="B46" s="2270" t="s">
        <v>2512</v>
      </c>
      <c r="C46" s="2271"/>
      <c r="D46" s="2271"/>
      <c r="E46" s="2271"/>
      <c r="F46" s="2271"/>
      <c r="G46" s="2271"/>
      <c r="H46" s="2271"/>
      <c r="I46" s="2271"/>
      <c r="J46" s="2325"/>
      <c r="K46" s="2325"/>
      <c r="L46" s="2325"/>
      <c r="M46" s="2325"/>
      <c r="N46" s="2325">
        <v>99</v>
      </c>
      <c r="O46" s="2325"/>
      <c r="P46" s="2325"/>
      <c r="Q46" s="2325"/>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9">
        <f t="shared" si="2"/>
        <v>0</v>
      </c>
      <c r="AP46" s="2319"/>
      <c r="AQ46" s="2319"/>
      <c r="AR46" s="2319"/>
      <c r="AS46" s="2319"/>
      <c r="AT46" s="2319"/>
      <c r="AU46" s="2320">
        <f t="shared" si="3"/>
        <v>0</v>
      </c>
      <c r="AV46" s="2320"/>
      <c r="AW46" s="2320"/>
      <c r="AX46" s="2320"/>
      <c r="AY46" s="2320"/>
      <c r="AZ46" s="2321"/>
      <c r="BA46" s="1086"/>
      <c r="BB46" s="1086"/>
      <c r="BC46" s="1086"/>
      <c r="BD46" s="1086"/>
      <c r="BE46" s="1092"/>
    </row>
    <row r="47" spans="1:58" ht="15.75" customHeight="1" thickBot="1">
      <c r="A47" s="1086"/>
      <c r="B47" s="2322" t="s">
        <v>1143</v>
      </c>
      <c r="C47" s="2323"/>
      <c r="D47" s="2323"/>
      <c r="E47" s="2323"/>
      <c r="F47" s="2323"/>
      <c r="G47" s="2323"/>
      <c r="H47" s="2323"/>
      <c r="I47" s="2323"/>
      <c r="J47" s="2324"/>
      <c r="K47" s="2324"/>
      <c r="L47" s="2324"/>
      <c r="M47" s="2324"/>
      <c r="N47" s="2324"/>
      <c r="O47" s="2324"/>
      <c r="P47" s="2324"/>
      <c r="Q47" s="2324"/>
      <c r="R47" s="2314"/>
      <c r="S47" s="2314"/>
      <c r="T47" s="2314"/>
      <c r="U47" s="2314"/>
      <c r="V47" s="2314"/>
      <c r="W47" s="2314"/>
      <c r="X47" s="2314"/>
      <c r="Y47" s="2314"/>
      <c r="Z47" s="2314"/>
      <c r="AA47" s="2314"/>
      <c r="AB47" s="2314"/>
      <c r="AC47" s="2314"/>
      <c r="AD47" s="2314"/>
      <c r="AE47" s="2314"/>
      <c r="AF47" s="2314"/>
      <c r="AG47" s="2314"/>
      <c r="AH47" s="2314"/>
      <c r="AI47" s="2314"/>
      <c r="AJ47" s="2314"/>
      <c r="AK47" s="2314"/>
      <c r="AL47" s="2314"/>
      <c r="AM47" s="2314"/>
      <c r="AN47" s="2314"/>
      <c r="AO47" s="2315">
        <f t="shared" si="2"/>
        <v>0</v>
      </c>
      <c r="AP47" s="2315"/>
      <c r="AQ47" s="2315"/>
      <c r="AR47" s="2315"/>
      <c r="AS47" s="2315"/>
      <c r="AT47" s="2315"/>
      <c r="AU47" s="2316">
        <f t="shared" si="3"/>
        <v>0</v>
      </c>
      <c r="AV47" s="2316"/>
      <c r="AW47" s="2316"/>
      <c r="AX47" s="2316"/>
      <c r="AY47" s="2316"/>
      <c r="AZ47" s="2317"/>
      <c r="BA47" s="1086"/>
      <c r="BB47" s="1086"/>
      <c r="BC47" s="1086"/>
      <c r="BD47" s="1086"/>
      <c r="BE47" s="1092"/>
    </row>
    <row r="48" spans="1:58" ht="15.75" customHeight="1">
      <c r="A48" s="1086"/>
      <c r="B48" s="1094" t="s">
        <v>2513</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2514</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210" t="s">
        <v>2515</v>
      </c>
      <c r="C50" s="2176"/>
      <c r="D50" s="2176"/>
      <c r="E50" s="2176"/>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2176"/>
      <c r="AB50" s="2176"/>
      <c r="AC50" s="2176"/>
      <c r="AD50" s="2176"/>
      <c r="AE50" s="2176"/>
      <c r="AF50" s="2176"/>
      <c r="AG50" s="2176"/>
      <c r="AH50" s="2176"/>
      <c r="AI50" s="2176"/>
      <c r="AJ50" s="2176"/>
      <c r="AK50" s="2176"/>
      <c r="AL50" s="2176"/>
      <c r="AM50" s="2176"/>
      <c r="AN50" s="2176"/>
      <c r="AO50" s="2177"/>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55" t="s">
        <v>2516</v>
      </c>
      <c r="C51" s="2244"/>
      <c r="D51" s="2244"/>
      <c r="E51" s="2244"/>
      <c r="F51" s="2244"/>
      <c r="G51" s="2244"/>
      <c r="H51" s="2244"/>
      <c r="I51" s="2244"/>
      <c r="J51" s="2244" t="s">
        <v>2517</v>
      </c>
      <c r="K51" s="2244"/>
      <c r="L51" s="2244"/>
      <c r="M51" s="2244"/>
      <c r="N51" s="2244"/>
      <c r="O51" s="2244"/>
      <c r="P51" s="2244"/>
      <c r="Q51" s="2244"/>
      <c r="R51" s="2312" t="s">
        <v>2518</v>
      </c>
      <c r="S51" s="2312"/>
      <c r="T51" s="2312"/>
      <c r="U51" s="2312"/>
      <c r="V51" s="2312"/>
      <c r="W51" s="2312"/>
      <c r="X51" s="2312"/>
      <c r="Y51" s="2312"/>
      <c r="Z51" s="2312" t="s">
        <v>2519</v>
      </c>
      <c r="AA51" s="2312"/>
      <c r="AB51" s="2312"/>
      <c r="AC51" s="2312"/>
      <c r="AD51" s="2312"/>
      <c r="AE51" s="2312"/>
      <c r="AF51" s="2312"/>
      <c r="AG51" s="2312"/>
      <c r="AH51" s="2312" t="s">
        <v>2520</v>
      </c>
      <c r="AI51" s="2312"/>
      <c r="AJ51" s="2312"/>
      <c r="AK51" s="2312"/>
      <c r="AL51" s="2312"/>
      <c r="AM51" s="2312"/>
      <c r="AN51" s="2312"/>
      <c r="AO51" s="231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70" t="s">
        <v>2521</v>
      </c>
      <c r="C52" s="2271"/>
      <c r="D52" s="2271"/>
      <c r="E52" s="2271"/>
      <c r="F52" s="2271"/>
      <c r="G52" s="2271"/>
      <c r="H52" s="2271"/>
      <c r="I52" s="2271"/>
      <c r="J52" s="2135">
        <v>0</v>
      </c>
      <c r="K52" s="2135"/>
      <c r="L52" s="2135"/>
      <c r="M52" s="2135"/>
      <c r="N52" s="2135"/>
      <c r="O52" s="2135"/>
      <c r="P52" s="2135"/>
      <c r="Q52" s="2135"/>
      <c r="R52" s="2304">
        <v>0</v>
      </c>
      <c r="S52" s="2304"/>
      <c r="T52" s="2304"/>
      <c r="U52" s="2304"/>
      <c r="V52" s="2304"/>
      <c r="W52" s="2304"/>
      <c r="X52" s="2304"/>
      <c r="Y52" s="2304"/>
      <c r="Z52" s="2305">
        <v>0</v>
      </c>
      <c r="AA52" s="2305"/>
      <c r="AB52" s="2305"/>
      <c r="AC52" s="2305"/>
      <c r="AD52" s="2305"/>
      <c r="AE52" s="2305"/>
      <c r="AF52" s="2305"/>
      <c r="AG52" s="2305"/>
      <c r="AH52" s="2306"/>
      <c r="AI52" s="2306"/>
      <c r="AJ52" s="2306"/>
      <c r="AK52" s="2306"/>
      <c r="AL52" s="2306"/>
      <c r="AM52" s="2306"/>
      <c r="AN52" s="2306"/>
      <c r="AO52" s="2307"/>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70" t="s">
        <v>2522</v>
      </c>
      <c r="C53" s="2271"/>
      <c r="D53" s="2271"/>
      <c r="E53" s="2271"/>
      <c r="F53" s="2271"/>
      <c r="G53" s="2271"/>
      <c r="H53" s="2271"/>
      <c r="I53" s="2271"/>
      <c r="J53" s="2135">
        <v>0</v>
      </c>
      <c r="K53" s="2135"/>
      <c r="L53" s="2135"/>
      <c r="M53" s="2135"/>
      <c r="N53" s="2135"/>
      <c r="O53" s="2135"/>
      <c r="P53" s="2135"/>
      <c r="Q53" s="2135"/>
      <c r="R53" s="2304">
        <v>0</v>
      </c>
      <c r="S53" s="2304"/>
      <c r="T53" s="2304"/>
      <c r="U53" s="2304"/>
      <c r="V53" s="2304"/>
      <c r="W53" s="2304"/>
      <c r="X53" s="2304"/>
      <c r="Y53" s="2304"/>
      <c r="Z53" s="2305">
        <v>0</v>
      </c>
      <c r="AA53" s="2305"/>
      <c r="AB53" s="2305"/>
      <c r="AC53" s="2305"/>
      <c r="AD53" s="2305"/>
      <c r="AE53" s="2305"/>
      <c r="AF53" s="2305"/>
      <c r="AG53" s="2305"/>
      <c r="AH53" s="2306"/>
      <c r="AI53" s="2306"/>
      <c r="AJ53" s="2306"/>
      <c r="AK53" s="2306"/>
      <c r="AL53" s="2306"/>
      <c r="AM53" s="2306"/>
      <c r="AN53" s="2306"/>
      <c r="AO53" s="2307"/>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70"/>
      <c r="C54" s="2271"/>
      <c r="D54" s="2271"/>
      <c r="E54" s="2271"/>
      <c r="F54" s="2271"/>
      <c r="G54" s="2271"/>
      <c r="H54" s="2271"/>
      <c r="I54" s="2271"/>
      <c r="J54" s="2135"/>
      <c r="K54" s="2135"/>
      <c r="L54" s="2135"/>
      <c r="M54" s="2135"/>
      <c r="N54" s="2135"/>
      <c r="O54" s="2135"/>
      <c r="P54" s="2135"/>
      <c r="Q54" s="2135"/>
      <c r="R54" s="2304"/>
      <c r="S54" s="2304"/>
      <c r="T54" s="2304"/>
      <c r="U54" s="2304"/>
      <c r="V54" s="2304"/>
      <c r="W54" s="2304"/>
      <c r="X54" s="2304"/>
      <c r="Y54" s="2304"/>
      <c r="Z54" s="2305"/>
      <c r="AA54" s="2305"/>
      <c r="AB54" s="2305"/>
      <c r="AC54" s="2305"/>
      <c r="AD54" s="2305"/>
      <c r="AE54" s="2305"/>
      <c r="AF54" s="2305"/>
      <c r="AG54" s="2305"/>
      <c r="AH54" s="2306"/>
      <c r="AI54" s="2306"/>
      <c r="AJ54" s="2306"/>
      <c r="AK54" s="2306"/>
      <c r="AL54" s="2306"/>
      <c r="AM54" s="2306"/>
      <c r="AN54" s="2306"/>
      <c r="AO54" s="2307"/>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70"/>
      <c r="C55" s="2271"/>
      <c r="D55" s="2271"/>
      <c r="E55" s="2271"/>
      <c r="F55" s="2271"/>
      <c r="G55" s="2271"/>
      <c r="H55" s="2271"/>
      <c r="I55" s="2271"/>
      <c r="J55" s="2135"/>
      <c r="K55" s="2135"/>
      <c r="L55" s="2135"/>
      <c r="M55" s="2135"/>
      <c r="N55" s="2135"/>
      <c r="O55" s="2135"/>
      <c r="P55" s="2135"/>
      <c r="Q55" s="2135"/>
      <c r="R55" s="2304"/>
      <c r="S55" s="2304"/>
      <c r="T55" s="2304"/>
      <c r="U55" s="2304"/>
      <c r="V55" s="2304"/>
      <c r="W55" s="2304"/>
      <c r="X55" s="2304"/>
      <c r="Y55" s="2304"/>
      <c r="Z55" s="2305"/>
      <c r="AA55" s="2305"/>
      <c r="AB55" s="2305"/>
      <c r="AC55" s="2305"/>
      <c r="AD55" s="2305"/>
      <c r="AE55" s="2305"/>
      <c r="AF55" s="2305"/>
      <c r="AG55" s="2305"/>
      <c r="AH55" s="2306"/>
      <c r="AI55" s="2306"/>
      <c r="AJ55" s="2306"/>
      <c r="AK55" s="2306"/>
      <c r="AL55" s="2306"/>
      <c r="AM55" s="2306"/>
      <c r="AN55" s="2306"/>
      <c r="AO55" s="2307"/>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70"/>
      <c r="C56" s="2271"/>
      <c r="D56" s="2271"/>
      <c r="E56" s="2271"/>
      <c r="F56" s="2271"/>
      <c r="G56" s="2271"/>
      <c r="H56" s="2271"/>
      <c r="I56" s="2271"/>
      <c r="J56" s="2135"/>
      <c r="K56" s="2135"/>
      <c r="L56" s="2135"/>
      <c r="M56" s="2135"/>
      <c r="N56" s="2135"/>
      <c r="O56" s="2135"/>
      <c r="P56" s="2135"/>
      <c r="Q56" s="2135"/>
      <c r="R56" s="2304"/>
      <c r="S56" s="2304"/>
      <c r="T56" s="2304"/>
      <c r="U56" s="2304"/>
      <c r="V56" s="2304"/>
      <c r="W56" s="2304"/>
      <c r="X56" s="2304"/>
      <c r="Y56" s="2304"/>
      <c r="Z56" s="2305"/>
      <c r="AA56" s="2305"/>
      <c r="AB56" s="2305"/>
      <c r="AC56" s="2305"/>
      <c r="AD56" s="2305"/>
      <c r="AE56" s="2305"/>
      <c r="AF56" s="2305"/>
      <c r="AG56" s="2305"/>
      <c r="AH56" s="2306"/>
      <c r="AI56" s="2306"/>
      <c r="AJ56" s="2306"/>
      <c r="AK56" s="2306"/>
      <c r="AL56" s="2306"/>
      <c r="AM56" s="2306"/>
      <c r="AN56" s="2306"/>
      <c r="AO56" s="2307"/>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53" t="s">
        <v>2423</v>
      </c>
      <c r="C57" s="2254"/>
      <c r="D57" s="2254"/>
      <c r="E57" s="2254"/>
      <c r="F57" s="2254"/>
      <c r="G57" s="2254"/>
      <c r="H57" s="2254"/>
      <c r="I57" s="2254"/>
      <c r="J57" s="2254"/>
      <c r="K57" s="2254"/>
      <c r="L57" s="2254"/>
      <c r="M57" s="2254"/>
      <c r="N57" s="2254"/>
      <c r="O57" s="2254"/>
      <c r="P57" s="2254"/>
      <c r="Q57" s="2254"/>
      <c r="R57" s="2308">
        <f>SUM(R52:Y56)</f>
        <v>0</v>
      </c>
      <c r="S57" s="2308"/>
      <c r="T57" s="2308"/>
      <c r="U57" s="2308"/>
      <c r="V57" s="2308"/>
      <c r="W57" s="2308"/>
      <c r="X57" s="2308"/>
      <c r="Y57" s="2308"/>
      <c r="Z57" s="2309">
        <f>SUM(Z52:AG56)</f>
        <v>0</v>
      </c>
      <c r="AA57" s="2309"/>
      <c r="AB57" s="2309"/>
      <c r="AC57" s="2309"/>
      <c r="AD57" s="2309"/>
      <c r="AE57" s="2309"/>
      <c r="AF57" s="2309"/>
      <c r="AG57" s="2309"/>
      <c r="AH57" s="2310"/>
      <c r="AI57" s="2310"/>
      <c r="AJ57" s="2310"/>
      <c r="AK57" s="2310"/>
      <c r="AL57" s="2310"/>
      <c r="AM57" s="2310"/>
      <c r="AN57" s="2310"/>
      <c r="AO57" s="2311"/>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301" t="s">
        <v>2516</v>
      </c>
      <c r="C59" s="2302"/>
      <c r="D59" s="2302"/>
      <c r="E59" s="2302"/>
      <c r="F59" s="2302"/>
      <c r="G59" s="2302"/>
      <c r="H59" s="2302"/>
      <c r="I59" s="2303"/>
      <c r="J59" s="2233" t="s">
        <v>2523</v>
      </c>
      <c r="K59" s="2233"/>
      <c r="L59" s="2233"/>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c r="AS59" s="2233"/>
      <c r="AT59" s="2233"/>
      <c r="AU59" s="2233"/>
      <c r="AV59" s="2233"/>
      <c r="AW59" s="2234"/>
      <c r="AX59" s="1086"/>
      <c r="AY59" s="1086"/>
      <c r="AZ59" s="1086"/>
      <c r="BA59" s="1086"/>
      <c r="BB59" s="1086"/>
      <c r="BC59" s="1086"/>
      <c r="BD59" s="1086"/>
      <c r="BE59" s="1092"/>
    </row>
    <row r="60" spans="1:58" ht="15.75" customHeight="1">
      <c r="A60" s="1086"/>
      <c r="B60" s="2293" t="str">
        <f>IF(B52="", "", B52)</f>
        <v>Services Company 1</v>
      </c>
      <c r="C60" s="2294"/>
      <c r="D60" s="2294"/>
      <c r="E60" s="2294"/>
      <c r="F60" s="2294"/>
      <c r="G60" s="2294"/>
      <c r="H60" s="2294"/>
      <c r="I60" s="2295"/>
      <c r="J60" s="2296"/>
      <c r="K60" s="2138"/>
      <c r="L60" s="2138"/>
      <c r="M60" s="2138"/>
      <c r="N60" s="2138"/>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c r="AS60" s="2138"/>
      <c r="AT60" s="2138"/>
      <c r="AU60" s="2138"/>
      <c r="AV60" s="2138"/>
      <c r="AW60" s="2139"/>
      <c r="AX60" s="1086"/>
      <c r="AY60" s="1086"/>
      <c r="AZ60" s="1086"/>
      <c r="BA60" s="1086"/>
      <c r="BB60" s="1086"/>
      <c r="BC60" s="1086"/>
      <c r="BD60" s="1086"/>
      <c r="BE60" s="1092"/>
    </row>
    <row r="61" spans="1:58" ht="15.75" customHeight="1">
      <c r="A61" s="1086"/>
      <c r="B61" s="2293" t="str">
        <f>IF(B53="", "", B53)</f>
        <v>Services Company 2</v>
      </c>
      <c r="C61" s="2294"/>
      <c r="D61" s="2294"/>
      <c r="E61" s="2294"/>
      <c r="F61" s="2294"/>
      <c r="G61" s="2294"/>
      <c r="H61" s="2294"/>
      <c r="I61" s="2295"/>
      <c r="J61" s="2296"/>
      <c r="K61" s="2138"/>
      <c r="L61" s="2138"/>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c r="AS61" s="2138"/>
      <c r="AT61" s="2138"/>
      <c r="AU61" s="2138"/>
      <c r="AV61" s="2138"/>
      <c r="AW61" s="2139"/>
      <c r="AX61" s="1086"/>
      <c r="AY61" s="1086"/>
      <c r="AZ61" s="1086"/>
      <c r="BA61" s="1086"/>
      <c r="BB61" s="1086"/>
      <c r="BC61" s="1086"/>
      <c r="BD61" s="1086"/>
      <c r="BE61" s="1092"/>
    </row>
    <row r="62" spans="1:58" ht="15.75" customHeight="1">
      <c r="A62" s="1086"/>
      <c r="B62" s="2293" t="str">
        <f>IF(B54="", "", B54)</f>
        <v/>
      </c>
      <c r="C62" s="2294"/>
      <c r="D62" s="2294"/>
      <c r="E62" s="2294"/>
      <c r="F62" s="2294"/>
      <c r="G62" s="2294"/>
      <c r="H62" s="2294"/>
      <c r="I62" s="2295"/>
      <c r="J62" s="2296"/>
      <c r="K62" s="2138"/>
      <c r="L62" s="2138"/>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c r="AS62" s="2138"/>
      <c r="AT62" s="2138"/>
      <c r="AU62" s="2138"/>
      <c r="AV62" s="2138"/>
      <c r="AW62" s="2139"/>
      <c r="AX62" s="1086"/>
      <c r="AY62" s="1086"/>
      <c r="AZ62" s="1086"/>
      <c r="BA62" s="1086"/>
      <c r="BB62" s="1086"/>
      <c r="BC62" s="1086"/>
      <c r="BD62" s="1086"/>
      <c r="BE62" s="1092"/>
    </row>
    <row r="63" spans="1:58" ht="15.75" customHeight="1">
      <c r="A63" s="1086"/>
      <c r="B63" s="2293" t="str">
        <f>IF(B55="", "", B55)</f>
        <v/>
      </c>
      <c r="C63" s="2294"/>
      <c r="D63" s="2294"/>
      <c r="E63" s="2294"/>
      <c r="F63" s="2294"/>
      <c r="G63" s="2294"/>
      <c r="H63" s="2294"/>
      <c r="I63" s="2295"/>
      <c r="J63" s="2296"/>
      <c r="K63" s="2138"/>
      <c r="L63" s="2138"/>
      <c r="M63" s="2138"/>
      <c r="N63" s="2138"/>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c r="AS63" s="2138"/>
      <c r="AT63" s="2138"/>
      <c r="AU63" s="2138"/>
      <c r="AV63" s="2138"/>
      <c r="AW63" s="2139"/>
      <c r="AX63" s="1086"/>
      <c r="AY63" s="1086"/>
      <c r="AZ63" s="1086"/>
      <c r="BA63" s="1086"/>
      <c r="BB63" s="1086"/>
      <c r="BC63" s="1086"/>
      <c r="BD63" s="1086"/>
      <c r="BE63" s="1092"/>
    </row>
    <row r="64" spans="1:58" ht="15.75" customHeight="1" thickBot="1">
      <c r="A64" s="1086"/>
      <c r="B64" s="2297" t="str">
        <f>IF(B56="", "", B56)</f>
        <v/>
      </c>
      <c r="C64" s="2298"/>
      <c r="D64" s="2298"/>
      <c r="E64" s="2298"/>
      <c r="F64" s="2298"/>
      <c r="G64" s="2298"/>
      <c r="H64" s="2298"/>
      <c r="I64" s="2299"/>
      <c r="J64" s="230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c r="AS64" s="2280"/>
      <c r="AT64" s="2280"/>
      <c r="AU64" s="2280"/>
      <c r="AV64" s="2280"/>
      <c r="AW64" s="2281"/>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2524</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32" t="s">
        <v>2525</v>
      </c>
      <c r="C68" s="2233"/>
      <c r="D68" s="2233"/>
      <c r="E68" s="2233"/>
      <c r="F68" s="2233"/>
      <c r="G68" s="2233"/>
      <c r="H68" s="2233"/>
      <c r="I68" s="2233"/>
      <c r="J68" s="2233"/>
      <c r="K68" s="2233"/>
      <c r="L68" s="2233"/>
      <c r="M68" s="2233"/>
      <c r="N68" s="2233"/>
      <c r="O68" s="2233"/>
      <c r="P68" s="2233"/>
      <c r="Q68" s="2233"/>
      <c r="R68" s="2233"/>
      <c r="S68" s="2233"/>
      <c r="T68" s="2233"/>
      <c r="U68" s="2233"/>
      <c r="V68" s="2233"/>
      <c r="W68" s="2233"/>
      <c r="X68" s="2233"/>
      <c r="Y68" s="2233"/>
      <c r="Z68" s="2233"/>
      <c r="AA68" s="2234"/>
      <c r="AB68" s="1086"/>
      <c r="AC68" s="2174" t="s">
        <v>2526</v>
      </c>
      <c r="AD68" s="2175"/>
      <c r="AE68" s="2175"/>
      <c r="AF68" s="2175"/>
      <c r="AG68" s="2175"/>
      <c r="AH68" s="2175"/>
      <c r="AI68" s="2175"/>
      <c r="AJ68" s="2175"/>
      <c r="AK68" s="2175"/>
      <c r="AL68" s="2175"/>
      <c r="AM68" s="2175"/>
      <c r="AN68" s="2175"/>
      <c r="AO68" s="2175"/>
      <c r="AP68" s="2175"/>
      <c r="AQ68" s="2175"/>
      <c r="AR68" s="2175"/>
      <c r="AS68" s="2175"/>
      <c r="AT68" s="2175"/>
      <c r="AU68" s="2175"/>
      <c r="AV68" s="2282" t="s">
        <v>837</v>
      </c>
      <c r="AW68" s="2218"/>
      <c r="AX68" s="2218"/>
      <c r="AY68" s="2218"/>
      <c r="AZ68" s="2218"/>
      <c r="BA68" s="2218"/>
      <c r="BB68" s="2218"/>
      <c r="BC68" s="2219"/>
      <c r="BD68" s="1086"/>
      <c r="BE68" s="1092"/>
      <c r="BM68" s="1097" t="s">
        <v>2527</v>
      </c>
    </row>
    <row r="69" spans="1:65" ht="15.75" customHeight="1" thickTop="1" thickBot="1">
      <c r="A69" s="1086"/>
      <c r="B69" s="2283" t="s">
        <v>2528</v>
      </c>
      <c r="C69" s="2284"/>
      <c r="D69" s="2284"/>
      <c r="E69" s="2284"/>
      <c r="F69" s="2284"/>
      <c r="G69" s="2284"/>
      <c r="H69" s="2284"/>
      <c r="I69" s="2284"/>
      <c r="J69" s="2284"/>
      <c r="K69" s="2284"/>
      <c r="L69" s="2284"/>
      <c r="M69" s="2284"/>
      <c r="N69" s="2284"/>
      <c r="O69" s="2285" t="s">
        <v>2529</v>
      </c>
      <c r="P69" s="2286"/>
      <c r="Q69" s="2286"/>
      <c r="R69" s="2286"/>
      <c r="S69" s="2286"/>
      <c r="T69" s="2286"/>
      <c r="U69" s="2286"/>
      <c r="V69" s="2286"/>
      <c r="W69" s="2286"/>
      <c r="X69" s="2286"/>
      <c r="Y69" s="2286"/>
      <c r="Z69" s="2286"/>
      <c r="AA69" s="2287"/>
      <c r="AB69" s="1086"/>
      <c r="AC69" s="2288" t="s">
        <v>2530</v>
      </c>
      <c r="AD69" s="2289"/>
      <c r="AE69" s="2289"/>
      <c r="AF69" s="2289"/>
      <c r="AG69" s="2289"/>
      <c r="AH69" s="2289"/>
      <c r="AI69" s="2289"/>
      <c r="AJ69" s="2289"/>
      <c r="AK69" s="2289"/>
      <c r="AL69" s="2289"/>
      <c r="AM69" s="2289"/>
      <c r="AN69" s="2289"/>
      <c r="AO69" s="2289"/>
      <c r="AP69" s="2289"/>
      <c r="AQ69" s="2289"/>
      <c r="AR69" s="2289"/>
      <c r="AS69" s="2289"/>
      <c r="AT69" s="2289"/>
      <c r="AU69" s="2289"/>
      <c r="AV69" s="2290"/>
      <c r="AW69" s="2291"/>
      <c r="AX69" s="2291"/>
      <c r="AY69" s="2291"/>
      <c r="AZ69" s="2291"/>
      <c r="BA69" s="2291"/>
      <c r="BB69" s="2291"/>
      <c r="BC69" s="2292"/>
      <c r="BD69" s="1086"/>
      <c r="BE69" s="1092"/>
      <c r="BM69" s="1098" t="s">
        <v>946</v>
      </c>
    </row>
    <row r="70" spans="1:65" ht="15.75" customHeight="1">
      <c r="A70" s="1086"/>
      <c r="B70" s="2265" t="s">
        <v>2531</v>
      </c>
      <c r="C70" s="2266"/>
      <c r="D70" s="2266"/>
      <c r="E70" s="2266"/>
      <c r="F70" s="2266"/>
      <c r="G70" s="2266"/>
      <c r="H70" s="2266"/>
      <c r="I70" s="2266"/>
      <c r="J70" s="2266"/>
      <c r="K70" s="2266"/>
      <c r="L70" s="2266"/>
      <c r="M70" s="2266"/>
      <c r="N70" s="2266"/>
      <c r="O70" s="2168">
        <v>0</v>
      </c>
      <c r="P70" s="2168"/>
      <c r="Q70" s="2168"/>
      <c r="R70" s="2168"/>
      <c r="S70" s="2168"/>
      <c r="T70" s="2168"/>
      <c r="U70" s="2168"/>
      <c r="V70" s="2168"/>
      <c r="W70" s="2168"/>
      <c r="X70" s="2168"/>
      <c r="Y70" s="2168"/>
      <c r="Z70" s="2168"/>
      <c r="AA70" s="2267"/>
      <c r="AB70" s="1086"/>
      <c r="AC70" s="2210" t="s">
        <v>2532</v>
      </c>
      <c r="AD70" s="2176"/>
      <c r="AE70" s="2176"/>
      <c r="AF70" s="2276"/>
      <c r="AG70" s="2276"/>
      <c r="AH70" s="2276"/>
      <c r="AI70" s="2276"/>
      <c r="AJ70" s="2276"/>
      <c r="AK70" s="2276"/>
      <c r="AL70" s="2276"/>
      <c r="AM70" s="2276"/>
      <c r="AN70" s="2276"/>
      <c r="AO70" s="2276"/>
      <c r="AP70" s="2276"/>
      <c r="AQ70" s="2276"/>
      <c r="AR70" s="2276"/>
      <c r="AS70" s="2276"/>
      <c r="AT70" s="2276"/>
      <c r="AU70" s="2277"/>
      <c r="AV70" s="1086"/>
      <c r="AW70" s="1086"/>
      <c r="AX70" s="1086"/>
      <c r="AY70" s="1086"/>
      <c r="AZ70" s="1086"/>
      <c r="BA70" s="1086"/>
      <c r="BB70" s="1086"/>
      <c r="BC70" s="1086"/>
      <c r="BD70" s="1086"/>
      <c r="BE70" s="1092"/>
      <c r="BM70" s="1099" t="s">
        <v>837</v>
      </c>
    </row>
    <row r="71" spans="1:65" ht="15.75" customHeight="1" thickBot="1">
      <c r="A71" s="1086"/>
      <c r="B71" s="2265" t="s">
        <v>2533</v>
      </c>
      <c r="C71" s="2266"/>
      <c r="D71" s="2266"/>
      <c r="E71" s="2266"/>
      <c r="F71" s="2266"/>
      <c r="G71" s="2266"/>
      <c r="H71" s="2266"/>
      <c r="I71" s="2266"/>
      <c r="J71" s="2266"/>
      <c r="K71" s="2266"/>
      <c r="L71" s="2266"/>
      <c r="M71" s="2266"/>
      <c r="N71" s="2266"/>
      <c r="O71" s="2168">
        <v>0</v>
      </c>
      <c r="P71" s="2168"/>
      <c r="Q71" s="2168"/>
      <c r="R71" s="2168"/>
      <c r="S71" s="2168"/>
      <c r="T71" s="2168"/>
      <c r="U71" s="2168"/>
      <c r="V71" s="2168"/>
      <c r="W71" s="2168"/>
      <c r="X71" s="2168"/>
      <c r="Y71" s="2168"/>
      <c r="Z71" s="2168"/>
      <c r="AA71" s="2267"/>
      <c r="AB71" s="1086"/>
      <c r="AC71" s="2278" t="s">
        <v>2534</v>
      </c>
      <c r="AD71" s="2279"/>
      <c r="AE71" s="2279"/>
      <c r="AF71" s="2280"/>
      <c r="AG71" s="2280"/>
      <c r="AH71" s="2280"/>
      <c r="AI71" s="2280"/>
      <c r="AJ71" s="2280"/>
      <c r="AK71" s="2280"/>
      <c r="AL71" s="2280"/>
      <c r="AM71" s="2280"/>
      <c r="AN71" s="2280"/>
      <c r="AO71" s="2280"/>
      <c r="AP71" s="2280"/>
      <c r="AQ71" s="2280"/>
      <c r="AR71" s="2280"/>
      <c r="AS71" s="2280"/>
      <c r="AT71" s="2280"/>
      <c r="AU71" s="2281"/>
      <c r="AV71" s="1086"/>
      <c r="AW71" s="1086"/>
      <c r="AX71" s="1086"/>
      <c r="AY71" s="1086"/>
      <c r="AZ71" s="1086"/>
      <c r="BA71" s="1086"/>
      <c r="BB71" s="1086"/>
      <c r="BC71" s="1086"/>
      <c r="BD71" s="1086"/>
      <c r="BE71" s="1092"/>
      <c r="BM71" s="1083" t="s">
        <v>2535</v>
      </c>
    </row>
    <row r="72" spans="1:65" ht="15.75" customHeight="1">
      <c r="A72" s="1086"/>
      <c r="B72" s="2265" t="s">
        <v>2536</v>
      </c>
      <c r="C72" s="2266"/>
      <c r="D72" s="2266"/>
      <c r="E72" s="2266"/>
      <c r="F72" s="2266"/>
      <c r="G72" s="2266"/>
      <c r="H72" s="2266"/>
      <c r="I72" s="2266"/>
      <c r="J72" s="2266"/>
      <c r="K72" s="2266"/>
      <c r="L72" s="2266"/>
      <c r="M72" s="2266"/>
      <c r="N72" s="2266"/>
      <c r="O72" s="2168">
        <v>0</v>
      </c>
      <c r="P72" s="2168"/>
      <c r="Q72" s="2168"/>
      <c r="R72" s="2168"/>
      <c r="S72" s="2168"/>
      <c r="T72" s="2168"/>
      <c r="U72" s="2168"/>
      <c r="V72" s="2168"/>
      <c r="W72" s="2168"/>
      <c r="X72" s="2168"/>
      <c r="Y72" s="2168"/>
      <c r="Z72" s="2168"/>
      <c r="AA72" s="2267"/>
      <c r="AB72" s="1086"/>
      <c r="AC72" s="2268" t="s">
        <v>2537</v>
      </c>
      <c r="AD72" s="2269"/>
      <c r="AE72" s="2269"/>
      <c r="AF72" s="2269"/>
      <c r="AG72" s="2269"/>
      <c r="AH72" s="2269"/>
      <c r="AI72" s="2269"/>
      <c r="AJ72" s="2269"/>
      <c r="AK72" s="2269"/>
      <c r="AL72" s="2269"/>
      <c r="AM72" s="2269"/>
      <c r="AN72" s="2269"/>
      <c r="AO72" s="2269"/>
      <c r="AP72" s="2269"/>
      <c r="AQ72" s="2269"/>
      <c r="AR72" s="2269"/>
      <c r="AS72" s="2269"/>
      <c r="AT72" s="2269"/>
      <c r="AU72" s="2269"/>
      <c r="AV72" s="2176"/>
      <c r="AW72" s="2176"/>
      <c r="AX72" s="2176"/>
      <c r="AY72" s="2176"/>
      <c r="AZ72" s="2176"/>
      <c r="BA72" s="2176"/>
      <c r="BB72" s="2176"/>
      <c r="BC72" s="2177"/>
      <c r="BD72" s="1086"/>
      <c r="BE72" s="1092"/>
    </row>
    <row r="73" spans="1:65" ht="15.75" customHeight="1">
      <c r="A73" s="1086"/>
      <c r="B73" s="2270" t="s">
        <v>2538</v>
      </c>
      <c r="C73" s="2271"/>
      <c r="D73" s="2271"/>
      <c r="E73" s="2271"/>
      <c r="F73" s="2271"/>
      <c r="G73" s="2271"/>
      <c r="H73" s="2271"/>
      <c r="I73" s="2271"/>
      <c r="J73" s="2271"/>
      <c r="K73" s="2271"/>
      <c r="L73" s="2271"/>
      <c r="M73" s="2271"/>
      <c r="N73" s="2271"/>
      <c r="O73" s="2168">
        <v>0</v>
      </c>
      <c r="P73" s="2168"/>
      <c r="Q73" s="2168"/>
      <c r="R73" s="2168"/>
      <c r="S73" s="2168"/>
      <c r="T73" s="2168"/>
      <c r="U73" s="2168"/>
      <c r="V73" s="2168"/>
      <c r="W73" s="2168"/>
      <c r="X73" s="2168"/>
      <c r="Y73" s="2168"/>
      <c r="Z73" s="2168"/>
      <c r="AA73" s="2267"/>
      <c r="AB73" s="1086"/>
      <c r="AC73" s="2187" t="s">
        <v>2539</v>
      </c>
      <c r="AD73" s="2188"/>
      <c r="AE73" s="2188"/>
      <c r="AF73" s="2188"/>
      <c r="AG73" s="2188"/>
      <c r="AH73" s="2188"/>
      <c r="AI73" s="2188"/>
      <c r="AJ73" s="2188"/>
      <c r="AK73" s="2188"/>
      <c r="AL73" s="2188"/>
      <c r="AM73" s="2188"/>
      <c r="AN73" s="2188"/>
      <c r="AO73" s="2188"/>
      <c r="AP73" s="2188"/>
      <c r="AQ73" s="2188"/>
      <c r="AR73" s="2188"/>
      <c r="AS73" s="2188"/>
      <c r="AT73" s="2188"/>
      <c r="AU73" s="2188"/>
      <c r="AV73" s="2188"/>
      <c r="AW73" s="2188"/>
      <c r="AX73" s="2188"/>
      <c r="AY73" s="2188"/>
      <c r="AZ73" s="2188"/>
      <c r="BA73" s="2188"/>
      <c r="BB73" s="2188"/>
      <c r="BC73" s="2189"/>
      <c r="BD73" s="1086"/>
      <c r="BE73" s="1092"/>
    </row>
    <row r="74" spans="1:65" ht="15.75" customHeight="1">
      <c r="A74" s="1086"/>
      <c r="B74" s="2134"/>
      <c r="C74" s="2135"/>
      <c r="D74" s="2135"/>
      <c r="E74" s="2135"/>
      <c r="F74" s="2135"/>
      <c r="G74" s="2135"/>
      <c r="H74" s="2135"/>
      <c r="I74" s="2135"/>
      <c r="J74" s="2135"/>
      <c r="K74" s="2135"/>
      <c r="L74" s="2135"/>
      <c r="M74" s="2135"/>
      <c r="N74" s="2135"/>
      <c r="O74" s="2168"/>
      <c r="P74" s="2168"/>
      <c r="Q74" s="2168"/>
      <c r="R74" s="2168"/>
      <c r="S74" s="2168"/>
      <c r="T74" s="2168"/>
      <c r="U74" s="2168"/>
      <c r="V74" s="2168"/>
      <c r="W74" s="2168"/>
      <c r="X74" s="2168"/>
      <c r="Y74" s="2168"/>
      <c r="Z74" s="2168"/>
      <c r="AA74" s="2267"/>
      <c r="AB74" s="1086"/>
      <c r="AC74" s="2187"/>
      <c r="AD74" s="2188"/>
      <c r="AE74" s="2188"/>
      <c r="AF74" s="2188"/>
      <c r="AG74" s="2188"/>
      <c r="AH74" s="2188"/>
      <c r="AI74" s="2188"/>
      <c r="AJ74" s="2188"/>
      <c r="AK74" s="2188"/>
      <c r="AL74" s="2188"/>
      <c r="AM74" s="2188"/>
      <c r="AN74" s="2188"/>
      <c r="AO74" s="2188"/>
      <c r="AP74" s="2188"/>
      <c r="AQ74" s="2188"/>
      <c r="AR74" s="2188"/>
      <c r="AS74" s="2188"/>
      <c r="AT74" s="2188"/>
      <c r="AU74" s="2188"/>
      <c r="AV74" s="2188"/>
      <c r="AW74" s="2188"/>
      <c r="AX74" s="2188"/>
      <c r="AY74" s="2188"/>
      <c r="AZ74" s="2188"/>
      <c r="BA74" s="2188"/>
      <c r="BB74" s="2188"/>
      <c r="BC74" s="2189"/>
      <c r="BD74" s="1086"/>
      <c r="BE74" s="1092"/>
    </row>
    <row r="75" spans="1:65" ht="15.75" customHeight="1" thickBot="1">
      <c r="A75" s="1086"/>
      <c r="B75" s="2272" t="s">
        <v>1582</v>
      </c>
      <c r="C75" s="2273"/>
      <c r="D75" s="2273"/>
      <c r="E75" s="2273"/>
      <c r="F75" s="2273"/>
      <c r="G75" s="2273"/>
      <c r="H75" s="2273"/>
      <c r="I75" s="2273"/>
      <c r="J75" s="2273"/>
      <c r="K75" s="2273"/>
      <c r="L75" s="2273"/>
      <c r="M75" s="2273"/>
      <c r="N75" s="2273"/>
      <c r="O75" s="2274">
        <f>SUM(O70:AA74)</f>
        <v>0</v>
      </c>
      <c r="P75" s="2274"/>
      <c r="Q75" s="2274"/>
      <c r="R75" s="2274"/>
      <c r="S75" s="2274"/>
      <c r="T75" s="2274"/>
      <c r="U75" s="2274"/>
      <c r="V75" s="2274"/>
      <c r="W75" s="2274"/>
      <c r="X75" s="2274"/>
      <c r="Y75" s="2274"/>
      <c r="Z75" s="2274"/>
      <c r="AA75" s="2275"/>
      <c r="AB75" s="1086"/>
      <c r="AC75" s="2187"/>
      <c r="AD75" s="2188"/>
      <c r="AE75" s="2188"/>
      <c r="AF75" s="2188"/>
      <c r="AG75" s="2188"/>
      <c r="AH75" s="2188"/>
      <c r="AI75" s="2188"/>
      <c r="AJ75" s="2188"/>
      <c r="AK75" s="2188"/>
      <c r="AL75" s="2188"/>
      <c r="AM75" s="2188"/>
      <c r="AN75" s="2188"/>
      <c r="AO75" s="2188"/>
      <c r="AP75" s="2188"/>
      <c r="AQ75" s="2188"/>
      <c r="AR75" s="2188"/>
      <c r="AS75" s="2188"/>
      <c r="AT75" s="2188"/>
      <c r="AU75" s="2188"/>
      <c r="AV75" s="2188"/>
      <c r="AW75" s="2188"/>
      <c r="AX75" s="2188"/>
      <c r="AY75" s="2188"/>
      <c r="AZ75" s="2188"/>
      <c r="BA75" s="2188"/>
      <c r="BB75" s="2188"/>
      <c r="BC75" s="2189"/>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87"/>
      <c r="AD76" s="2188"/>
      <c r="AE76" s="2188"/>
      <c r="AF76" s="2188"/>
      <c r="AG76" s="2188"/>
      <c r="AH76" s="2188"/>
      <c r="AI76" s="2188"/>
      <c r="AJ76" s="2188"/>
      <c r="AK76" s="2188"/>
      <c r="AL76" s="2188"/>
      <c r="AM76" s="2188"/>
      <c r="AN76" s="2188"/>
      <c r="AO76" s="2188"/>
      <c r="AP76" s="2188"/>
      <c r="AQ76" s="2188"/>
      <c r="AR76" s="2188"/>
      <c r="AS76" s="2188"/>
      <c r="AT76" s="2188"/>
      <c r="AU76" s="2188"/>
      <c r="AV76" s="2188"/>
      <c r="AW76" s="2188"/>
      <c r="AX76" s="2188"/>
      <c r="AY76" s="2188"/>
      <c r="AZ76" s="2188"/>
      <c r="BA76" s="2188"/>
      <c r="BB76" s="2188"/>
      <c r="BC76" s="2189"/>
      <c r="BD76" s="1086"/>
      <c r="BE76" s="1092"/>
    </row>
    <row r="77" spans="1:65" ht="15.75" customHeight="1" thickBot="1">
      <c r="A77" s="1086"/>
      <c r="B77" s="1100" t="s">
        <v>2540</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90"/>
      <c r="AD77" s="2191"/>
      <c r="AE77" s="2191"/>
      <c r="AF77" s="2191"/>
      <c r="AG77" s="2191"/>
      <c r="AH77" s="2191"/>
      <c r="AI77" s="2191"/>
      <c r="AJ77" s="2191"/>
      <c r="AK77" s="2191"/>
      <c r="AL77" s="2191"/>
      <c r="AM77" s="2191"/>
      <c r="AN77" s="2191"/>
      <c r="AO77" s="2191"/>
      <c r="AP77" s="2191"/>
      <c r="AQ77" s="2191"/>
      <c r="AR77" s="2191"/>
      <c r="AS77" s="2191"/>
      <c r="AT77" s="2191"/>
      <c r="AU77" s="2191"/>
      <c r="AV77" s="2191"/>
      <c r="AW77" s="2191"/>
      <c r="AX77" s="2191"/>
      <c r="AY77" s="2191"/>
      <c r="AZ77" s="2191"/>
      <c r="BA77" s="2191"/>
      <c r="BB77" s="2191"/>
      <c r="BC77" s="2192"/>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62" t="s">
        <v>2541</v>
      </c>
      <c r="C79" s="2263"/>
      <c r="D79" s="2263"/>
      <c r="E79" s="2263"/>
      <c r="F79" s="2263"/>
      <c r="G79" s="2263"/>
      <c r="H79" s="2263"/>
      <c r="I79" s="2263"/>
      <c r="J79" s="2263"/>
      <c r="K79" s="2263"/>
      <c r="L79" s="2263"/>
      <c r="M79" s="2263"/>
      <c r="N79" s="2263"/>
      <c r="O79" s="2263"/>
      <c r="P79" s="2263"/>
      <c r="Q79" s="2263"/>
      <c r="R79" s="2263"/>
      <c r="S79" s="2263"/>
      <c r="T79" s="2263"/>
      <c r="U79" s="2263"/>
      <c r="V79" s="2263"/>
      <c r="W79" s="2263"/>
      <c r="X79" s="2263"/>
      <c r="Y79" s="2263"/>
      <c r="Z79" s="2263"/>
      <c r="AA79" s="2263"/>
      <c r="AB79" s="2263"/>
      <c r="AC79" s="2263"/>
      <c r="AD79" s="2263"/>
      <c r="AE79" s="2263"/>
      <c r="AF79" s="2263"/>
      <c r="AG79" s="2263"/>
      <c r="AH79" s="2264"/>
      <c r="AI79" s="1086"/>
      <c r="AJ79" s="2235" t="s">
        <v>2542</v>
      </c>
      <c r="AK79" s="2236"/>
      <c r="AL79" s="2236"/>
      <c r="AM79" s="2236"/>
      <c r="AN79" s="2236"/>
      <c r="AO79" s="2236"/>
      <c r="AP79" s="2236"/>
      <c r="AQ79" s="2236"/>
      <c r="AR79" s="2236"/>
      <c r="AS79" s="2236"/>
      <c r="AT79" s="2236"/>
      <c r="AU79" s="2236"/>
      <c r="AV79" s="2236"/>
      <c r="AW79" s="2236"/>
      <c r="AX79" s="2236"/>
      <c r="AY79" s="2256" t="s">
        <v>946</v>
      </c>
      <c r="AZ79" s="2256"/>
      <c r="BA79" s="2256"/>
      <c r="BB79" s="2257"/>
      <c r="BC79" s="1086"/>
      <c r="BD79" s="1086"/>
      <c r="BE79" s="1092"/>
    </row>
    <row r="80" spans="1:65" ht="15.75" customHeight="1">
      <c r="A80" s="1086"/>
      <c r="B80" s="2255"/>
      <c r="C80" s="2244"/>
      <c r="D80" s="2244"/>
      <c r="E80" s="2244"/>
      <c r="F80" s="2244"/>
      <c r="G80" s="2244"/>
      <c r="H80" s="2244"/>
      <c r="I80" s="2244" t="s">
        <v>2543</v>
      </c>
      <c r="J80" s="2244"/>
      <c r="K80" s="2244"/>
      <c r="L80" s="2244"/>
      <c r="M80" s="2244"/>
      <c r="N80" s="2244"/>
      <c r="O80" s="2244" t="s">
        <v>2544</v>
      </c>
      <c r="P80" s="2244"/>
      <c r="Q80" s="2244"/>
      <c r="R80" s="2244"/>
      <c r="S80" s="2244"/>
      <c r="T80" s="2244"/>
      <c r="U80" s="2244"/>
      <c r="V80" s="2260" t="s">
        <v>2545</v>
      </c>
      <c r="W80" s="2260"/>
      <c r="X80" s="2260"/>
      <c r="Y80" s="2260"/>
      <c r="Z80" s="2260"/>
      <c r="AA80" s="2260"/>
      <c r="AB80" s="2211" t="s">
        <v>2546</v>
      </c>
      <c r="AC80" s="2211"/>
      <c r="AD80" s="2211"/>
      <c r="AE80" s="2211"/>
      <c r="AF80" s="2211"/>
      <c r="AG80" s="2211"/>
      <c r="AH80" s="2261"/>
      <c r="AI80" s="1086"/>
      <c r="AJ80" s="2238"/>
      <c r="AK80" s="2239"/>
      <c r="AL80" s="2239"/>
      <c r="AM80" s="2239"/>
      <c r="AN80" s="2239"/>
      <c r="AO80" s="2239"/>
      <c r="AP80" s="2239"/>
      <c r="AQ80" s="2239"/>
      <c r="AR80" s="2239"/>
      <c r="AS80" s="2239"/>
      <c r="AT80" s="2239"/>
      <c r="AU80" s="2239"/>
      <c r="AV80" s="2239"/>
      <c r="AW80" s="2239"/>
      <c r="AX80" s="2239"/>
      <c r="AY80" s="2258"/>
      <c r="AZ80" s="2258"/>
      <c r="BA80" s="2258"/>
      <c r="BB80" s="2259"/>
      <c r="BC80" s="1086"/>
      <c r="BD80" s="1086"/>
      <c r="BE80" s="1092"/>
    </row>
    <row r="81" spans="1:57" ht="15.75" customHeight="1">
      <c r="A81" s="1086"/>
      <c r="B81" s="2255"/>
      <c r="C81" s="2244"/>
      <c r="D81" s="2244"/>
      <c r="E81" s="2244"/>
      <c r="F81" s="2244"/>
      <c r="G81" s="2244"/>
      <c r="H81" s="2244"/>
      <c r="I81" s="2244"/>
      <c r="J81" s="2244"/>
      <c r="K81" s="2244"/>
      <c r="L81" s="2244"/>
      <c r="M81" s="2244"/>
      <c r="N81" s="2244"/>
      <c r="O81" s="2244"/>
      <c r="P81" s="2244"/>
      <c r="Q81" s="2244"/>
      <c r="R81" s="2244"/>
      <c r="S81" s="2244"/>
      <c r="T81" s="2244"/>
      <c r="U81" s="2244"/>
      <c r="V81" s="2260"/>
      <c r="W81" s="2260"/>
      <c r="X81" s="2260"/>
      <c r="Y81" s="2260"/>
      <c r="Z81" s="2260"/>
      <c r="AA81" s="2260"/>
      <c r="AB81" s="2211"/>
      <c r="AC81" s="2211"/>
      <c r="AD81" s="2211"/>
      <c r="AE81" s="2211"/>
      <c r="AF81" s="2211"/>
      <c r="AG81" s="2211"/>
      <c r="AH81" s="2261"/>
      <c r="AI81" s="1086"/>
      <c r="AJ81" s="2238"/>
      <c r="AK81" s="2239"/>
      <c r="AL81" s="2239"/>
      <c r="AM81" s="2239"/>
      <c r="AN81" s="2239"/>
      <c r="AO81" s="2239"/>
      <c r="AP81" s="2239"/>
      <c r="AQ81" s="2239"/>
      <c r="AR81" s="2239"/>
      <c r="AS81" s="2239"/>
      <c r="AT81" s="2239"/>
      <c r="AU81" s="2239"/>
      <c r="AV81" s="2239"/>
      <c r="AW81" s="2239"/>
      <c r="AX81" s="2239"/>
      <c r="AY81" s="2258"/>
      <c r="AZ81" s="2258"/>
      <c r="BA81" s="2258"/>
      <c r="BB81" s="2259"/>
      <c r="BC81" s="1086"/>
      <c r="BD81" s="1086"/>
      <c r="BE81" s="1092"/>
    </row>
    <row r="82" spans="1:57" ht="15.75" customHeight="1">
      <c r="A82" s="1086"/>
      <c r="B82" s="2255" t="s">
        <v>2547</v>
      </c>
      <c r="C82" s="2244"/>
      <c r="D82" s="2244"/>
      <c r="E82" s="2244"/>
      <c r="F82" s="2244"/>
      <c r="G82" s="2244"/>
      <c r="H82" s="2244"/>
      <c r="I82" s="2214">
        <v>0</v>
      </c>
      <c r="J82" s="2214"/>
      <c r="K82" s="2214"/>
      <c r="L82" s="2214"/>
      <c r="M82" s="2214"/>
      <c r="N82" s="2214"/>
      <c r="O82" s="2214">
        <v>0</v>
      </c>
      <c r="P82" s="2214"/>
      <c r="Q82" s="2214"/>
      <c r="R82" s="2214"/>
      <c r="S82" s="2214"/>
      <c r="T82" s="2214"/>
      <c r="U82" s="2214"/>
      <c r="V82" s="2214">
        <v>0</v>
      </c>
      <c r="W82" s="2214"/>
      <c r="X82" s="2214"/>
      <c r="Y82" s="2214"/>
      <c r="Z82" s="2214"/>
      <c r="AA82" s="2214"/>
      <c r="AB82" s="2214">
        <v>0</v>
      </c>
      <c r="AC82" s="2214"/>
      <c r="AD82" s="2214"/>
      <c r="AE82" s="2214"/>
      <c r="AF82" s="2214"/>
      <c r="AG82" s="2214"/>
      <c r="AH82" s="2215"/>
      <c r="AI82" s="1086"/>
      <c r="AJ82" s="2238"/>
      <c r="AK82" s="2239"/>
      <c r="AL82" s="2239"/>
      <c r="AM82" s="2239"/>
      <c r="AN82" s="2239"/>
      <c r="AO82" s="2239"/>
      <c r="AP82" s="2239"/>
      <c r="AQ82" s="2239"/>
      <c r="AR82" s="2239"/>
      <c r="AS82" s="2239"/>
      <c r="AT82" s="2239"/>
      <c r="AU82" s="2239"/>
      <c r="AV82" s="2239"/>
      <c r="AW82" s="2239"/>
      <c r="AX82" s="2239"/>
      <c r="AY82" s="2258"/>
      <c r="AZ82" s="2258"/>
      <c r="BA82" s="2258"/>
      <c r="BB82" s="2259"/>
      <c r="BC82" s="1086"/>
      <c r="BD82" s="1086"/>
      <c r="BE82" s="1092"/>
    </row>
    <row r="83" spans="1:57" ht="15.75" customHeight="1">
      <c r="A83" s="1086"/>
      <c r="B83" s="2255" t="s">
        <v>2548</v>
      </c>
      <c r="C83" s="2244"/>
      <c r="D83" s="2244"/>
      <c r="E83" s="2244"/>
      <c r="F83" s="2244"/>
      <c r="G83" s="2244"/>
      <c r="H83" s="2244"/>
      <c r="I83" s="2214">
        <v>0</v>
      </c>
      <c r="J83" s="2214"/>
      <c r="K83" s="2214"/>
      <c r="L83" s="2214"/>
      <c r="M83" s="2214"/>
      <c r="N83" s="2214"/>
      <c r="O83" s="2214">
        <v>0</v>
      </c>
      <c r="P83" s="2214"/>
      <c r="Q83" s="2214"/>
      <c r="R83" s="2214"/>
      <c r="S83" s="2214"/>
      <c r="T83" s="2214"/>
      <c r="U83" s="2214"/>
      <c r="V83" s="2214">
        <v>0</v>
      </c>
      <c r="W83" s="2214"/>
      <c r="X83" s="2214"/>
      <c r="Y83" s="2214"/>
      <c r="Z83" s="2214"/>
      <c r="AA83" s="2214"/>
      <c r="AB83" s="2214">
        <v>0</v>
      </c>
      <c r="AC83" s="2214"/>
      <c r="AD83" s="2214"/>
      <c r="AE83" s="2214"/>
      <c r="AF83" s="2214"/>
      <c r="AG83" s="2214"/>
      <c r="AH83" s="2215"/>
      <c r="AI83" s="1086"/>
      <c r="AJ83" s="2247" t="s">
        <v>2549</v>
      </c>
      <c r="AK83" s="2248"/>
      <c r="AL83" s="2248"/>
      <c r="AM83" s="2248"/>
      <c r="AN83" s="2248"/>
      <c r="AO83" s="2248"/>
      <c r="AP83" s="2248"/>
      <c r="AQ83" s="2248"/>
      <c r="AR83" s="2248"/>
      <c r="AS83" s="2248"/>
      <c r="AT83" s="2248"/>
      <c r="AU83" s="2248"/>
      <c r="AV83" s="2248"/>
      <c r="AW83" s="2248"/>
      <c r="AX83" s="2248"/>
      <c r="AY83" s="2248"/>
      <c r="AZ83" s="2248"/>
      <c r="BA83" s="2248"/>
      <c r="BB83" s="2249"/>
      <c r="BC83" s="1086"/>
      <c r="BD83" s="1086"/>
      <c r="BE83" s="1092"/>
    </row>
    <row r="84" spans="1:57" ht="15.75" customHeight="1" thickBot="1">
      <c r="A84" s="1086"/>
      <c r="B84" s="2253" t="s">
        <v>2550</v>
      </c>
      <c r="C84" s="2254"/>
      <c r="D84" s="2254"/>
      <c r="E84" s="2254"/>
      <c r="F84" s="2254"/>
      <c r="G84" s="2254"/>
      <c r="H84" s="2254"/>
      <c r="I84" s="2208">
        <v>0</v>
      </c>
      <c r="J84" s="2208"/>
      <c r="K84" s="2208"/>
      <c r="L84" s="2208"/>
      <c r="M84" s="2208"/>
      <c r="N84" s="2208"/>
      <c r="O84" s="2208">
        <v>0</v>
      </c>
      <c r="P84" s="2208"/>
      <c r="Q84" s="2208"/>
      <c r="R84" s="2208"/>
      <c r="S84" s="2208"/>
      <c r="T84" s="2208"/>
      <c r="U84" s="2208"/>
      <c r="V84" s="2208">
        <v>0</v>
      </c>
      <c r="W84" s="2208"/>
      <c r="X84" s="2208"/>
      <c r="Y84" s="2208"/>
      <c r="Z84" s="2208"/>
      <c r="AA84" s="2208"/>
      <c r="AB84" s="2208">
        <v>0</v>
      </c>
      <c r="AC84" s="2208"/>
      <c r="AD84" s="2208"/>
      <c r="AE84" s="2208"/>
      <c r="AF84" s="2208"/>
      <c r="AG84" s="2208"/>
      <c r="AH84" s="2209"/>
      <c r="AI84" s="1086"/>
      <c r="AJ84" s="2250"/>
      <c r="AK84" s="2251"/>
      <c r="AL84" s="2251"/>
      <c r="AM84" s="2251"/>
      <c r="AN84" s="2251"/>
      <c r="AO84" s="2251"/>
      <c r="AP84" s="2251"/>
      <c r="AQ84" s="2251"/>
      <c r="AR84" s="2251"/>
      <c r="AS84" s="2251"/>
      <c r="AT84" s="2251"/>
      <c r="AU84" s="2251"/>
      <c r="AV84" s="2251"/>
      <c r="AW84" s="2251"/>
      <c r="AX84" s="2251"/>
      <c r="AY84" s="2251"/>
      <c r="AZ84" s="2251"/>
      <c r="BA84" s="2251"/>
      <c r="BB84" s="225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2551</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74" t="s">
        <v>2552</v>
      </c>
      <c r="C88" s="2175"/>
      <c r="D88" s="2175"/>
      <c r="E88" s="2175"/>
      <c r="F88" s="2175"/>
      <c r="G88" s="2175"/>
      <c r="H88" s="2175"/>
      <c r="I88" s="2175"/>
      <c r="J88" s="2175"/>
      <c r="K88" s="2175"/>
      <c r="L88" s="2175"/>
      <c r="M88" s="2175"/>
      <c r="N88" s="2175"/>
      <c r="O88" s="2175"/>
      <c r="P88" s="2175"/>
      <c r="Q88" s="2175"/>
      <c r="R88" s="2175"/>
      <c r="S88" s="2175"/>
      <c r="T88" s="2175"/>
      <c r="U88" s="2175"/>
      <c r="V88" s="2175"/>
      <c r="W88" s="2175"/>
      <c r="X88" s="2175"/>
      <c r="Y88" s="2175"/>
      <c r="Z88" s="2175"/>
      <c r="AA88" s="2175"/>
      <c r="AB88" s="2175"/>
      <c r="AC88" s="2175"/>
      <c r="AD88" s="2175"/>
      <c r="AE88" s="2175"/>
      <c r="AF88" s="2175"/>
      <c r="AG88" s="2175"/>
      <c r="AH88" s="2180"/>
      <c r="AI88" s="1086"/>
      <c r="AJ88" s="2235" t="s">
        <v>2553</v>
      </c>
      <c r="AK88" s="2236"/>
      <c r="AL88" s="2236"/>
      <c r="AM88" s="2236"/>
      <c r="AN88" s="2236"/>
      <c r="AO88" s="2236"/>
      <c r="AP88" s="2236"/>
      <c r="AQ88" s="2236"/>
      <c r="AR88" s="2236"/>
      <c r="AS88" s="2236"/>
      <c r="AT88" s="2236"/>
      <c r="AU88" s="2236"/>
      <c r="AV88" s="2236"/>
      <c r="AW88" s="2236"/>
      <c r="AX88" s="2236"/>
      <c r="AY88" s="2256" t="s">
        <v>946</v>
      </c>
      <c r="AZ88" s="2256"/>
      <c r="BA88" s="2256"/>
      <c r="BB88" s="2257"/>
      <c r="BC88" s="1086"/>
      <c r="BD88" s="1086"/>
      <c r="BE88" s="1092"/>
    </row>
    <row r="89" spans="1:57" ht="16.5" customHeight="1">
      <c r="A89" s="1086"/>
      <c r="B89" s="2255"/>
      <c r="C89" s="2244"/>
      <c r="D89" s="2244"/>
      <c r="E89" s="2244"/>
      <c r="F89" s="2244"/>
      <c r="G89" s="2244"/>
      <c r="H89" s="2244"/>
      <c r="I89" s="2244" t="s">
        <v>2543</v>
      </c>
      <c r="J89" s="2244"/>
      <c r="K89" s="2244"/>
      <c r="L89" s="2244"/>
      <c r="M89" s="2244"/>
      <c r="N89" s="2244"/>
      <c r="O89" s="2244" t="s">
        <v>2544</v>
      </c>
      <c r="P89" s="2244"/>
      <c r="Q89" s="2244"/>
      <c r="R89" s="2244"/>
      <c r="S89" s="2244"/>
      <c r="T89" s="2244"/>
      <c r="U89" s="2244"/>
      <c r="V89" s="2260" t="s">
        <v>2545</v>
      </c>
      <c r="W89" s="2260"/>
      <c r="X89" s="2260"/>
      <c r="Y89" s="2260"/>
      <c r="Z89" s="2260"/>
      <c r="AA89" s="2260"/>
      <c r="AB89" s="2211" t="s">
        <v>2546</v>
      </c>
      <c r="AC89" s="2211"/>
      <c r="AD89" s="2211"/>
      <c r="AE89" s="2211"/>
      <c r="AF89" s="2211"/>
      <c r="AG89" s="2211"/>
      <c r="AH89" s="2261"/>
      <c r="AI89" s="1086"/>
      <c r="AJ89" s="2238"/>
      <c r="AK89" s="2239"/>
      <c r="AL89" s="2239"/>
      <c r="AM89" s="2239"/>
      <c r="AN89" s="2239"/>
      <c r="AO89" s="2239"/>
      <c r="AP89" s="2239"/>
      <c r="AQ89" s="2239"/>
      <c r="AR89" s="2239"/>
      <c r="AS89" s="2239"/>
      <c r="AT89" s="2239"/>
      <c r="AU89" s="2239"/>
      <c r="AV89" s="2239"/>
      <c r="AW89" s="2239"/>
      <c r="AX89" s="2239"/>
      <c r="AY89" s="2258"/>
      <c r="AZ89" s="2258"/>
      <c r="BA89" s="2258"/>
      <c r="BB89" s="2259"/>
      <c r="BC89" s="1086"/>
      <c r="BD89" s="1086"/>
      <c r="BE89" s="1092"/>
    </row>
    <row r="90" spans="1:57" ht="16.5" customHeight="1">
      <c r="A90" s="1086"/>
      <c r="B90" s="2255"/>
      <c r="C90" s="2244"/>
      <c r="D90" s="2244"/>
      <c r="E90" s="2244"/>
      <c r="F90" s="2244"/>
      <c r="G90" s="2244"/>
      <c r="H90" s="2244"/>
      <c r="I90" s="2244"/>
      <c r="J90" s="2244"/>
      <c r="K90" s="2244"/>
      <c r="L90" s="2244"/>
      <c r="M90" s="2244"/>
      <c r="N90" s="2244"/>
      <c r="O90" s="2244"/>
      <c r="P90" s="2244"/>
      <c r="Q90" s="2244"/>
      <c r="R90" s="2244"/>
      <c r="S90" s="2244"/>
      <c r="T90" s="2244"/>
      <c r="U90" s="2244"/>
      <c r="V90" s="2260"/>
      <c r="W90" s="2260"/>
      <c r="X90" s="2260"/>
      <c r="Y90" s="2260"/>
      <c r="Z90" s="2260"/>
      <c r="AA90" s="2260"/>
      <c r="AB90" s="2211"/>
      <c r="AC90" s="2211"/>
      <c r="AD90" s="2211"/>
      <c r="AE90" s="2211"/>
      <c r="AF90" s="2211"/>
      <c r="AG90" s="2211"/>
      <c r="AH90" s="2261"/>
      <c r="AI90" s="1086"/>
      <c r="AJ90" s="2238"/>
      <c r="AK90" s="2239"/>
      <c r="AL90" s="2239"/>
      <c r="AM90" s="2239"/>
      <c r="AN90" s="2239"/>
      <c r="AO90" s="2239"/>
      <c r="AP90" s="2239"/>
      <c r="AQ90" s="2239"/>
      <c r="AR90" s="2239"/>
      <c r="AS90" s="2239"/>
      <c r="AT90" s="2239"/>
      <c r="AU90" s="2239"/>
      <c r="AV90" s="2239"/>
      <c r="AW90" s="2239"/>
      <c r="AX90" s="2239"/>
      <c r="AY90" s="2258"/>
      <c r="AZ90" s="2258"/>
      <c r="BA90" s="2258"/>
      <c r="BB90" s="2259"/>
      <c r="BC90" s="1086"/>
      <c r="BD90" s="1086"/>
      <c r="BE90" s="1092"/>
    </row>
    <row r="91" spans="1:57" ht="15.75" customHeight="1">
      <c r="A91" s="1086"/>
      <c r="B91" s="2255" t="s">
        <v>2547</v>
      </c>
      <c r="C91" s="2244"/>
      <c r="D91" s="2244"/>
      <c r="E91" s="2244"/>
      <c r="F91" s="2244"/>
      <c r="G91" s="2244"/>
      <c r="H91" s="2244"/>
      <c r="I91" s="2214">
        <v>0</v>
      </c>
      <c r="J91" s="2214"/>
      <c r="K91" s="2214"/>
      <c r="L91" s="2214"/>
      <c r="M91" s="2214"/>
      <c r="N91" s="2214"/>
      <c r="O91" s="2214">
        <v>0</v>
      </c>
      <c r="P91" s="2214"/>
      <c r="Q91" s="2214"/>
      <c r="R91" s="2214"/>
      <c r="S91" s="2214"/>
      <c r="T91" s="2214"/>
      <c r="U91" s="2214"/>
      <c r="V91" s="2214">
        <v>0</v>
      </c>
      <c r="W91" s="2214"/>
      <c r="X91" s="2214"/>
      <c r="Y91" s="2214"/>
      <c r="Z91" s="2214"/>
      <c r="AA91" s="2214"/>
      <c r="AB91" s="2214">
        <v>0</v>
      </c>
      <c r="AC91" s="2214"/>
      <c r="AD91" s="2214"/>
      <c r="AE91" s="2214"/>
      <c r="AF91" s="2214"/>
      <c r="AG91" s="2214"/>
      <c r="AH91" s="2215"/>
      <c r="AI91" s="1086"/>
      <c r="AJ91" s="2238"/>
      <c r="AK91" s="2239"/>
      <c r="AL91" s="2239"/>
      <c r="AM91" s="2239"/>
      <c r="AN91" s="2239"/>
      <c r="AO91" s="2239"/>
      <c r="AP91" s="2239"/>
      <c r="AQ91" s="2239"/>
      <c r="AR91" s="2239"/>
      <c r="AS91" s="2239"/>
      <c r="AT91" s="2239"/>
      <c r="AU91" s="2239"/>
      <c r="AV91" s="2239"/>
      <c r="AW91" s="2239"/>
      <c r="AX91" s="2239"/>
      <c r="AY91" s="2258"/>
      <c r="AZ91" s="2258"/>
      <c r="BA91" s="2258"/>
      <c r="BB91" s="2259"/>
      <c r="BC91" s="1086"/>
      <c r="BD91" s="1086"/>
      <c r="BE91" s="1092"/>
    </row>
    <row r="92" spans="1:57" ht="15.75" customHeight="1">
      <c r="A92" s="1086"/>
      <c r="B92" s="2255" t="s">
        <v>2548</v>
      </c>
      <c r="C92" s="2244"/>
      <c r="D92" s="2244"/>
      <c r="E92" s="2244"/>
      <c r="F92" s="2244"/>
      <c r="G92" s="2244"/>
      <c r="H92" s="2244"/>
      <c r="I92" s="2214">
        <v>0</v>
      </c>
      <c r="J92" s="2214"/>
      <c r="K92" s="2214"/>
      <c r="L92" s="2214"/>
      <c r="M92" s="2214"/>
      <c r="N92" s="2214"/>
      <c r="O92" s="2214">
        <v>0</v>
      </c>
      <c r="P92" s="2214"/>
      <c r="Q92" s="2214"/>
      <c r="R92" s="2214"/>
      <c r="S92" s="2214"/>
      <c r="T92" s="2214"/>
      <c r="U92" s="2214"/>
      <c r="V92" s="2214">
        <v>0</v>
      </c>
      <c r="W92" s="2214"/>
      <c r="X92" s="2214"/>
      <c r="Y92" s="2214"/>
      <c r="Z92" s="2214"/>
      <c r="AA92" s="2214"/>
      <c r="AB92" s="2214">
        <v>0</v>
      </c>
      <c r="AC92" s="2214"/>
      <c r="AD92" s="2214"/>
      <c r="AE92" s="2214"/>
      <c r="AF92" s="2214"/>
      <c r="AG92" s="2214"/>
      <c r="AH92" s="2215"/>
      <c r="AI92" s="1086"/>
      <c r="AJ92" s="2247" t="s">
        <v>2554</v>
      </c>
      <c r="AK92" s="2248"/>
      <c r="AL92" s="2248"/>
      <c r="AM92" s="2248"/>
      <c r="AN92" s="2248"/>
      <c r="AO92" s="2248"/>
      <c r="AP92" s="2248"/>
      <c r="AQ92" s="2248"/>
      <c r="AR92" s="2248"/>
      <c r="AS92" s="2248"/>
      <c r="AT92" s="2248"/>
      <c r="AU92" s="2248"/>
      <c r="AV92" s="2248"/>
      <c r="AW92" s="2248"/>
      <c r="AX92" s="2248"/>
      <c r="AY92" s="2248"/>
      <c r="AZ92" s="2248"/>
      <c r="BA92" s="2248"/>
      <c r="BB92" s="2249"/>
      <c r="BC92" s="1086"/>
      <c r="BD92" s="1086"/>
      <c r="BE92" s="1092"/>
    </row>
    <row r="93" spans="1:57" ht="15.75" customHeight="1" thickBot="1">
      <c r="A93" s="1086"/>
      <c r="B93" s="2253" t="s">
        <v>2550</v>
      </c>
      <c r="C93" s="2254"/>
      <c r="D93" s="2254"/>
      <c r="E93" s="2254"/>
      <c r="F93" s="2254"/>
      <c r="G93" s="2254"/>
      <c r="H93" s="2254"/>
      <c r="I93" s="2208">
        <v>0</v>
      </c>
      <c r="J93" s="2208"/>
      <c r="K93" s="2208"/>
      <c r="L93" s="2208"/>
      <c r="M93" s="2208"/>
      <c r="N93" s="2208"/>
      <c r="O93" s="2208">
        <v>0</v>
      </c>
      <c r="P93" s="2208"/>
      <c r="Q93" s="2208"/>
      <c r="R93" s="2208"/>
      <c r="S93" s="2208"/>
      <c r="T93" s="2208"/>
      <c r="U93" s="2208"/>
      <c r="V93" s="2208">
        <v>0</v>
      </c>
      <c r="W93" s="2208"/>
      <c r="X93" s="2208"/>
      <c r="Y93" s="2208"/>
      <c r="Z93" s="2208"/>
      <c r="AA93" s="2208"/>
      <c r="AB93" s="2208">
        <v>0</v>
      </c>
      <c r="AC93" s="2208"/>
      <c r="AD93" s="2208"/>
      <c r="AE93" s="2208"/>
      <c r="AF93" s="2208"/>
      <c r="AG93" s="2208"/>
      <c r="AH93" s="2209"/>
      <c r="AI93" s="1086"/>
      <c r="AJ93" s="2250"/>
      <c r="AK93" s="2251"/>
      <c r="AL93" s="2251"/>
      <c r="AM93" s="2251"/>
      <c r="AN93" s="2251"/>
      <c r="AO93" s="2251"/>
      <c r="AP93" s="2251"/>
      <c r="AQ93" s="2251"/>
      <c r="AR93" s="2251"/>
      <c r="AS93" s="2251"/>
      <c r="AT93" s="2251"/>
      <c r="AU93" s="2251"/>
      <c r="AV93" s="2251"/>
      <c r="AW93" s="2251"/>
      <c r="AX93" s="2251"/>
      <c r="AY93" s="2251"/>
      <c r="AZ93" s="2251"/>
      <c r="BA93" s="2251"/>
      <c r="BB93" s="225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2555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5" t="s">
        <v>2556</v>
      </c>
      <c r="Y96" s="2236"/>
      <c r="Z96" s="2236"/>
      <c r="AA96" s="2236"/>
      <c r="AB96" s="2236"/>
      <c r="AC96" s="2236"/>
      <c r="AD96" s="2236"/>
      <c r="AE96" s="2236"/>
      <c r="AF96" s="2236"/>
      <c r="AG96" s="2236"/>
      <c r="AH96" s="2236"/>
      <c r="AI96" s="2236"/>
      <c r="AJ96" s="2236"/>
      <c r="AK96" s="2236"/>
      <c r="AL96" s="2236"/>
      <c r="AM96" s="2236"/>
      <c r="AN96" s="2236"/>
      <c r="AO96" s="2236"/>
      <c r="AP96" s="2236"/>
      <c r="AQ96" s="2236"/>
      <c r="AR96" s="2236"/>
      <c r="AS96" s="2236"/>
      <c r="AT96" s="2236"/>
      <c r="AU96" s="2236"/>
      <c r="AV96" s="2236"/>
      <c r="AW96" s="2236"/>
      <c r="AX96" s="2236"/>
      <c r="AY96" s="2236"/>
      <c r="AZ96" s="2236"/>
      <c r="BA96" s="2236"/>
      <c r="BB96" s="2236"/>
      <c r="BC96" s="2236"/>
      <c r="BD96" s="2237"/>
      <c r="BE96" s="1092"/>
    </row>
    <row r="97" spans="1:57" ht="15.75" customHeight="1">
      <c r="A97" s="1086"/>
      <c r="B97" s="2241" t="s">
        <v>2377</v>
      </c>
      <c r="C97" s="2242"/>
      <c r="D97" s="2242"/>
      <c r="E97" s="2242"/>
      <c r="F97" s="2242"/>
      <c r="G97" s="2242"/>
      <c r="H97" s="2242"/>
      <c r="I97" s="2242"/>
      <c r="J97" s="2242"/>
      <c r="K97" s="2242"/>
      <c r="L97" s="2242"/>
      <c r="M97" s="2242"/>
      <c r="N97" s="2242"/>
      <c r="O97" s="2242"/>
      <c r="P97" s="2242"/>
      <c r="Q97" s="2242"/>
      <c r="R97" s="2242"/>
      <c r="S97" s="2242"/>
      <c r="T97" s="2242"/>
      <c r="U97" s="2243"/>
      <c r="V97" s="1086"/>
      <c r="W97" s="1086"/>
      <c r="X97" s="2238"/>
      <c r="Y97" s="2239"/>
      <c r="Z97" s="2239"/>
      <c r="AA97" s="2239"/>
      <c r="AB97" s="2239"/>
      <c r="AC97" s="2239"/>
      <c r="AD97" s="2239"/>
      <c r="AE97" s="2239"/>
      <c r="AF97" s="2239"/>
      <c r="AG97" s="2239"/>
      <c r="AH97" s="2239"/>
      <c r="AI97" s="2239"/>
      <c r="AJ97" s="2239"/>
      <c r="AK97" s="2239"/>
      <c r="AL97" s="2239"/>
      <c r="AM97" s="2239"/>
      <c r="AN97" s="2239"/>
      <c r="AO97" s="2239"/>
      <c r="AP97" s="2239"/>
      <c r="AQ97" s="2239"/>
      <c r="AR97" s="2239"/>
      <c r="AS97" s="2239"/>
      <c r="AT97" s="2239"/>
      <c r="AU97" s="2239"/>
      <c r="AV97" s="2239"/>
      <c r="AW97" s="2239"/>
      <c r="AX97" s="2239"/>
      <c r="AY97" s="2239"/>
      <c r="AZ97" s="2239"/>
      <c r="BA97" s="2239"/>
      <c r="BB97" s="2239"/>
      <c r="BC97" s="2239"/>
      <c r="BD97" s="2240"/>
      <c r="BE97" s="1092"/>
    </row>
    <row r="98" spans="1:57" ht="15.75" customHeight="1">
      <c r="A98" s="1086"/>
      <c r="B98" s="2184"/>
      <c r="C98" s="2185"/>
      <c r="D98" s="2185"/>
      <c r="E98" s="2185"/>
      <c r="F98" s="2185"/>
      <c r="G98" s="2185"/>
      <c r="H98" s="2185"/>
      <c r="I98" s="2244" t="s">
        <v>2557</v>
      </c>
      <c r="J98" s="2244"/>
      <c r="K98" s="2244"/>
      <c r="L98" s="2244"/>
      <c r="M98" s="2244"/>
      <c r="N98" s="2244"/>
      <c r="O98" s="2245" t="s">
        <v>2558</v>
      </c>
      <c r="P98" s="2245"/>
      <c r="Q98" s="2245"/>
      <c r="R98" s="2245"/>
      <c r="S98" s="2245"/>
      <c r="T98" s="2245"/>
      <c r="U98" s="2246"/>
      <c r="V98" s="1086"/>
      <c r="W98" s="1086"/>
      <c r="X98" s="2187" t="s">
        <v>2539</v>
      </c>
      <c r="Y98" s="2188"/>
      <c r="Z98" s="2188"/>
      <c r="AA98" s="2188"/>
      <c r="AB98" s="2188"/>
      <c r="AC98" s="2188"/>
      <c r="AD98" s="2188"/>
      <c r="AE98" s="2188"/>
      <c r="AF98" s="2188"/>
      <c r="AG98" s="2188"/>
      <c r="AH98" s="2188"/>
      <c r="AI98" s="2188"/>
      <c r="AJ98" s="2188"/>
      <c r="AK98" s="2188"/>
      <c r="AL98" s="2188"/>
      <c r="AM98" s="2188"/>
      <c r="AN98" s="2188"/>
      <c r="AO98" s="2188"/>
      <c r="AP98" s="2188"/>
      <c r="AQ98" s="2188"/>
      <c r="AR98" s="2188"/>
      <c r="AS98" s="2188"/>
      <c r="AT98" s="2188"/>
      <c r="AU98" s="2188"/>
      <c r="AV98" s="2188"/>
      <c r="AW98" s="2188"/>
      <c r="AX98" s="2188"/>
      <c r="AY98" s="2188"/>
      <c r="AZ98" s="2188"/>
      <c r="BA98" s="2188"/>
      <c r="BB98" s="2188"/>
      <c r="BC98" s="2188"/>
      <c r="BD98" s="2189"/>
      <c r="BE98" s="1092"/>
    </row>
    <row r="99" spans="1:57" ht="15.75" customHeight="1">
      <c r="A99" s="1086"/>
      <c r="B99" s="2212" t="s">
        <v>2559</v>
      </c>
      <c r="C99" s="2213"/>
      <c r="D99" s="2213"/>
      <c r="E99" s="2213"/>
      <c r="F99" s="2213"/>
      <c r="G99" s="2213"/>
      <c r="H99" s="2213"/>
      <c r="I99" s="2214">
        <v>0</v>
      </c>
      <c r="J99" s="2214"/>
      <c r="K99" s="2214"/>
      <c r="L99" s="2214"/>
      <c r="M99" s="2214"/>
      <c r="N99" s="2214"/>
      <c r="O99" s="2214">
        <v>0</v>
      </c>
      <c r="P99" s="2214"/>
      <c r="Q99" s="2214"/>
      <c r="R99" s="2214"/>
      <c r="S99" s="2214"/>
      <c r="T99" s="2214"/>
      <c r="U99" s="2215"/>
      <c r="V99" s="1086"/>
      <c r="W99" s="1086"/>
      <c r="X99" s="2187"/>
      <c r="Y99" s="2188"/>
      <c r="Z99" s="2188"/>
      <c r="AA99" s="2188"/>
      <c r="AB99" s="2188"/>
      <c r="AC99" s="2188"/>
      <c r="AD99" s="2188"/>
      <c r="AE99" s="2188"/>
      <c r="AF99" s="2188"/>
      <c r="AG99" s="2188"/>
      <c r="AH99" s="2188"/>
      <c r="AI99" s="2188"/>
      <c r="AJ99" s="2188"/>
      <c r="AK99" s="2188"/>
      <c r="AL99" s="2188"/>
      <c r="AM99" s="2188"/>
      <c r="AN99" s="2188"/>
      <c r="AO99" s="2188"/>
      <c r="AP99" s="2188"/>
      <c r="AQ99" s="2188"/>
      <c r="AR99" s="2188"/>
      <c r="AS99" s="2188"/>
      <c r="AT99" s="2188"/>
      <c r="AU99" s="2188"/>
      <c r="AV99" s="2188"/>
      <c r="AW99" s="2188"/>
      <c r="AX99" s="2188"/>
      <c r="AY99" s="2188"/>
      <c r="AZ99" s="2188"/>
      <c r="BA99" s="2188"/>
      <c r="BB99" s="2188"/>
      <c r="BC99" s="2188"/>
      <c r="BD99" s="2189"/>
      <c r="BE99" s="1092"/>
    </row>
    <row r="100" spans="1:57" ht="15.75" customHeight="1" thickBot="1">
      <c r="A100" s="1086"/>
      <c r="B100" s="2206" t="s">
        <v>2560</v>
      </c>
      <c r="C100" s="2207"/>
      <c r="D100" s="2207"/>
      <c r="E100" s="2207"/>
      <c r="F100" s="2207"/>
      <c r="G100" s="2207"/>
      <c r="H100" s="2207"/>
      <c r="I100" s="2208">
        <v>0</v>
      </c>
      <c r="J100" s="2208"/>
      <c r="K100" s="2208"/>
      <c r="L100" s="2208"/>
      <c r="M100" s="2208"/>
      <c r="N100" s="2208"/>
      <c r="O100" s="2230"/>
      <c r="P100" s="2230"/>
      <c r="Q100" s="2230"/>
      <c r="R100" s="2230"/>
      <c r="S100" s="2230"/>
      <c r="T100" s="2230"/>
      <c r="U100" s="2231"/>
      <c r="V100" s="1086"/>
      <c r="W100" s="1086"/>
      <c r="X100" s="2187"/>
      <c r="Y100" s="2188"/>
      <c r="Z100" s="2188"/>
      <c r="AA100" s="2188"/>
      <c r="AB100" s="2188"/>
      <c r="AC100" s="2188"/>
      <c r="AD100" s="2188"/>
      <c r="AE100" s="2188"/>
      <c r="AF100" s="2188"/>
      <c r="AG100" s="2188"/>
      <c r="AH100" s="2188"/>
      <c r="AI100" s="2188"/>
      <c r="AJ100" s="2188"/>
      <c r="AK100" s="2188"/>
      <c r="AL100" s="2188"/>
      <c r="AM100" s="2188"/>
      <c r="AN100" s="2188"/>
      <c r="AO100" s="2188"/>
      <c r="AP100" s="2188"/>
      <c r="AQ100" s="2188"/>
      <c r="AR100" s="2188"/>
      <c r="AS100" s="2188"/>
      <c r="AT100" s="2188"/>
      <c r="AU100" s="2188"/>
      <c r="AV100" s="2188"/>
      <c r="AW100" s="2188"/>
      <c r="AX100" s="2188"/>
      <c r="AY100" s="2188"/>
      <c r="AZ100" s="2188"/>
      <c r="BA100" s="2188"/>
      <c r="BB100" s="2188"/>
      <c r="BC100" s="2188"/>
      <c r="BD100" s="2189"/>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87"/>
      <c r="Y101" s="2188"/>
      <c r="Z101" s="2188"/>
      <c r="AA101" s="2188"/>
      <c r="AB101" s="2188"/>
      <c r="AC101" s="2188"/>
      <c r="AD101" s="2188"/>
      <c r="AE101" s="2188"/>
      <c r="AF101" s="2188"/>
      <c r="AG101" s="2188"/>
      <c r="AH101" s="2188"/>
      <c r="AI101" s="2188"/>
      <c r="AJ101" s="2188"/>
      <c r="AK101" s="2188"/>
      <c r="AL101" s="2188"/>
      <c r="AM101" s="2188"/>
      <c r="AN101" s="2188"/>
      <c r="AO101" s="2188"/>
      <c r="AP101" s="2188"/>
      <c r="AQ101" s="2188"/>
      <c r="AR101" s="2188"/>
      <c r="AS101" s="2188"/>
      <c r="AT101" s="2188"/>
      <c r="AU101" s="2188"/>
      <c r="AV101" s="2188"/>
      <c r="AW101" s="2188"/>
      <c r="AX101" s="2188"/>
      <c r="AY101" s="2188"/>
      <c r="AZ101" s="2188"/>
      <c r="BA101" s="2188"/>
      <c r="BB101" s="2188"/>
      <c r="BC101" s="2188"/>
      <c r="BD101" s="2189"/>
      <c r="BE101" s="1092"/>
    </row>
    <row r="102" spans="1:57" ht="15.75" customHeight="1">
      <c r="A102" s="1086"/>
      <c r="B102" s="1100" t="s">
        <v>2561</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87"/>
      <c r="Y102" s="2188"/>
      <c r="Z102" s="2188"/>
      <c r="AA102" s="2188"/>
      <c r="AB102" s="2188"/>
      <c r="AC102" s="2188"/>
      <c r="AD102" s="2188"/>
      <c r="AE102" s="2188"/>
      <c r="AF102" s="2188"/>
      <c r="AG102" s="2188"/>
      <c r="AH102" s="2188"/>
      <c r="AI102" s="2188"/>
      <c r="AJ102" s="2188"/>
      <c r="AK102" s="2188"/>
      <c r="AL102" s="2188"/>
      <c r="AM102" s="2188"/>
      <c r="AN102" s="2188"/>
      <c r="AO102" s="2188"/>
      <c r="AP102" s="2188"/>
      <c r="AQ102" s="2188"/>
      <c r="AR102" s="2188"/>
      <c r="AS102" s="2188"/>
      <c r="AT102" s="2188"/>
      <c r="AU102" s="2188"/>
      <c r="AV102" s="2188"/>
      <c r="AW102" s="2188"/>
      <c r="AX102" s="2188"/>
      <c r="AY102" s="2188"/>
      <c r="AZ102" s="2188"/>
      <c r="BA102" s="2188"/>
      <c r="BB102" s="2188"/>
      <c r="BC102" s="2188"/>
      <c r="BD102" s="2189"/>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87"/>
      <c r="Y103" s="2188"/>
      <c r="Z103" s="2188"/>
      <c r="AA103" s="2188"/>
      <c r="AB103" s="2188"/>
      <c r="AC103" s="2188"/>
      <c r="AD103" s="2188"/>
      <c r="AE103" s="2188"/>
      <c r="AF103" s="2188"/>
      <c r="AG103" s="2188"/>
      <c r="AH103" s="2188"/>
      <c r="AI103" s="2188"/>
      <c r="AJ103" s="2188"/>
      <c r="AK103" s="2188"/>
      <c r="AL103" s="2188"/>
      <c r="AM103" s="2188"/>
      <c r="AN103" s="2188"/>
      <c r="AO103" s="2188"/>
      <c r="AP103" s="2188"/>
      <c r="AQ103" s="2188"/>
      <c r="AR103" s="2188"/>
      <c r="AS103" s="2188"/>
      <c r="AT103" s="2188"/>
      <c r="AU103" s="2188"/>
      <c r="AV103" s="2188"/>
      <c r="AW103" s="2188"/>
      <c r="AX103" s="2188"/>
      <c r="AY103" s="2188"/>
      <c r="AZ103" s="2188"/>
      <c r="BA103" s="2188"/>
      <c r="BB103" s="2188"/>
      <c r="BC103" s="2188"/>
      <c r="BD103" s="2189"/>
      <c r="BE103" s="1092"/>
    </row>
    <row r="104" spans="1:57" ht="15.75" customHeight="1">
      <c r="A104" s="1086"/>
      <c r="B104" s="2232" t="s">
        <v>2562</v>
      </c>
      <c r="C104" s="2233"/>
      <c r="D104" s="2233"/>
      <c r="E104" s="2233"/>
      <c r="F104" s="2233"/>
      <c r="G104" s="2233"/>
      <c r="H104" s="2233"/>
      <c r="I104" s="2233"/>
      <c r="J104" s="2233"/>
      <c r="K104" s="2233"/>
      <c r="L104" s="2233"/>
      <c r="M104" s="2233"/>
      <c r="N104" s="2233"/>
      <c r="O104" s="2233"/>
      <c r="P104" s="2233"/>
      <c r="Q104" s="2233"/>
      <c r="R104" s="2233"/>
      <c r="S104" s="2233"/>
      <c r="T104" s="2233"/>
      <c r="U104" s="2234"/>
      <c r="V104" s="1086"/>
      <c r="W104" s="1086"/>
      <c r="X104" s="2187"/>
      <c r="Y104" s="2188"/>
      <c r="Z104" s="2188"/>
      <c r="AA104" s="2188"/>
      <c r="AB104" s="2188"/>
      <c r="AC104" s="2188"/>
      <c r="AD104" s="2188"/>
      <c r="AE104" s="2188"/>
      <c r="AF104" s="2188"/>
      <c r="AG104" s="2188"/>
      <c r="AH104" s="2188"/>
      <c r="AI104" s="2188"/>
      <c r="AJ104" s="2188"/>
      <c r="AK104" s="2188"/>
      <c r="AL104" s="2188"/>
      <c r="AM104" s="2188"/>
      <c r="AN104" s="2188"/>
      <c r="AO104" s="2188"/>
      <c r="AP104" s="2188"/>
      <c r="AQ104" s="2188"/>
      <c r="AR104" s="2188"/>
      <c r="AS104" s="2188"/>
      <c r="AT104" s="2188"/>
      <c r="AU104" s="2188"/>
      <c r="AV104" s="2188"/>
      <c r="AW104" s="2188"/>
      <c r="AX104" s="2188"/>
      <c r="AY104" s="2188"/>
      <c r="AZ104" s="2188"/>
      <c r="BA104" s="2188"/>
      <c r="BB104" s="2188"/>
      <c r="BC104" s="2188"/>
      <c r="BD104" s="2189"/>
      <c r="BE104" s="1092"/>
    </row>
    <row r="105" spans="1:57" ht="15.75" customHeight="1">
      <c r="A105" s="1086"/>
      <c r="B105" s="2184"/>
      <c r="C105" s="2185"/>
      <c r="D105" s="2185"/>
      <c r="E105" s="2185"/>
      <c r="F105" s="2185"/>
      <c r="G105" s="2185"/>
      <c r="H105" s="2185"/>
      <c r="I105" s="2216" t="s">
        <v>2544</v>
      </c>
      <c r="J105" s="2216"/>
      <c r="K105" s="2216"/>
      <c r="L105" s="2216"/>
      <c r="M105" s="2216"/>
      <c r="N105" s="2216"/>
      <c r="O105" s="2216"/>
      <c r="P105" s="2216" t="s">
        <v>2545</v>
      </c>
      <c r="Q105" s="2216"/>
      <c r="R105" s="2216"/>
      <c r="S105" s="2216"/>
      <c r="T105" s="2216"/>
      <c r="U105" s="2217"/>
      <c r="V105" s="1086"/>
      <c r="W105" s="1086"/>
      <c r="X105" s="2187"/>
      <c r="Y105" s="2188"/>
      <c r="Z105" s="2188"/>
      <c r="AA105" s="2188"/>
      <c r="AB105" s="2188"/>
      <c r="AC105" s="2188"/>
      <c r="AD105" s="2188"/>
      <c r="AE105" s="2188"/>
      <c r="AF105" s="2188"/>
      <c r="AG105" s="2188"/>
      <c r="AH105" s="2188"/>
      <c r="AI105" s="2188"/>
      <c r="AJ105" s="2188"/>
      <c r="AK105" s="2188"/>
      <c r="AL105" s="2188"/>
      <c r="AM105" s="2188"/>
      <c r="AN105" s="2188"/>
      <c r="AO105" s="2188"/>
      <c r="AP105" s="2188"/>
      <c r="AQ105" s="2188"/>
      <c r="AR105" s="2188"/>
      <c r="AS105" s="2188"/>
      <c r="AT105" s="2188"/>
      <c r="AU105" s="2188"/>
      <c r="AV105" s="2188"/>
      <c r="AW105" s="2188"/>
      <c r="AX105" s="2188"/>
      <c r="AY105" s="2188"/>
      <c r="AZ105" s="2188"/>
      <c r="BA105" s="2188"/>
      <c r="BB105" s="2188"/>
      <c r="BC105" s="2188"/>
      <c r="BD105" s="2189"/>
      <c r="BE105" s="1092"/>
    </row>
    <row r="106" spans="1:57" ht="15.75" customHeight="1">
      <c r="A106" s="1086"/>
      <c r="B106" s="2184"/>
      <c r="C106" s="2185"/>
      <c r="D106" s="2185"/>
      <c r="E106" s="2185"/>
      <c r="F106" s="2185"/>
      <c r="G106" s="2185"/>
      <c r="H106" s="2185"/>
      <c r="I106" s="2216"/>
      <c r="J106" s="2216"/>
      <c r="K106" s="2216"/>
      <c r="L106" s="2216"/>
      <c r="M106" s="2216"/>
      <c r="N106" s="2216"/>
      <c r="O106" s="2216"/>
      <c r="P106" s="2216"/>
      <c r="Q106" s="2216"/>
      <c r="R106" s="2216"/>
      <c r="S106" s="2216"/>
      <c r="T106" s="2216"/>
      <c r="U106" s="2217"/>
      <c r="V106" s="1086"/>
      <c r="W106" s="1086"/>
      <c r="X106" s="2187"/>
      <c r="Y106" s="2188"/>
      <c r="Z106" s="2188"/>
      <c r="AA106" s="2188"/>
      <c r="AB106" s="2188"/>
      <c r="AC106" s="2188"/>
      <c r="AD106" s="2188"/>
      <c r="AE106" s="2188"/>
      <c r="AF106" s="2188"/>
      <c r="AG106" s="2188"/>
      <c r="AH106" s="2188"/>
      <c r="AI106" s="2188"/>
      <c r="AJ106" s="2188"/>
      <c r="AK106" s="2188"/>
      <c r="AL106" s="2188"/>
      <c r="AM106" s="2188"/>
      <c r="AN106" s="2188"/>
      <c r="AO106" s="2188"/>
      <c r="AP106" s="2188"/>
      <c r="AQ106" s="2188"/>
      <c r="AR106" s="2188"/>
      <c r="AS106" s="2188"/>
      <c r="AT106" s="2188"/>
      <c r="AU106" s="2188"/>
      <c r="AV106" s="2188"/>
      <c r="AW106" s="2188"/>
      <c r="AX106" s="2188"/>
      <c r="AY106" s="2188"/>
      <c r="AZ106" s="2188"/>
      <c r="BA106" s="2188"/>
      <c r="BB106" s="2188"/>
      <c r="BC106" s="2188"/>
      <c r="BD106" s="2189"/>
      <c r="BE106" s="1092"/>
    </row>
    <row r="107" spans="1:57" ht="15.75" customHeight="1">
      <c r="A107" s="1086"/>
      <c r="B107" s="2212" t="s">
        <v>2559</v>
      </c>
      <c r="C107" s="2213"/>
      <c r="D107" s="2213"/>
      <c r="E107" s="2213"/>
      <c r="F107" s="2213"/>
      <c r="G107" s="2213"/>
      <c r="H107" s="2213"/>
      <c r="I107" s="2214">
        <v>0</v>
      </c>
      <c r="J107" s="2214"/>
      <c r="K107" s="2214"/>
      <c r="L107" s="2214"/>
      <c r="M107" s="2214"/>
      <c r="N107" s="2214"/>
      <c r="O107" s="2214"/>
      <c r="P107" s="2214">
        <v>0</v>
      </c>
      <c r="Q107" s="2214"/>
      <c r="R107" s="2214"/>
      <c r="S107" s="2214"/>
      <c r="T107" s="2214"/>
      <c r="U107" s="2215"/>
      <c r="V107" s="1086"/>
      <c r="W107" s="1086"/>
      <c r="X107" s="2187"/>
      <c r="Y107" s="2188"/>
      <c r="Z107" s="2188"/>
      <c r="AA107" s="2188"/>
      <c r="AB107" s="2188"/>
      <c r="AC107" s="2188"/>
      <c r="AD107" s="2188"/>
      <c r="AE107" s="2188"/>
      <c r="AF107" s="2188"/>
      <c r="AG107" s="2188"/>
      <c r="AH107" s="2188"/>
      <c r="AI107" s="2188"/>
      <c r="AJ107" s="2188"/>
      <c r="AK107" s="2188"/>
      <c r="AL107" s="2188"/>
      <c r="AM107" s="2188"/>
      <c r="AN107" s="2188"/>
      <c r="AO107" s="2188"/>
      <c r="AP107" s="2188"/>
      <c r="AQ107" s="2188"/>
      <c r="AR107" s="2188"/>
      <c r="AS107" s="2188"/>
      <c r="AT107" s="2188"/>
      <c r="AU107" s="2188"/>
      <c r="AV107" s="2188"/>
      <c r="AW107" s="2188"/>
      <c r="AX107" s="2188"/>
      <c r="AY107" s="2188"/>
      <c r="AZ107" s="2188"/>
      <c r="BA107" s="2188"/>
      <c r="BB107" s="2188"/>
      <c r="BC107" s="2188"/>
      <c r="BD107" s="2189"/>
      <c r="BE107" s="1092"/>
    </row>
    <row r="108" spans="1:57" ht="15.75" customHeight="1" thickBot="1">
      <c r="A108" s="1086"/>
      <c r="B108" s="2206" t="s">
        <v>2560</v>
      </c>
      <c r="C108" s="2207"/>
      <c r="D108" s="2207"/>
      <c r="E108" s="2207"/>
      <c r="F108" s="2207"/>
      <c r="G108" s="2207"/>
      <c r="H108" s="2207"/>
      <c r="I108" s="2208">
        <v>0</v>
      </c>
      <c r="J108" s="2208"/>
      <c r="K108" s="2208"/>
      <c r="L108" s="2208"/>
      <c r="M108" s="2208"/>
      <c r="N108" s="2208"/>
      <c r="O108" s="2208"/>
      <c r="P108" s="2208">
        <v>0</v>
      </c>
      <c r="Q108" s="2208"/>
      <c r="R108" s="2208"/>
      <c r="S108" s="2208"/>
      <c r="T108" s="2208"/>
      <c r="U108" s="2209"/>
      <c r="V108" s="1086"/>
      <c r="W108" s="1086"/>
      <c r="X108" s="2190"/>
      <c r="Y108" s="2191"/>
      <c r="Z108" s="2191"/>
      <c r="AA108" s="2191"/>
      <c r="AB108" s="2191"/>
      <c r="AC108" s="2191"/>
      <c r="AD108" s="2191"/>
      <c r="AE108" s="2191"/>
      <c r="AF108" s="2191"/>
      <c r="AG108" s="2191"/>
      <c r="AH108" s="2191"/>
      <c r="AI108" s="2191"/>
      <c r="AJ108" s="2191"/>
      <c r="AK108" s="2191"/>
      <c r="AL108" s="2191"/>
      <c r="AM108" s="2191"/>
      <c r="AN108" s="2191"/>
      <c r="AO108" s="2191"/>
      <c r="AP108" s="2191"/>
      <c r="AQ108" s="2191"/>
      <c r="AR108" s="2191"/>
      <c r="AS108" s="2191"/>
      <c r="AT108" s="2191"/>
      <c r="AU108" s="2191"/>
      <c r="AV108" s="2191"/>
      <c r="AW108" s="2191"/>
      <c r="AX108" s="2191"/>
      <c r="AY108" s="2191"/>
      <c r="AZ108" s="2191"/>
      <c r="BA108" s="2191"/>
      <c r="BB108" s="2191"/>
      <c r="BC108" s="2191"/>
      <c r="BD108" s="2192"/>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81" t="s">
        <v>2563</v>
      </c>
      <c r="C110" s="2182"/>
      <c r="D110" s="2182"/>
      <c r="E110" s="2182"/>
      <c r="F110" s="2182"/>
      <c r="G110" s="2182"/>
      <c r="H110" s="2182"/>
      <c r="I110" s="2182"/>
      <c r="J110" s="2182"/>
      <c r="K110" s="2182"/>
      <c r="L110" s="2182"/>
      <c r="M110" s="2182"/>
      <c r="N110" s="2182"/>
      <c r="O110" s="2182"/>
      <c r="P110" s="2182"/>
      <c r="Q110" s="2182"/>
      <c r="R110" s="2182"/>
      <c r="S110" s="2182"/>
      <c r="T110" s="2182"/>
      <c r="U110" s="2182"/>
      <c r="V110" s="2182"/>
      <c r="W110" s="2182"/>
      <c r="X110" s="2182"/>
      <c r="Y110" s="2182"/>
      <c r="Z110" s="2182"/>
      <c r="AA110" s="2182"/>
      <c r="AB110" s="2182"/>
      <c r="AC110" s="2182"/>
      <c r="AD110" s="2182"/>
      <c r="AE110" s="2182"/>
      <c r="AF110" s="2182"/>
      <c r="AG110" s="2182"/>
      <c r="AH110" s="2218" t="s">
        <v>946</v>
      </c>
      <c r="AI110" s="2218"/>
      <c r="AJ110" s="2218"/>
      <c r="AK110" s="2218"/>
      <c r="AL110" s="2218"/>
      <c r="AM110" s="2218"/>
      <c r="AN110" s="2218"/>
      <c r="AO110" s="2218"/>
      <c r="AP110" s="2218"/>
      <c r="AQ110" s="2218"/>
      <c r="AR110" s="2218"/>
      <c r="AS110" s="2218"/>
      <c r="AT110" s="2218"/>
      <c r="AU110" s="2218"/>
      <c r="AV110" s="2218"/>
      <c r="AW110" s="2218"/>
      <c r="AX110" s="2219"/>
      <c r="AY110" s="1086"/>
      <c r="AZ110" s="1086"/>
      <c r="BA110" s="1086"/>
      <c r="BB110" s="1086"/>
      <c r="BC110" s="1086"/>
      <c r="BD110" s="1086"/>
      <c r="BE110" s="1092"/>
    </row>
    <row r="111" spans="1:57" ht="15.75" customHeight="1">
      <c r="A111" s="1086"/>
      <c r="B111" s="2220" t="s">
        <v>2564</v>
      </c>
      <c r="C111" s="2221"/>
      <c r="D111" s="2221"/>
      <c r="E111" s="2221"/>
      <c r="F111" s="2221"/>
      <c r="G111" s="2221"/>
      <c r="H111" s="2221"/>
      <c r="I111" s="2221"/>
      <c r="J111" s="2221"/>
      <c r="K111" s="2221"/>
      <c r="L111" s="2221"/>
      <c r="M111" s="2221"/>
      <c r="N111" s="2221"/>
      <c r="O111" s="2221"/>
      <c r="P111" s="2221"/>
      <c r="Q111" s="2221"/>
      <c r="R111" s="2222" t="s">
        <v>2565</v>
      </c>
      <c r="S111" s="2222"/>
      <c r="T111" s="2222"/>
      <c r="U111" s="2222"/>
      <c r="V111" s="2222"/>
      <c r="W111" s="2222"/>
      <c r="X111" s="2222"/>
      <c r="Y111" s="2222"/>
      <c r="Z111" s="2222"/>
      <c r="AA111" s="2222"/>
      <c r="AB111" s="2222"/>
      <c r="AC111" s="2222"/>
      <c r="AD111" s="2222"/>
      <c r="AE111" s="2222"/>
      <c r="AF111" s="2222"/>
      <c r="AG111" s="2222"/>
      <c r="AH111" s="2222"/>
      <c r="AI111" s="2222"/>
      <c r="AJ111" s="2222"/>
      <c r="AK111" s="2222"/>
      <c r="AL111" s="2222"/>
      <c r="AM111" s="2222"/>
      <c r="AN111" s="2222"/>
      <c r="AO111" s="2222"/>
      <c r="AP111" s="2222"/>
      <c r="AQ111" s="2222"/>
      <c r="AR111" s="2222"/>
      <c r="AS111" s="2222"/>
      <c r="AT111" s="2222"/>
      <c r="AU111" s="2222"/>
      <c r="AV111" s="2222"/>
      <c r="AW111" s="2222"/>
      <c r="AX111" s="2223"/>
      <c r="AY111" s="1086"/>
      <c r="AZ111" s="1086"/>
      <c r="BA111" s="1086"/>
      <c r="BB111" s="1086"/>
      <c r="BC111" s="1086" t="s">
        <v>253</v>
      </c>
      <c r="BD111" s="1086"/>
      <c r="BE111" s="1092"/>
    </row>
    <row r="112" spans="1:57" ht="15.75" customHeight="1">
      <c r="A112" s="1086"/>
      <c r="B112" s="2224" t="s">
        <v>2566</v>
      </c>
      <c r="C112" s="2225"/>
      <c r="D112" s="2225"/>
      <c r="E112" s="2225"/>
      <c r="F112" s="2225"/>
      <c r="G112" s="2225"/>
      <c r="H112" s="2225"/>
      <c r="I112" s="2225"/>
      <c r="J112" s="2225"/>
      <c r="K112" s="2225"/>
      <c r="L112" s="2225"/>
      <c r="M112" s="2225"/>
      <c r="N112" s="2225"/>
      <c r="O112" s="2225"/>
      <c r="P112" s="2225"/>
      <c r="Q112" s="2225"/>
      <c r="R112" s="2225"/>
      <c r="S112" s="2225"/>
      <c r="T112" s="2225"/>
      <c r="U112" s="2225"/>
      <c r="V112" s="2225"/>
      <c r="W112" s="2225"/>
      <c r="X112" s="2225"/>
      <c r="Y112" s="2225"/>
      <c r="Z112" s="2225"/>
      <c r="AA112" s="2225"/>
      <c r="AB112" s="2225"/>
      <c r="AC112" s="2225"/>
      <c r="AD112" s="2225"/>
      <c r="AE112" s="2225"/>
      <c r="AF112" s="2225"/>
      <c r="AG112" s="2225"/>
      <c r="AH112" s="2225"/>
      <c r="AI112" s="2225"/>
      <c r="AJ112" s="2225"/>
      <c r="AK112" s="2225"/>
      <c r="AL112" s="2225"/>
      <c r="AM112" s="2225"/>
      <c r="AN112" s="2225"/>
      <c r="AO112" s="2225"/>
      <c r="AP112" s="2225"/>
      <c r="AQ112" s="2225"/>
      <c r="AR112" s="2225"/>
      <c r="AS112" s="2225"/>
      <c r="AT112" s="2225"/>
      <c r="AU112" s="2225"/>
      <c r="AV112" s="2225"/>
      <c r="AW112" s="2225"/>
      <c r="AX112" s="2226"/>
      <c r="AY112" s="1086"/>
      <c r="AZ112" s="1086"/>
      <c r="BA112" s="1086"/>
      <c r="BB112" s="1086"/>
      <c r="BC112" s="1086"/>
      <c r="BD112" s="1086"/>
      <c r="BE112" s="1092"/>
    </row>
    <row r="113" spans="1:57" ht="15.75" customHeight="1">
      <c r="A113" s="1086"/>
      <c r="B113" s="2224"/>
      <c r="C113" s="2225"/>
      <c r="D113" s="2225"/>
      <c r="E113" s="2225"/>
      <c r="F113" s="2225"/>
      <c r="G113" s="2225"/>
      <c r="H113" s="2225"/>
      <c r="I113" s="2225"/>
      <c r="J113" s="2225"/>
      <c r="K113" s="2225"/>
      <c r="L113" s="2225"/>
      <c r="M113" s="2225"/>
      <c r="N113" s="2225"/>
      <c r="O113" s="2225"/>
      <c r="P113" s="2225"/>
      <c r="Q113" s="2225"/>
      <c r="R113" s="2225"/>
      <c r="S113" s="2225"/>
      <c r="T113" s="2225"/>
      <c r="U113" s="2225"/>
      <c r="V113" s="2225"/>
      <c r="W113" s="2225"/>
      <c r="X113" s="2225"/>
      <c r="Y113" s="2225"/>
      <c r="Z113" s="2225"/>
      <c r="AA113" s="2225"/>
      <c r="AB113" s="2225"/>
      <c r="AC113" s="2225"/>
      <c r="AD113" s="2225"/>
      <c r="AE113" s="2225"/>
      <c r="AF113" s="2225"/>
      <c r="AG113" s="2225"/>
      <c r="AH113" s="2225"/>
      <c r="AI113" s="2225"/>
      <c r="AJ113" s="2225"/>
      <c r="AK113" s="2225"/>
      <c r="AL113" s="2225"/>
      <c r="AM113" s="2225"/>
      <c r="AN113" s="2225"/>
      <c r="AO113" s="2225"/>
      <c r="AP113" s="2225"/>
      <c r="AQ113" s="2225"/>
      <c r="AR113" s="2225"/>
      <c r="AS113" s="2225"/>
      <c r="AT113" s="2225"/>
      <c r="AU113" s="2225"/>
      <c r="AV113" s="2225"/>
      <c r="AW113" s="2225"/>
      <c r="AX113" s="2226"/>
      <c r="AY113" s="1086"/>
      <c r="AZ113" s="1086"/>
      <c r="BA113" s="1086"/>
      <c r="BB113" s="1086"/>
      <c r="BC113" s="1086"/>
      <c r="BD113" s="1086"/>
      <c r="BE113" s="1092"/>
    </row>
    <row r="114" spans="1:57" ht="15.75" customHeight="1">
      <c r="A114" s="1086"/>
      <c r="B114" s="2224"/>
      <c r="C114" s="2225"/>
      <c r="D114" s="2225"/>
      <c r="E114" s="2225"/>
      <c r="F114" s="2225"/>
      <c r="G114" s="2225"/>
      <c r="H114" s="2225"/>
      <c r="I114" s="2225"/>
      <c r="J114" s="2225"/>
      <c r="K114" s="2225"/>
      <c r="L114" s="2225"/>
      <c r="M114" s="2225"/>
      <c r="N114" s="2225"/>
      <c r="O114" s="2225"/>
      <c r="P114" s="2225"/>
      <c r="Q114" s="2225"/>
      <c r="R114" s="2225"/>
      <c r="S114" s="2225"/>
      <c r="T114" s="2225"/>
      <c r="U114" s="2225"/>
      <c r="V114" s="2225"/>
      <c r="W114" s="2225"/>
      <c r="X114" s="2225"/>
      <c r="Y114" s="2225"/>
      <c r="Z114" s="2225"/>
      <c r="AA114" s="2225"/>
      <c r="AB114" s="2225"/>
      <c r="AC114" s="2225"/>
      <c r="AD114" s="2225"/>
      <c r="AE114" s="2225"/>
      <c r="AF114" s="2225"/>
      <c r="AG114" s="2225"/>
      <c r="AH114" s="2225"/>
      <c r="AI114" s="2225"/>
      <c r="AJ114" s="2225"/>
      <c r="AK114" s="2225"/>
      <c r="AL114" s="2225"/>
      <c r="AM114" s="2225"/>
      <c r="AN114" s="2225"/>
      <c r="AO114" s="2225"/>
      <c r="AP114" s="2225"/>
      <c r="AQ114" s="2225"/>
      <c r="AR114" s="2225"/>
      <c r="AS114" s="2225"/>
      <c r="AT114" s="2225"/>
      <c r="AU114" s="2225"/>
      <c r="AV114" s="2225"/>
      <c r="AW114" s="2225"/>
      <c r="AX114" s="2226"/>
      <c r="AY114" s="1086"/>
      <c r="AZ114" s="1086"/>
      <c r="BA114" s="1086"/>
      <c r="BB114" s="1086"/>
      <c r="BC114" s="1086"/>
      <c r="BD114" s="1086"/>
      <c r="BE114" s="1092"/>
    </row>
    <row r="115" spans="1:57" ht="15.75" customHeight="1">
      <c r="A115" s="1086"/>
      <c r="B115" s="2224"/>
      <c r="C115" s="2225"/>
      <c r="D115" s="2225"/>
      <c r="E115" s="2225"/>
      <c r="F115" s="2225"/>
      <c r="G115" s="2225"/>
      <c r="H115" s="2225"/>
      <c r="I115" s="2225"/>
      <c r="J115" s="2225"/>
      <c r="K115" s="2225"/>
      <c r="L115" s="2225"/>
      <c r="M115" s="2225"/>
      <c r="N115" s="2225"/>
      <c r="O115" s="2225"/>
      <c r="P115" s="2225"/>
      <c r="Q115" s="2225"/>
      <c r="R115" s="2225"/>
      <c r="S115" s="2225"/>
      <c r="T115" s="2225"/>
      <c r="U115" s="2225"/>
      <c r="V115" s="2225"/>
      <c r="W115" s="2225"/>
      <c r="X115" s="2225"/>
      <c r="Y115" s="2225"/>
      <c r="Z115" s="2225"/>
      <c r="AA115" s="2225"/>
      <c r="AB115" s="2225"/>
      <c r="AC115" s="2225"/>
      <c r="AD115" s="2225"/>
      <c r="AE115" s="2225"/>
      <c r="AF115" s="2225"/>
      <c r="AG115" s="2225"/>
      <c r="AH115" s="2225"/>
      <c r="AI115" s="2225"/>
      <c r="AJ115" s="2225"/>
      <c r="AK115" s="2225"/>
      <c r="AL115" s="2225"/>
      <c r="AM115" s="2225"/>
      <c r="AN115" s="2225"/>
      <c r="AO115" s="2225"/>
      <c r="AP115" s="2225"/>
      <c r="AQ115" s="2225"/>
      <c r="AR115" s="2225"/>
      <c r="AS115" s="2225"/>
      <c r="AT115" s="2225"/>
      <c r="AU115" s="2225"/>
      <c r="AV115" s="2225"/>
      <c r="AW115" s="2225"/>
      <c r="AX115" s="2226"/>
      <c r="AY115" s="1086"/>
      <c r="AZ115" s="1086"/>
      <c r="BA115" s="1086"/>
      <c r="BB115" s="1086"/>
      <c r="BC115" s="1086"/>
      <c r="BD115" s="1086"/>
      <c r="BE115" s="1092"/>
    </row>
    <row r="116" spans="1:57" ht="15.75" customHeight="1">
      <c r="A116" s="1086"/>
      <c r="B116" s="2224"/>
      <c r="C116" s="2225"/>
      <c r="D116" s="2225"/>
      <c r="E116" s="2225"/>
      <c r="F116" s="2225"/>
      <c r="G116" s="2225"/>
      <c r="H116" s="2225"/>
      <c r="I116" s="2225"/>
      <c r="J116" s="2225"/>
      <c r="K116" s="2225"/>
      <c r="L116" s="2225"/>
      <c r="M116" s="2225"/>
      <c r="N116" s="2225"/>
      <c r="O116" s="2225"/>
      <c r="P116" s="2225"/>
      <c r="Q116" s="2225"/>
      <c r="R116" s="2225"/>
      <c r="S116" s="2225"/>
      <c r="T116" s="2225"/>
      <c r="U116" s="2225"/>
      <c r="V116" s="2225"/>
      <c r="W116" s="2225"/>
      <c r="X116" s="2225"/>
      <c r="Y116" s="2225"/>
      <c r="Z116" s="2225"/>
      <c r="AA116" s="2225"/>
      <c r="AB116" s="2225"/>
      <c r="AC116" s="2225"/>
      <c r="AD116" s="2225"/>
      <c r="AE116" s="2225"/>
      <c r="AF116" s="2225"/>
      <c r="AG116" s="2225"/>
      <c r="AH116" s="2225"/>
      <c r="AI116" s="2225"/>
      <c r="AJ116" s="2225"/>
      <c r="AK116" s="2225"/>
      <c r="AL116" s="2225"/>
      <c r="AM116" s="2225"/>
      <c r="AN116" s="2225"/>
      <c r="AO116" s="2225"/>
      <c r="AP116" s="2225"/>
      <c r="AQ116" s="2225"/>
      <c r="AR116" s="2225"/>
      <c r="AS116" s="2225"/>
      <c r="AT116" s="2225"/>
      <c r="AU116" s="2225"/>
      <c r="AV116" s="2225"/>
      <c r="AW116" s="2225"/>
      <c r="AX116" s="2226"/>
      <c r="AY116" s="1086"/>
      <c r="AZ116" s="1086"/>
      <c r="BA116" s="1086"/>
      <c r="BB116" s="1086"/>
      <c r="BC116" s="1086"/>
      <c r="BD116" s="1086"/>
      <c r="BE116" s="1092"/>
    </row>
    <row r="117" spans="1:57" ht="15.75" customHeight="1">
      <c r="A117" s="1086"/>
      <c r="B117" s="2224"/>
      <c r="C117" s="2225"/>
      <c r="D117" s="2225"/>
      <c r="E117" s="2225"/>
      <c r="F117" s="2225"/>
      <c r="G117" s="2225"/>
      <c r="H117" s="2225"/>
      <c r="I117" s="2225"/>
      <c r="J117" s="2225"/>
      <c r="K117" s="2225"/>
      <c r="L117" s="2225"/>
      <c r="M117" s="2225"/>
      <c r="N117" s="2225"/>
      <c r="O117" s="2225"/>
      <c r="P117" s="2225"/>
      <c r="Q117" s="2225"/>
      <c r="R117" s="2225"/>
      <c r="S117" s="2225"/>
      <c r="T117" s="2225"/>
      <c r="U117" s="2225"/>
      <c r="V117" s="2225"/>
      <c r="W117" s="2225"/>
      <c r="X117" s="2225"/>
      <c r="Y117" s="2225"/>
      <c r="Z117" s="2225"/>
      <c r="AA117" s="2225"/>
      <c r="AB117" s="2225"/>
      <c r="AC117" s="2225"/>
      <c r="AD117" s="2225"/>
      <c r="AE117" s="2225"/>
      <c r="AF117" s="2225"/>
      <c r="AG117" s="2225"/>
      <c r="AH117" s="2225"/>
      <c r="AI117" s="2225"/>
      <c r="AJ117" s="2225"/>
      <c r="AK117" s="2225"/>
      <c r="AL117" s="2225"/>
      <c r="AM117" s="2225"/>
      <c r="AN117" s="2225"/>
      <c r="AO117" s="2225"/>
      <c r="AP117" s="2225"/>
      <c r="AQ117" s="2225"/>
      <c r="AR117" s="2225"/>
      <c r="AS117" s="2225"/>
      <c r="AT117" s="2225"/>
      <c r="AU117" s="2225"/>
      <c r="AV117" s="2225"/>
      <c r="AW117" s="2225"/>
      <c r="AX117" s="2226"/>
      <c r="AY117" s="1086"/>
      <c r="AZ117" s="1086"/>
      <c r="BA117" s="1086"/>
      <c r="BB117" s="1086"/>
      <c r="BC117" s="1086"/>
      <c r="BD117" s="1086"/>
      <c r="BE117" s="1092"/>
    </row>
    <row r="118" spans="1:57" ht="15.75" customHeight="1">
      <c r="A118" s="1086"/>
      <c r="B118" s="2224"/>
      <c r="C118" s="2225"/>
      <c r="D118" s="2225"/>
      <c r="E118" s="2225"/>
      <c r="F118" s="2225"/>
      <c r="G118" s="2225"/>
      <c r="H118" s="2225"/>
      <c r="I118" s="2225"/>
      <c r="J118" s="2225"/>
      <c r="K118" s="2225"/>
      <c r="L118" s="2225"/>
      <c r="M118" s="2225"/>
      <c r="N118" s="2225"/>
      <c r="O118" s="2225"/>
      <c r="P118" s="2225"/>
      <c r="Q118" s="2225"/>
      <c r="R118" s="2225"/>
      <c r="S118" s="2225"/>
      <c r="T118" s="2225"/>
      <c r="U118" s="2225"/>
      <c r="V118" s="2225"/>
      <c r="W118" s="2225"/>
      <c r="X118" s="2225"/>
      <c r="Y118" s="2225"/>
      <c r="Z118" s="2225"/>
      <c r="AA118" s="2225"/>
      <c r="AB118" s="2225"/>
      <c r="AC118" s="2225"/>
      <c r="AD118" s="2225"/>
      <c r="AE118" s="2225"/>
      <c r="AF118" s="2225"/>
      <c r="AG118" s="2225"/>
      <c r="AH118" s="2225"/>
      <c r="AI118" s="2225"/>
      <c r="AJ118" s="2225"/>
      <c r="AK118" s="2225"/>
      <c r="AL118" s="2225"/>
      <c r="AM118" s="2225"/>
      <c r="AN118" s="2225"/>
      <c r="AO118" s="2225"/>
      <c r="AP118" s="2225"/>
      <c r="AQ118" s="2225"/>
      <c r="AR118" s="2225"/>
      <c r="AS118" s="2225"/>
      <c r="AT118" s="2225"/>
      <c r="AU118" s="2225"/>
      <c r="AV118" s="2225"/>
      <c r="AW118" s="2225"/>
      <c r="AX118" s="2226"/>
      <c r="AY118" s="1086"/>
      <c r="AZ118" s="1086"/>
      <c r="BA118" s="1086"/>
      <c r="BB118" s="1086"/>
      <c r="BC118" s="1086"/>
      <c r="BD118" s="1086"/>
      <c r="BE118" s="1092"/>
    </row>
    <row r="119" spans="1:57" ht="15.75" customHeight="1">
      <c r="A119" s="1086"/>
      <c r="B119" s="2224"/>
      <c r="C119" s="2225"/>
      <c r="D119" s="2225"/>
      <c r="E119" s="2225"/>
      <c r="F119" s="2225"/>
      <c r="G119" s="2225"/>
      <c r="H119" s="2225"/>
      <c r="I119" s="2225"/>
      <c r="J119" s="2225"/>
      <c r="K119" s="2225"/>
      <c r="L119" s="2225"/>
      <c r="M119" s="2225"/>
      <c r="N119" s="2225"/>
      <c r="O119" s="2225"/>
      <c r="P119" s="2225"/>
      <c r="Q119" s="2225"/>
      <c r="R119" s="2225"/>
      <c r="S119" s="2225"/>
      <c r="T119" s="2225"/>
      <c r="U119" s="2225"/>
      <c r="V119" s="2225"/>
      <c r="W119" s="2225"/>
      <c r="X119" s="2225"/>
      <c r="Y119" s="2225"/>
      <c r="Z119" s="2225"/>
      <c r="AA119" s="2225"/>
      <c r="AB119" s="2225"/>
      <c r="AC119" s="2225"/>
      <c r="AD119" s="2225"/>
      <c r="AE119" s="2225"/>
      <c r="AF119" s="2225"/>
      <c r="AG119" s="2225"/>
      <c r="AH119" s="2225"/>
      <c r="AI119" s="2225"/>
      <c r="AJ119" s="2225"/>
      <c r="AK119" s="2225"/>
      <c r="AL119" s="2225"/>
      <c r="AM119" s="2225"/>
      <c r="AN119" s="2225"/>
      <c r="AO119" s="2225"/>
      <c r="AP119" s="2225"/>
      <c r="AQ119" s="2225"/>
      <c r="AR119" s="2225"/>
      <c r="AS119" s="2225"/>
      <c r="AT119" s="2225"/>
      <c r="AU119" s="2225"/>
      <c r="AV119" s="2225"/>
      <c r="AW119" s="2225"/>
      <c r="AX119" s="2226"/>
      <c r="AY119" s="1086"/>
      <c r="AZ119" s="1086"/>
      <c r="BA119" s="1086"/>
      <c r="BB119" s="1086"/>
      <c r="BC119" s="1086"/>
      <c r="BD119" s="1086"/>
      <c r="BE119" s="1092"/>
    </row>
    <row r="120" spans="1:57" ht="15.75" customHeight="1">
      <c r="A120" s="1086"/>
      <c r="B120" s="2224"/>
      <c r="C120" s="2225"/>
      <c r="D120" s="2225"/>
      <c r="E120" s="2225"/>
      <c r="F120" s="2225"/>
      <c r="G120" s="2225"/>
      <c r="H120" s="2225"/>
      <c r="I120" s="2225"/>
      <c r="J120" s="2225"/>
      <c r="K120" s="2225"/>
      <c r="L120" s="2225"/>
      <c r="M120" s="2225"/>
      <c r="N120" s="2225"/>
      <c r="O120" s="2225"/>
      <c r="P120" s="2225"/>
      <c r="Q120" s="2225"/>
      <c r="R120" s="2225"/>
      <c r="S120" s="2225"/>
      <c r="T120" s="2225"/>
      <c r="U120" s="2225"/>
      <c r="V120" s="2225"/>
      <c r="W120" s="2225"/>
      <c r="X120" s="2225"/>
      <c r="Y120" s="2225"/>
      <c r="Z120" s="2225"/>
      <c r="AA120" s="2225"/>
      <c r="AB120" s="2225"/>
      <c r="AC120" s="2225"/>
      <c r="AD120" s="2225"/>
      <c r="AE120" s="2225"/>
      <c r="AF120" s="2225"/>
      <c r="AG120" s="2225"/>
      <c r="AH120" s="2225"/>
      <c r="AI120" s="2225"/>
      <c r="AJ120" s="2225"/>
      <c r="AK120" s="2225"/>
      <c r="AL120" s="2225"/>
      <c r="AM120" s="2225"/>
      <c r="AN120" s="2225"/>
      <c r="AO120" s="2225"/>
      <c r="AP120" s="2225"/>
      <c r="AQ120" s="2225"/>
      <c r="AR120" s="2225"/>
      <c r="AS120" s="2225"/>
      <c r="AT120" s="2225"/>
      <c r="AU120" s="2225"/>
      <c r="AV120" s="2225"/>
      <c r="AW120" s="2225"/>
      <c r="AX120" s="2226"/>
      <c r="AY120" s="1086"/>
      <c r="AZ120" s="1086"/>
      <c r="BA120" s="1086"/>
      <c r="BB120" s="1086"/>
      <c r="BC120" s="1086"/>
      <c r="BD120" s="1086"/>
      <c r="BE120" s="1092"/>
    </row>
    <row r="121" spans="1:57" ht="15.75" customHeight="1" thickBot="1">
      <c r="A121" s="1086"/>
      <c r="B121" s="2227"/>
      <c r="C121" s="2228"/>
      <c r="D121" s="2228"/>
      <c r="E121" s="2228"/>
      <c r="F121" s="2228"/>
      <c r="G121" s="2228"/>
      <c r="H121" s="2228"/>
      <c r="I121" s="2228"/>
      <c r="J121" s="2228"/>
      <c r="K121" s="2228"/>
      <c r="L121" s="2228"/>
      <c r="M121" s="2228"/>
      <c r="N121" s="2228"/>
      <c r="O121" s="2228"/>
      <c r="P121" s="2228"/>
      <c r="Q121" s="2228"/>
      <c r="R121" s="2228"/>
      <c r="S121" s="2228"/>
      <c r="T121" s="2228"/>
      <c r="U121" s="2228"/>
      <c r="V121" s="2228"/>
      <c r="W121" s="2228"/>
      <c r="X121" s="2228"/>
      <c r="Y121" s="2228"/>
      <c r="Z121" s="2228"/>
      <c r="AA121" s="2228"/>
      <c r="AB121" s="2228"/>
      <c r="AC121" s="2228"/>
      <c r="AD121" s="2228"/>
      <c r="AE121" s="2228"/>
      <c r="AF121" s="2228"/>
      <c r="AG121" s="2228"/>
      <c r="AH121" s="2228"/>
      <c r="AI121" s="2228"/>
      <c r="AJ121" s="2228"/>
      <c r="AK121" s="2228"/>
      <c r="AL121" s="2228"/>
      <c r="AM121" s="2228"/>
      <c r="AN121" s="2228"/>
      <c r="AO121" s="2228"/>
      <c r="AP121" s="2228"/>
      <c r="AQ121" s="2228"/>
      <c r="AR121" s="2228"/>
      <c r="AS121" s="2228"/>
      <c r="AT121" s="2228"/>
      <c r="AU121" s="2228"/>
      <c r="AV121" s="2228"/>
      <c r="AW121" s="2228"/>
      <c r="AX121" s="2229"/>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2567</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2568</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210" t="s">
        <v>2569</v>
      </c>
      <c r="C125" s="2176"/>
      <c r="D125" s="2176"/>
      <c r="E125" s="2176"/>
      <c r="F125" s="2176"/>
      <c r="G125" s="2176"/>
      <c r="H125" s="2176"/>
      <c r="I125" s="2176"/>
      <c r="J125" s="2176"/>
      <c r="K125" s="2176"/>
      <c r="L125" s="2176"/>
      <c r="M125" s="2176"/>
      <c r="N125" s="2176"/>
      <c r="O125" s="2176"/>
      <c r="P125" s="2176"/>
      <c r="Q125" s="2176"/>
      <c r="R125" s="2176"/>
      <c r="S125" s="2176"/>
      <c r="T125" s="2176"/>
      <c r="U125" s="2177"/>
      <c r="V125" s="1086"/>
      <c r="W125" s="1088"/>
      <c r="X125" s="2210" t="s">
        <v>2570</v>
      </c>
      <c r="Y125" s="2176"/>
      <c r="Z125" s="2176"/>
      <c r="AA125" s="2176"/>
      <c r="AB125" s="2176"/>
      <c r="AC125" s="2176"/>
      <c r="AD125" s="2176"/>
      <c r="AE125" s="2176"/>
      <c r="AF125" s="2176"/>
      <c r="AG125" s="2176"/>
      <c r="AH125" s="2176"/>
      <c r="AI125" s="2176"/>
      <c r="AJ125" s="2176"/>
      <c r="AK125" s="2176"/>
      <c r="AL125" s="2176"/>
      <c r="AM125" s="2176"/>
      <c r="AN125" s="2176"/>
      <c r="AO125" s="2176"/>
      <c r="AP125" s="2176"/>
      <c r="AQ125" s="2177"/>
      <c r="AR125" s="1086"/>
      <c r="AS125" s="1086"/>
      <c r="AT125" s="1086"/>
      <c r="AU125" s="1086"/>
      <c r="AV125" s="1086"/>
      <c r="AW125" s="1086"/>
      <c r="AX125" s="1086"/>
      <c r="AY125" s="1086"/>
      <c r="AZ125" s="1086"/>
      <c r="BA125" s="1086"/>
      <c r="BB125" s="1086"/>
      <c r="BC125" s="1086"/>
      <c r="BD125" s="1086"/>
      <c r="BE125" s="1092"/>
    </row>
    <row r="126" spans="1:57" ht="15.75" customHeight="1">
      <c r="A126" s="1086"/>
      <c r="B126" s="2184"/>
      <c r="C126" s="2185"/>
      <c r="D126" s="2185"/>
      <c r="E126" s="2185"/>
      <c r="F126" s="2185"/>
      <c r="G126" s="2185"/>
      <c r="H126" s="2185"/>
      <c r="I126" s="2216" t="s">
        <v>2544</v>
      </c>
      <c r="J126" s="2216"/>
      <c r="K126" s="2216"/>
      <c r="L126" s="2216"/>
      <c r="M126" s="2216"/>
      <c r="N126" s="2216"/>
      <c r="O126" s="2216"/>
      <c r="P126" s="2216" t="s">
        <v>2571</v>
      </c>
      <c r="Q126" s="2216"/>
      <c r="R126" s="2216"/>
      <c r="S126" s="2216"/>
      <c r="T126" s="2216"/>
      <c r="U126" s="2217"/>
      <c r="V126" s="1086"/>
      <c r="W126" s="1086"/>
      <c r="X126" s="2184"/>
      <c r="Y126" s="2185"/>
      <c r="Z126" s="2185"/>
      <c r="AA126" s="2185"/>
      <c r="AB126" s="2185"/>
      <c r="AC126" s="2185"/>
      <c r="AD126" s="2185"/>
      <c r="AE126" s="2216" t="s">
        <v>2544</v>
      </c>
      <c r="AF126" s="2216"/>
      <c r="AG126" s="2216"/>
      <c r="AH126" s="2216"/>
      <c r="AI126" s="2216"/>
      <c r="AJ126" s="2216"/>
      <c r="AK126" s="2216"/>
      <c r="AL126" s="2216" t="s">
        <v>2545</v>
      </c>
      <c r="AM126" s="2216"/>
      <c r="AN126" s="2216"/>
      <c r="AO126" s="2216"/>
      <c r="AP126" s="2216"/>
      <c r="AQ126" s="2217"/>
      <c r="AR126" s="1086"/>
      <c r="AS126" s="1086"/>
      <c r="AT126" s="1086"/>
      <c r="AU126" s="1086"/>
      <c r="AV126" s="1086"/>
      <c r="AW126" s="1086"/>
      <c r="AX126" s="1086"/>
      <c r="AY126" s="1086"/>
      <c r="AZ126" s="1086"/>
      <c r="BA126" s="1086"/>
      <c r="BB126" s="1086"/>
      <c r="BC126" s="1086"/>
      <c r="BD126" s="1086"/>
      <c r="BE126" s="1092"/>
    </row>
    <row r="127" spans="1:57" ht="15.75" customHeight="1">
      <c r="A127" s="1086"/>
      <c r="B127" s="2184"/>
      <c r="C127" s="2185"/>
      <c r="D127" s="2185"/>
      <c r="E127" s="2185"/>
      <c r="F127" s="2185"/>
      <c r="G127" s="2185"/>
      <c r="H127" s="2185"/>
      <c r="I127" s="2216"/>
      <c r="J127" s="2216"/>
      <c r="K127" s="2216"/>
      <c r="L127" s="2216"/>
      <c r="M127" s="2216"/>
      <c r="N127" s="2216"/>
      <c r="O127" s="2216"/>
      <c r="P127" s="2216"/>
      <c r="Q127" s="2216"/>
      <c r="R127" s="2216"/>
      <c r="S127" s="2216"/>
      <c r="T127" s="2216"/>
      <c r="U127" s="2217"/>
      <c r="V127" s="1086"/>
      <c r="W127" s="1086"/>
      <c r="X127" s="2184"/>
      <c r="Y127" s="2185"/>
      <c r="Z127" s="2185"/>
      <c r="AA127" s="2185"/>
      <c r="AB127" s="2185"/>
      <c r="AC127" s="2185"/>
      <c r="AD127" s="2185"/>
      <c r="AE127" s="2216"/>
      <c r="AF127" s="2216"/>
      <c r="AG127" s="2216"/>
      <c r="AH127" s="2216"/>
      <c r="AI127" s="2216"/>
      <c r="AJ127" s="2216"/>
      <c r="AK127" s="2216"/>
      <c r="AL127" s="2216"/>
      <c r="AM127" s="2216"/>
      <c r="AN127" s="2216"/>
      <c r="AO127" s="2216"/>
      <c r="AP127" s="2216"/>
      <c r="AQ127" s="2217"/>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12" t="s">
        <v>2559</v>
      </c>
      <c r="C128" s="2213"/>
      <c r="D128" s="2213"/>
      <c r="E128" s="2213"/>
      <c r="F128" s="2213"/>
      <c r="G128" s="2213"/>
      <c r="H128" s="2213"/>
      <c r="I128" s="2214">
        <v>0</v>
      </c>
      <c r="J128" s="2214"/>
      <c r="K128" s="2214"/>
      <c r="L128" s="2214"/>
      <c r="M128" s="2214"/>
      <c r="N128" s="2214"/>
      <c r="O128" s="2214"/>
      <c r="P128" s="2214">
        <v>0</v>
      </c>
      <c r="Q128" s="2214"/>
      <c r="R128" s="2214"/>
      <c r="S128" s="2214"/>
      <c r="T128" s="2214"/>
      <c r="U128" s="2215"/>
      <c r="V128" s="1086"/>
      <c r="W128" s="1086"/>
      <c r="X128" s="2206" t="s">
        <v>2559</v>
      </c>
      <c r="Y128" s="2207"/>
      <c r="Z128" s="2207"/>
      <c r="AA128" s="2207"/>
      <c r="AB128" s="2207"/>
      <c r="AC128" s="2207"/>
      <c r="AD128" s="2207"/>
      <c r="AE128" s="2208">
        <v>0</v>
      </c>
      <c r="AF128" s="2208"/>
      <c r="AG128" s="2208"/>
      <c r="AH128" s="2208"/>
      <c r="AI128" s="2208"/>
      <c r="AJ128" s="2208"/>
      <c r="AK128" s="2208"/>
      <c r="AL128" s="2208">
        <v>0</v>
      </c>
      <c r="AM128" s="2208"/>
      <c r="AN128" s="2208"/>
      <c r="AO128" s="2208"/>
      <c r="AP128" s="2208"/>
      <c r="AQ128" s="2209"/>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06" t="s">
        <v>2560</v>
      </c>
      <c r="C129" s="2207"/>
      <c r="D129" s="2207"/>
      <c r="E129" s="2207"/>
      <c r="F129" s="2207"/>
      <c r="G129" s="2207"/>
      <c r="H129" s="2207"/>
      <c r="I129" s="2208">
        <v>0</v>
      </c>
      <c r="J129" s="2208"/>
      <c r="K129" s="2208"/>
      <c r="L129" s="2208"/>
      <c r="M129" s="2208"/>
      <c r="N129" s="2208"/>
      <c r="O129" s="2208"/>
      <c r="P129" s="2208">
        <v>0</v>
      </c>
      <c r="Q129" s="2208"/>
      <c r="R129" s="2208"/>
      <c r="S129" s="2208"/>
      <c r="T129" s="2208"/>
      <c r="U129" s="2209"/>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210" t="s">
        <v>2572</v>
      </c>
      <c r="D131" s="2176"/>
      <c r="E131" s="2176"/>
      <c r="F131" s="2176"/>
      <c r="G131" s="2176"/>
      <c r="H131" s="2176"/>
      <c r="I131" s="2176"/>
      <c r="J131" s="2176"/>
      <c r="K131" s="2176"/>
      <c r="L131" s="2176"/>
      <c r="M131" s="2176"/>
      <c r="N131" s="2176"/>
      <c r="O131" s="2176"/>
      <c r="P131" s="2176"/>
      <c r="Q131" s="2176"/>
      <c r="R131" s="2176"/>
      <c r="S131" s="2176"/>
      <c r="T131" s="2176"/>
      <c r="U131" s="2176"/>
      <c r="V131" s="2176"/>
      <c r="W131" s="2176"/>
      <c r="X131" s="2176"/>
      <c r="Y131" s="2176"/>
      <c r="Z131" s="2176"/>
      <c r="AA131" s="2176"/>
      <c r="AB131" s="2176"/>
      <c r="AC131" s="2176"/>
      <c r="AD131" s="2176"/>
      <c r="AE131" s="2176"/>
      <c r="AF131" s="2176"/>
      <c r="AG131" s="2177"/>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84" t="s">
        <v>2573</v>
      </c>
      <c r="D132" s="2185"/>
      <c r="E132" s="2185"/>
      <c r="F132" s="2185"/>
      <c r="G132" s="2185"/>
      <c r="H132" s="2185"/>
      <c r="I132" s="2185"/>
      <c r="J132" s="2185"/>
      <c r="K132" s="2185"/>
      <c r="L132" s="2185"/>
      <c r="M132" s="2185"/>
      <c r="N132" s="2185"/>
      <c r="O132" s="2185"/>
      <c r="P132" s="2185"/>
      <c r="Q132" s="2185" t="s">
        <v>2574</v>
      </c>
      <c r="R132" s="2185"/>
      <c r="S132" s="2185"/>
      <c r="T132" s="2211" t="s">
        <v>2575</v>
      </c>
      <c r="U132" s="2211"/>
      <c r="V132" s="2211"/>
      <c r="W132" s="2211"/>
      <c r="X132" s="2211"/>
      <c r="Y132" s="2211"/>
      <c r="Z132" s="2211"/>
      <c r="AA132" s="2211"/>
      <c r="AB132" s="2185" t="s">
        <v>2576</v>
      </c>
      <c r="AC132" s="2185"/>
      <c r="AD132" s="2185"/>
      <c r="AE132" s="2185"/>
      <c r="AF132" s="2185"/>
      <c r="AG132" s="2186"/>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93" t="s">
        <v>2577</v>
      </c>
      <c r="D133" s="2194"/>
      <c r="E133" s="2194"/>
      <c r="F133" s="2194"/>
      <c r="G133" s="2194"/>
      <c r="H133" s="2194"/>
      <c r="I133" s="2194"/>
      <c r="J133" s="2194"/>
      <c r="K133" s="2194"/>
      <c r="L133" s="2194"/>
      <c r="M133" s="2194"/>
      <c r="N133" s="2194"/>
      <c r="O133" s="2194"/>
      <c r="P133" s="2194"/>
      <c r="Q133" s="2141">
        <v>55</v>
      </c>
      <c r="R133" s="2141"/>
      <c r="S133" s="2141"/>
      <c r="T133" s="2178"/>
      <c r="U133" s="2178"/>
      <c r="V133" s="2178"/>
      <c r="W133" s="2178"/>
      <c r="X133" s="2178"/>
      <c r="Y133" s="2178"/>
      <c r="Z133" s="2178"/>
      <c r="AA133" s="2178"/>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93" t="s">
        <v>2578</v>
      </c>
      <c r="D134" s="2194"/>
      <c r="E134" s="2194"/>
      <c r="F134" s="2194"/>
      <c r="G134" s="2194"/>
      <c r="H134" s="2194"/>
      <c r="I134" s="2194"/>
      <c r="J134" s="2194"/>
      <c r="K134" s="2194"/>
      <c r="L134" s="2194"/>
      <c r="M134" s="2194"/>
      <c r="N134" s="2194"/>
      <c r="O134" s="2194"/>
      <c r="P134" s="2194"/>
      <c r="Q134" s="2141">
        <v>55</v>
      </c>
      <c r="R134" s="2141"/>
      <c r="S134" s="2141"/>
      <c r="T134" s="2196"/>
      <c r="U134" s="2196"/>
      <c r="V134" s="2196"/>
      <c r="W134" s="2196"/>
      <c r="X134" s="2196"/>
      <c r="Y134" s="2196"/>
      <c r="Z134" s="2196"/>
      <c r="AA134" s="2196"/>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93" t="s">
        <v>2579</v>
      </c>
      <c r="D135" s="2194"/>
      <c r="E135" s="2194"/>
      <c r="F135" s="2194"/>
      <c r="G135" s="2194"/>
      <c r="H135" s="2194"/>
      <c r="I135" s="2194"/>
      <c r="J135" s="2194"/>
      <c r="K135" s="2194"/>
      <c r="L135" s="2194"/>
      <c r="M135" s="2194"/>
      <c r="N135" s="2194"/>
      <c r="O135" s="2194"/>
      <c r="P135" s="2194"/>
      <c r="Q135" s="2141">
        <v>55</v>
      </c>
      <c r="R135" s="2141"/>
      <c r="S135" s="2141"/>
      <c r="T135" s="2178"/>
      <c r="U135" s="2178"/>
      <c r="V135" s="2178"/>
      <c r="W135" s="2178"/>
      <c r="X135" s="2178"/>
      <c r="Y135" s="2178"/>
      <c r="Z135" s="2178"/>
      <c r="AA135" s="2178"/>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93" t="s">
        <v>2512</v>
      </c>
      <c r="D136" s="2194"/>
      <c r="E136" s="2194"/>
      <c r="F136" s="2194"/>
      <c r="G136" s="2194"/>
      <c r="H136" s="2194"/>
      <c r="I136" s="2194"/>
      <c r="J136" s="2194"/>
      <c r="K136" s="2194"/>
      <c r="L136" s="2194"/>
      <c r="M136" s="2194"/>
      <c r="N136" s="2194"/>
      <c r="O136" s="2194"/>
      <c r="P136" s="2194"/>
      <c r="Q136" s="2141">
        <v>55</v>
      </c>
      <c r="R136" s="2141"/>
      <c r="S136" s="2141"/>
      <c r="T136" s="2178"/>
      <c r="U136" s="2178"/>
      <c r="V136" s="2178"/>
      <c r="W136" s="2178"/>
      <c r="X136" s="2178"/>
      <c r="Y136" s="2178"/>
      <c r="Z136" s="2178"/>
      <c r="AA136" s="2178"/>
      <c r="AB136" s="2197">
        <v>0</v>
      </c>
      <c r="AC136" s="2197"/>
      <c r="AD136" s="2197"/>
      <c r="AE136" s="2197"/>
      <c r="AF136" s="2197"/>
      <c r="AG136" s="219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93" t="s">
        <v>232</v>
      </c>
      <c r="D137" s="2194"/>
      <c r="E137" s="2194"/>
      <c r="F137" s="2195" t="s">
        <v>2580</v>
      </c>
      <c r="G137" s="2195"/>
      <c r="H137" s="2195"/>
      <c r="I137" s="2195"/>
      <c r="J137" s="2195"/>
      <c r="K137" s="2195"/>
      <c r="L137" s="2195"/>
      <c r="M137" s="2195"/>
      <c r="N137" s="2195"/>
      <c r="O137" s="2195"/>
      <c r="P137" s="2195"/>
      <c r="Q137" s="2141">
        <v>55</v>
      </c>
      <c r="R137" s="2141"/>
      <c r="S137" s="2141"/>
      <c r="T137" s="2196"/>
      <c r="U137" s="2196"/>
      <c r="V137" s="2196"/>
      <c r="W137" s="2196"/>
      <c r="X137" s="2196"/>
      <c r="Y137" s="2196"/>
      <c r="Z137" s="2196"/>
      <c r="AA137" s="2196"/>
      <c r="AB137" s="2197">
        <v>0</v>
      </c>
      <c r="AC137" s="2197"/>
      <c r="AD137" s="2197"/>
      <c r="AE137" s="2197"/>
      <c r="AF137" s="2197"/>
      <c r="AG137" s="219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93" t="s">
        <v>232</v>
      </c>
      <c r="D138" s="2194"/>
      <c r="E138" s="2194"/>
      <c r="F138" s="2195" t="s">
        <v>2580</v>
      </c>
      <c r="G138" s="2195"/>
      <c r="H138" s="2195"/>
      <c r="I138" s="2195"/>
      <c r="J138" s="2195"/>
      <c r="K138" s="2195"/>
      <c r="L138" s="2195"/>
      <c r="M138" s="2195"/>
      <c r="N138" s="2195"/>
      <c r="O138" s="2195"/>
      <c r="P138" s="2195"/>
      <c r="Q138" s="2141">
        <v>55</v>
      </c>
      <c r="R138" s="2141"/>
      <c r="S138" s="2141"/>
      <c r="T138" s="2196"/>
      <c r="U138" s="2196"/>
      <c r="V138" s="2196"/>
      <c r="W138" s="2196"/>
      <c r="X138" s="2196"/>
      <c r="Y138" s="2196"/>
      <c r="Z138" s="2196"/>
      <c r="AA138" s="2196"/>
      <c r="AB138" s="2197">
        <v>0</v>
      </c>
      <c r="AC138" s="2197"/>
      <c r="AD138" s="2197"/>
      <c r="AE138" s="2197"/>
      <c r="AF138" s="2197"/>
      <c r="AG138" s="2198"/>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99" t="s">
        <v>232</v>
      </c>
      <c r="D139" s="2200"/>
      <c r="E139" s="2200"/>
      <c r="F139" s="2201" t="s">
        <v>2580</v>
      </c>
      <c r="G139" s="2201"/>
      <c r="H139" s="2201"/>
      <c r="I139" s="2201"/>
      <c r="J139" s="2201"/>
      <c r="K139" s="2201"/>
      <c r="L139" s="2201"/>
      <c r="M139" s="2201"/>
      <c r="N139" s="2201"/>
      <c r="O139" s="2201"/>
      <c r="P139" s="2201"/>
      <c r="Q139" s="2202">
        <v>55</v>
      </c>
      <c r="R139" s="2202"/>
      <c r="S139" s="2202"/>
      <c r="T139" s="2203"/>
      <c r="U139" s="2203"/>
      <c r="V139" s="2203"/>
      <c r="W139" s="2203"/>
      <c r="X139" s="2203"/>
      <c r="Y139" s="2203"/>
      <c r="Z139" s="2203"/>
      <c r="AA139" s="2203"/>
      <c r="AB139" s="2204">
        <v>0</v>
      </c>
      <c r="AC139" s="2204"/>
      <c r="AD139" s="2204"/>
      <c r="AE139" s="2204"/>
      <c r="AF139" s="2204"/>
      <c r="AG139" s="2205"/>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74" t="s">
        <v>2581</v>
      </c>
      <c r="D141" s="2175"/>
      <c r="E141" s="2175"/>
      <c r="F141" s="2175"/>
      <c r="G141" s="2175"/>
      <c r="H141" s="2175"/>
      <c r="I141" s="2175"/>
      <c r="J141" s="2175"/>
      <c r="K141" s="2175"/>
      <c r="L141" s="2175"/>
      <c r="M141" s="2175"/>
      <c r="N141" s="2180"/>
      <c r="O141" s="1086"/>
      <c r="P141" s="2181" t="s">
        <v>2582</v>
      </c>
      <c r="Q141" s="2182"/>
      <c r="R141" s="2182"/>
      <c r="S141" s="2182"/>
      <c r="T141" s="2182"/>
      <c r="U141" s="2182"/>
      <c r="V141" s="2182"/>
      <c r="W141" s="2182"/>
      <c r="X141" s="2182"/>
      <c r="Y141" s="2182"/>
      <c r="Z141" s="2182"/>
      <c r="AA141" s="2182"/>
      <c r="AB141" s="2182"/>
      <c r="AC141" s="2182"/>
      <c r="AD141" s="2182"/>
      <c r="AE141" s="2182"/>
      <c r="AF141" s="2182"/>
      <c r="AG141" s="2182"/>
      <c r="AH141" s="2182"/>
      <c r="AI141" s="2182"/>
      <c r="AJ141" s="2182"/>
      <c r="AK141" s="2182"/>
      <c r="AL141" s="2182"/>
      <c r="AM141" s="2182"/>
      <c r="AN141" s="2182"/>
      <c r="AO141" s="218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84" t="s">
        <v>2583</v>
      </c>
      <c r="D142" s="2185"/>
      <c r="E142" s="2185"/>
      <c r="F142" s="2185"/>
      <c r="G142" s="2185"/>
      <c r="H142" s="2185"/>
      <c r="I142" s="2185" t="s">
        <v>2584</v>
      </c>
      <c r="J142" s="2185"/>
      <c r="K142" s="2185"/>
      <c r="L142" s="2185"/>
      <c r="M142" s="2185"/>
      <c r="N142" s="2186"/>
      <c r="O142" s="1086"/>
      <c r="P142" s="2187" t="s">
        <v>2539</v>
      </c>
      <c r="Q142" s="2188"/>
      <c r="R142" s="2188"/>
      <c r="S142" s="2188"/>
      <c r="T142" s="2188"/>
      <c r="U142" s="2188"/>
      <c r="V142" s="2188"/>
      <c r="W142" s="2188"/>
      <c r="X142" s="2188"/>
      <c r="Y142" s="2188"/>
      <c r="Z142" s="2188"/>
      <c r="AA142" s="2188"/>
      <c r="AB142" s="2188"/>
      <c r="AC142" s="2188"/>
      <c r="AD142" s="2188"/>
      <c r="AE142" s="2188"/>
      <c r="AF142" s="2188"/>
      <c r="AG142" s="2188"/>
      <c r="AH142" s="2188"/>
      <c r="AI142" s="2188"/>
      <c r="AJ142" s="2188"/>
      <c r="AK142" s="2188"/>
      <c r="AL142" s="2188"/>
      <c r="AM142" s="2188"/>
      <c r="AN142" s="2188"/>
      <c r="AO142" s="2189"/>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34"/>
      <c r="D143" s="2135"/>
      <c r="E143" s="2135"/>
      <c r="F143" s="2135"/>
      <c r="G143" s="2135"/>
      <c r="H143" s="2135"/>
      <c r="I143" s="2178"/>
      <c r="J143" s="2178"/>
      <c r="K143" s="2178"/>
      <c r="L143" s="2178"/>
      <c r="M143" s="2178"/>
      <c r="N143" s="2179"/>
      <c r="O143" s="1086"/>
      <c r="P143" s="2187"/>
      <c r="Q143" s="2188"/>
      <c r="R143" s="2188"/>
      <c r="S143" s="2188"/>
      <c r="T143" s="2188"/>
      <c r="U143" s="2188"/>
      <c r="V143" s="2188"/>
      <c r="W143" s="2188"/>
      <c r="X143" s="2188"/>
      <c r="Y143" s="2188"/>
      <c r="Z143" s="2188"/>
      <c r="AA143" s="2188"/>
      <c r="AB143" s="2188"/>
      <c r="AC143" s="2188"/>
      <c r="AD143" s="2188"/>
      <c r="AE143" s="2188"/>
      <c r="AF143" s="2188"/>
      <c r="AG143" s="2188"/>
      <c r="AH143" s="2188"/>
      <c r="AI143" s="2188"/>
      <c r="AJ143" s="2188"/>
      <c r="AK143" s="2188"/>
      <c r="AL143" s="2188"/>
      <c r="AM143" s="2188"/>
      <c r="AN143" s="2188"/>
      <c r="AO143" s="2189"/>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34"/>
      <c r="D144" s="2135"/>
      <c r="E144" s="2135"/>
      <c r="F144" s="2135"/>
      <c r="G144" s="2135"/>
      <c r="H144" s="2135"/>
      <c r="I144" s="2178"/>
      <c r="J144" s="2178"/>
      <c r="K144" s="2178"/>
      <c r="L144" s="2178"/>
      <c r="M144" s="2178"/>
      <c r="N144" s="2179"/>
      <c r="O144" s="1086"/>
      <c r="P144" s="2187"/>
      <c r="Q144" s="2188"/>
      <c r="R144" s="2188"/>
      <c r="S144" s="2188"/>
      <c r="T144" s="2188"/>
      <c r="U144" s="2188"/>
      <c r="V144" s="2188"/>
      <c r="W144" s="2188"/>
      <c r="X144" s="2188"/>
      <c r="Y144" s="2188"/>
      <c r="Z144" s="2188"/>
      <c r="AA144" s="2188"/>
      <c r="AB144" s="2188"/>
      <c r="AC144" s="2188"/>
      <c r="AD144" s="2188"/>
      <c r="AE144" s="2188"/>
      <c r="AF144" s="2188"/>
      <c r="AG144" s="2188"/>
      <c r="AH144" s="2188"/>
      <c r="AI144" s="2188"/>
      <c r="AJ144" s="2188"/>
      <c r="AK144" s="2188"/>
      <c r="AL144" s="2188"/>
      <c r="AM144" s="2188"/>
      <c r="AN144" s="2188"/>
      <c r="AO144" s="2189"/>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34"/>
      <c r="D145" s="2135"/>
      <c r="E145" s="2135"/>
      <c r="F145" s="2135"/>
      <c r="G145" s="2135"/>
      <c r="H145" s="2135"/>
      <c r="I145" s="2178"/>
      <c r="J145" s="2178"/>
      <c r="K145" s="2178"/>
      <c r="L145" s="2178"/>
      <c r="M145" s="2178"/>
      <c r="N145" s="2179"/>
      <c r="O145" s="1086"/>
      <c r="P145" s="2187"/>
      <c r="Q145" s="2188"/>
      <c r="R145" s="2188"/>
      <c r="S145" s="2188"/>
      <c r="T145" s="2188"/>
      <c r="U145" s="2188"/>
      <c r="V145" s="2188"/>
      <c r="W145" s="2188"/>
      <c r="X145" s="2188"/>
      <c r="Y145" s="2188"/>
      <c r="Z145" s="2188"/>
      <c r="AA145" s="2188"/>
      <c r="AB145" s="2188"/>
      <c r="AC145" s="2188"/>
      <c r="AD145" s="2188"/>
      <c r="AE145" s="2188"/>
      <c r="AF145" s="2188"/>
      <c r="AG145" s="2188"/>
      <c r="AH145" s="2188"/>
      <c r="AI145" s="2188"/>
      <c r="AJ145" s="2188"/>
      <c r="AK145" s="2188"/>
      <c r="AL145" s="2188"/>
      <c r="AM145" s="2188"/>
      <c r="AN145" s="2188"/>
      <c r="AO145" s="2189"/>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34"/>
      <c r="D146" s="2135"/>
      <c r="E146" s="2135"/>
      <c r="F146" s="2135"/>
      <c r="G146" s="2135"/>
      <c r="H146" s="2135"/>
      <c r="I146" s="2178"/>
      <c r="J146" s="2178"/>
      <c r="K146" s="2178"/>
      <c r="L146" s="2178"/>
      <c r="M146" s="2178"/>
      <c r="N146" s="2179"/>
      <c r="O146" s="1086"/>
      <c r="P146" s="2187"/>
      <c r="Q146" s="2188"/>
      <c r="R146" s="2188"/>
      <c r="S146" s="2188"/>
      <c r="T146" s="2188"/>
      <c r="U146" s="2188"/>
      <c r="V146" s="2188"/>
      <c r="W146" s="2188"/>
      <c r="X146" s="2188"/>
      <c r="Y146" s="2188"/>
      <c r="Z146" s="2188"/>
      <c r="AA146" s="2188"/>
      <c r="AB146" s="2188"/>
      <c r="AC146" s="2188"/>
      <c r="AD146" s="2188"/>
      <c r="AE146" s="2188"/>
      <c r="AF146" s="2188"/>
      <c r="AG146" s="2188"/>
      <c r="AH146" s="2188"/>
      <c r="AI146" s="2188"/>
      <c r="AJ146" s="2188"/>
      <c r="AK146" s="2188"/>
      <c r="AL146" s="2188"/>
      <c r="AM146" s="2188"/>
      <c r="AN146" s="2188"/>
      <c r="AO146" s="2189"/>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34"/>
      <c r="D147" s="2135"/>
      <c r="E147" s="2135"/>
      <c r="F147" s="2135"/>
      <c r="G147" s="2135"/>
      <c r="H147" s="2135"/>
      <c r="I147" s="2178"/>
      <c r="J147" s="2178"/>
      <c r="K147" s="2178"/>
      <c r="L147" s="2178"/>
      <c r="M147" s="2178"/>
      <c r="N147" s="2179"/>
      <c r="O147" s="1086"/>
      <c r="P147" s="2187"/>
      <c r="Q147" s="2188"/>
      <c r="R147" s="2188"/>
      <c r="S147" s="2188"/>
      <c r="T147" s="2188"/>
      <c r="U147" s="2188"/>
      <c r="V147" s="2188"/>
      <c r="W147" s="2188"/>
      <c r="X147" s="2188"/>
      <c r="Y147" s="2188"/>
      <c r="Z147" s="2188"/>
      <c r="AA147" s="2188"/>
      <c r="AB147" s="2188"/>
      <c r="AC147" s="2188"/>
      <c r="AD147" s="2188"/>
      <c r="AE147" s="2188"/>
      <c r="AF147" s="2188"/>
      <c r="AG147" s="2188"/>
      <c r="AH147" s="2188"/>
      <c r="AI147" s="2188"/>
      <c r="AJ147" s="2188"/>
      <c r="AK147" s="2188"/>
      <c r="AL147" s="2188"/>
      <c r="AM147" s="2188"/>
      <c r="AN147" s="2188"/>
      <c r="AO147" s="2189"/>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34"/>
      <c r="D148" s="2135"/>
      <c r="E148" s="2135"/>
      <c r="F148" s="2135"/>
      <c r="G148" s="2135"/>
      <c r="H148" s="2135"/>
      <c r="I148" s="2178"/>
      <c r="J148" s="2178"/>
      <c r="K148" s="2178"/>
      <c r="L148" s="2178"/>
      <c r="M148" s="2178"/>
      <c r="N148" s="2179"/>
      <c r="O148" s="1086"/>
      <c r="P148" s="2187"/>
      <c r="Q148" s="2188"/>
      <c r="R148" s="2188"/>
      <c r="S148" s="2188"/>
      <c r="T148" s="2188"/>
      <c r="U148" s="2188"/>
      <c r="V148" s="2188"/>
      <c r="W148" s="2188"/>
      <c r="X148" s="2188"/>
      <c r="Y148" s="2188"/>
      <c r="Z148" s="2188"/>
      <c r="AA148" s="2188"/>
      <c r="AB148" s="2188"/>
      <c r="AC148" s="2188"/>
      <c r="AD148" s="2188"/>
      <c r="AE148" s="2188"/>
      <c r="AF148" s="2188"/>
      <c r="AG148" s="2188"/>
      <c r="AH148" s="2188"/>
      <c r="AI148" s="2188"/>
      <c r="AJ148" s="2188"/>
      <c r="AK148" s="2188"/>
      <c r="AL148" s="2188"/>
      <c r="AM148" s="2188"/>
      <c r="AN148" s="2188"/>
      <c r="AO148" s="2189"/>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69"/>
      <c r="D149" s="2170"/>
      <c r="E149" s="2170"/>
      <c r="F149" s="2170"/>
      <c r="G149" s="2170"/>
      <c r="H149" s="2170"/>
      <c r="I149" s="2171"/>
      <c r="J149" s="2171"/>
      <c r="K149" s="2171"/>
      <c r="L149" s="2171"/>
      <c r="M149" s="2171"/>
      <c r="N149" s="2172"/>
      <c r="O149" s="1086"/>
      <c r="P149" s="2190"/>
      <c r="Q149" s="2191"/>
      <c r="R149" s="2191"/>
      <c r="S149" s="2191"/>
      <c r="T149" s="2191"/>
      <c r="U149" s="2191"/>
      <c r="V149" s="2191"/>
      <c r="W149" s="2191"/>
      <c r="X149" s="2191"/>
      <c r="Y149" s="2191"/>
      <c r="Z149" s="2191"/>
      <c r="AA149" s="2191"/>
      <c r="AB149" s="2191"/>
      <c r="AC149" s="2191"/>
      <c r="AD149" s="2191"/>
      <c r="AE149" s="2191"/>
      <c r="AF149" s="2191"/>
      <c r="AG149" s="2191"/>
      <c r="AH149" s="2191"/>
      <c r="AI149" s="2191"/>
      <c r="AJ149" s="2191"/>
      <c r="AK149" s="2191"/>
      <c r="AL149" s="2191"/>
      <c r="AM149" s="2191"/>
      <c r="AN149" s="2191"/>
      <c r="AO149" s="2192"/>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73" t="s">
        <v>2585</v>
      </c>
      <c r="D151" s="2173"/>
      <c r="E151" s="2173"/>
      <c r="F151" s="2173"/>
      <c r="G151" s="2173"/>
      <c r="H151" s="2173"/>
      <c r="I151" s="2173"/>
      <c r="J151" s="2173"/>
      <c r="K151" s="2173"/>
      <c r="L151" s="2173"/>
      <c r="M151" s="2173"/>
      <c r="N151" s="2173"/>
      <c r="O151" s="2173"/>
      <c r="P151" s="2173"/>
      <c r="Q151" s="2173"/>
      <c r="R151" s="2173"/>
      <c r="S151" s="2173"/>
      <c r="T151" s="2173"/>
      <c r="U151" s="2173"/>
      <c r="V151" s="2173"/>
      <c r="W151" s="2173"/>
      <c r="X151" s="2173"/>
      <c r="Y151" s="2173"/>
      <c r="Z151" s="2173"/>
      <c r="AA151" s="2173"/>
      <c r="AB151" s="2173"/>
      <c r="AC151" s="2173"/>
      <c r="AD151" s="2173"/>
      <c r="AE151" s="2173"/>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73"/>
      <c r="D152" s="2173"/>
      <c r="E152" s="2173"/>
      <c r="F152" s="2173"/>
      <c r="G152" s="2173"/>
      <c r="H152" s="2173"/>
      <c r="I152" s="2173"/>
      <c r="J152" s="2173"/>
      <c r="K152" s="2173"/>
      <c r="L152" s="2173"/>
      <c r="M152" s="2173"/>
      <c r="N152" s="2173"/>
      <c r="O152" s="2173"/>
      <c r="P152" s="2173"/>
      <c r="Q152" s="2173"/>
      <c r="R152" s="2173"/>
      <c r="S152" s="2173"/>
      <c r="T152" s="2173"/>
      <c r="U152" s="2173"/>
      <c r="V152" s="2173"/>
      <c r="W152" s="2173"/>
      <c r="X152" s="2173"/>
      <c r="Y152" s="2173"/>
      <c r="Z152" s="2173"/>
      <c r="AA152" s="2173"/>
      <c r="AB152" s="2173"/>
      <c r="AC152" s="2173"/>
      <c r="AD152" s="2173"/>
      <c r="AE152" s="2173"/>
      <c r="AF152" s="1086"/>
      <c r="AG152" s="1086"/>
      <c r="AH152" s="1106" t="s">
        <v>1484</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74" t="s">
        <v>2573</v>
      </c>
      <c r="D153" s="2175"/>
      <c r="E153" s="2175"/>
      <c r="F153" s="2175"/>
      <c r="G153" s="2175"/>
      <c r="H153" s="2175"/>
      <c r="I153" s="2175"/>
      <c r="J153" s="2175"/>
      <c r="K153" s="2175"/>
      <c r="L153" s="2175"/>
      <c r="M153" s="2175"/>
      <c r="N153" s="2175" t="s">
        <v>2586</v>
      </c>
      <c r="O153" s="2175"/>
      <c r="P153" s="2175"/>
      <c r="Q153" s="2175"/>
      <c r="R153" s="2175"/>
      <c r="S153" s="2175"/>
      <c r="T153" s="2175"/>
      <c r="U153" s="2176" t="s">
        <v>2573</v>
      </c>
      <c r="V153" s="2176"/>
      <c r="W153" s="2176"/>
      <c r="X153" s="2176"/>
      <c r="Y153" s="2176"/>
      <c r="Z153" s="2176"/>
      <c r="AA153" s="2176"/>
      <c r="AB153" s="2176"/>
      <c r="AC153" s="2176"/>
      <c r="AD153" s="2176"/>
      <c r="AE153" s="2177"/>
      <c r="AF153" s="1086"/>
      <c r="AG153" s="1086"/>
      <c r="AH153" s="1112" t="s">
        <v>2587</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46" t="s">
        <v>2588</v>
      </c>
      <c r="D154" s="2147"/>
      <c r="E154" s="2147"/>
      <c r="F154" s="2147"/>
      <c r="G154" s="2147"/>
      <c r="H154" s="2147"/>
      <c r="I154" s="2147"/>
      <c r="J154" s="2147"/>
      <c r="K154" s="2147"/>
      <c r="L154" s="2147"/>
      <c r="M154" s="2147"/>
      <c r="N154" s="2163">
        <f>'Sources and Uses Budget'!B105</f>
        <v>92645172</v>
      </c>
      <c r="O154" s="2163"/>
      <c r="P154" s="2163"/>
      <c r="Q154" s="2163"/>
      <c r="R154" s="2163"/>
      <c r="S154" s="2163"/>
      <c r="T154" s="2163"/>
      <c r="U154" s="2164"/>
      <c r="V154" s="2164"/>
      <c r="W154" s="2164"/>
      <c r="X154" s="2164"/>
      <c r="Y154" s="2164"/>
      <c r="Z154" s="2164"/>
      <c r="AA154" s="2164"/>
      <c r="AB154" s="2164"/>
      <c r="AC154" s="2164"/>
      <c r="AD154" s="2164"/>
      <c r="AE154" s="2165"/>
      <c r="AF154" s="1086"/>
      <c r="AG154" s="1086"/>
      <c r="AH154" s="1112" t="s">
        <v>2589</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46" t="s">
        <v>2590</v>
      </c>
      <c r="D155" s="2147"/>
      <c r="E155" s="2147"/>
      <c r="F155" s="2147"/>
      <c r="G155" s="2147"/>
      <c r="H155" s="2147"/>
      <c r="I155" s="2147"/>
      <c r="J155" s="2147"/>
      <c r="K155" s="2147"/>
      <c r="L155" s="2147"/>
      <c r="M155" s="2147"/>
      <c r="N155" s="2163">
        <f>N154/J29</f>
        <v>1089943.2</v>
      </c>
      <c r="O155" s="2163"/>
      <c r="P155" s="2163"/>
      <c r="Q155" s="2163"/>
      <c r="R155" s="2163"/>
      <c r="S155" s="2163"/>
      <c r="T155" s="2163"/>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66" t="s">
        <v>2591</v>
      </c>
      <c r="D156" s="2167"/>
      <c r="E156" s="2167"/>
      <c r="F156" s="2167"/>
      <c r="G156" s="2167"/>
      <c r="H156" s="2167"/>
      <c r="I156" s="2167"/>
      <c r="J156" s="2167"/>
      <c r="K156" s="2167"/>
      <c r="L156" s="2167"/>
      <c r="M156" s="2167"/>
      <c r="N156" s="2168">
        <v>0</v>
      </c>
      <c r="O156" s="2168"/>
      <c r="P156" s="2168"/>
      <c r="Q156" s="2168"/>
      <c r="R156" s="2168"/>
      <c r="S156" s="2168"/>
      <c r="T156" s="2168"/>
      <c r="U156" s="2138"/>
      <c r="V156" s="2138"/>
      <c r="W156" s="2138"/>
      <c r="X156" s="2138"/>
      <c r="Y156" s="2138"/>
      <c r="Z156" s="2138"/>
      <c r="AA156" s="2138"/>
      <c r="AB156" s="2138"/>
      <c r="AC156" s="2138"/>
      <c r="AD156" s="2138"/>
      <c r="AE156" s="2139"/>
      <c r="AF156" s="1086"/>
      <c r="AG156" s="1086"/>
      <c r="AH156" s="2148" t="s">
        <v>2592</v>
      </c>
      <c r="AI156" s="2149"/>
      <c r="AJ156" s="2149"/>
      <c r="AK156" s="2149"/>
      <c r="AL156" s="2149"/>
      <c r="AM156" s="2149"/>
      <c r="AN156" s="2149"/>
      <c r="AO156" s="2149"/>
      <c r="AP156" s="2149"/>
      <c r="AQ156" s="2149"/>
      <c r="AR156" s="2149"/>
      <c r="AS156" s="2150">
        <f>SUM(AS152:AW154)</f>
        <v>0</v>
      </c>
      <c r="AT156" s="2150"/>
      <c r="AU156" s="2150"/>
      <c r="AV156" s="2150"/>
      <c r="AW156" s="2151"/>
      <c r="AX156" s="1086"/>
      <c r="AY156" s="1086"/>
      <c r="AZ156" s="1086"/>
      <c r="BA156" s="1086"/>
      <c r="BB156" s="1086"/>
      <c r="BC156" s="1086"/>
      <c r="BD156" s="1086"/>
      <c r="BE156" s="1092"/>
    </row>
    <row r="157" spans="1:57" ht="15.75" customHeight="1" thickBot="1">
      <c r="A157" s="1086"/>
      <c r="B157" s="1086"/>
      <c r="C157" s="2146" t="s">
        <v>2593</v>
      </c>
      <c r="D157" s="2147"/>
      <c r="E157" s="2147"/>
      <c r="F157" s="2147"/>
      <c r="G157" s="2147"/>
      <c r="H157" s="2147"/>
      <c r="I157" s="2147"/>
      <c r="J157" s="2147"/>
      <c r="K157" s="2147"/>
      <c r="L157" s="2147"/>
      <c r="M157" s="2147"/>
      <c r="N157" s="2152">
        <f>SUM('Sources and Uses Budget'!B85:B86)</f>
        <v>1693253</v>
      </c>
      <c r="O157" s="2152"/>
      <c r="P157" s="2152"/>
      <c r="Q157" s="2152"/>
      <c r="R157" s="2152"/>
      <c r="S157" s="2152"/>
      <c r="T157" s="2152"/>
      <c r="U157" s="2138"/>
      <c r="V157" s="2138"/>
      <c r="W157" s="2138"/>
      <c r="X157" s="2138"/>
      <c r="Y157" s="2138"/>
      <c r="Z157" s="2138"/>
      <c r="AA157" s="2138"/>
      <c r="AB157" s="2138"/>
      <c r="AC157" s="2138"/>
      <c r="AD157" s="2138"/>
      <c r="AE157" s="2139"/>
      <c r="AF157" s="1086"/>
      <c r="AG157" s="1086"/>
      <c r="AH157" s="1126" t="s">
        <v>2594</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46" t="s">
        <v>2595</v>
      </c>
      <c r="D158" s="2147"/>
      <c r="E158" s="2147"/>
      <c r="F158" s="2147"/>
      <c r="G158" s="2147"/>
      <c r="H158" s="2147"/>
      <c r="I158" s="2147"/>
      <c r="J158" s="2147"/>
      <c r="K158" s="2147"/>
      <c r="L158" s="2147"/>
      <c r="M158" s="2147"/>
      <c r="N158" s="2152">
        <f>'Sources and Uses Budget'!B8</f>
        <v>9768475</v>
      </c>
      <c r="O158" s="2152"/>
      <c r="P158" s="2152"/>
      <c r="Q158" s="2152"/>
      <c r="R158" s="2152"/>
      <c r="S158" s="2152"/>
      <c r="T158" s="2152"/>
      <c r="U158" s="2138"/>
      <c r="V158" s="2138"/>
      <c r="W158" s="2138"/>
      <c r="X158" s="2138"/>
      <c r="Y158" s="2138"/>
      <c r="Z158" s="2138"/>
      <c r="AA158" s="2138"/>
      <c r="AB158" s="2138"/>
      <c r="AC158" s="2138"/>
      <c r="AD158" s="2138"/>
      <c r="AE158" s="2139"/>
      <c r="AF158" s="1086"/>
      <c r="AG158" s="1086"/>
      <c r="AH158" s="2153" t="s">
        <v>2596</v>
      </c>
      <c r="AI158" s="2154"/>
      <c r="AJ158" s="2154"/>
      <c r="AK158" s="2154"/>
      <c r="AL158" s="2154"/>
      <c r="AM158" s="2154"/>
      <c r="AN158" s="2154"/>
      <c r="AO158" s="2154"/>
      <c r="AP158" s="2154"/>
      <c r="AQ158" s="2154"/>
      <c r="AR158" s="2155"/>
      <c r="AS158" s="2159" t="s">
        <v>2597</v>
      </c>
      <c r="AT158" s="2142"/>
      <c r="AU158" s="2142"/>
      <c r="AV158" s="2142"/>
      <c r="AW158" s="2142"/>
      <c r="AX158" s="2160"/>
      <c r="AY158" s="2142" t="s">
        <v>2598</v>
      </c>
      <c r="AZ158" s="2142"/>
      <c r="BA158" s="2142"/>
      <c r="BB158" s="2142"/>
      <c r="BC158" s="2142"/>
      <c r="BD158" s="2143"/>
      <c r="BE158" s="1092"/>
    </row>
    <row r="159" spans="1:57" ht="15.75" customHeight="1">
      <c r="A159" s="1086"/>
      <c r="B159" s="1086"/>
      <c r="C159" s="2146" t="s">
        <v>2599</v>
      </c>
      <c r="D159" s="2147"/>
      <c r="E159" s="2147"/>
      <c r="F159" s="2147"/>
      <c r="G159" s="2147"/>
      <c r="H159" s="2147"/>
      <c r="I159" s="2147"/>
      <c r="J159" s="2147"/>
      <c r="K159" s="2147"/>
      <c r="L159" s="2147"/>
      <c r="M159" s="2147"/>
      <c r="N159" s="2137">
        <v>0</v>
      </c>
      <c r="O159" s="2137"/>
      <c r="P159" s="2137"/>
      <c r="Q159" s="2137"/>
      <c r="R159" s="2137"/>
      <c r="S159" s="2137"/>
      <c r="T159" s="2137"/>
      <c r="U159" s="2138"/>
      <c r="V159" s="2138"/>
      <c r="W159" s="2138"/>
      <c r="X159" s="2138"/>
      <c r="Y159" s="2138"/>
      <c r="Z159" s="2138"/>
      <c r="AA159" s="2138"/>
      <c r="AB159" s="2138"/>
      <c r="AC159" s="2138"/>
      <c r="AD159" s="2138"/>
      <c r="AE159" s="2139"/>
      <c r="AF159" s="1086"/>
      <c r="AG159" s="1086"/>
      <c r="AH159" s="2156"/>
      <c r="AI159" s="2157"/>
      <c r="AJ159" s="2157"/>
      <c r="AK159" s="2157"/>
      <c r="AL159" s="2157"/>
      <c r="AM159" s="2157"/>
      <c r="AN159" s="2157"/>
      <c r="AO159" s="2157"/>
      <c r="AP159" s="2157"/>
      <c r="AQ159" s="2157"/>
      <c r="AR159" s="2158"/>
      <c r="AS159" s="2161"/>
      <c r="AT159" s="2144"/>
      <c r="AU159" s="2144"/>
      <c r="AV159" s="2144"/>
      <c r="AW159" s="2144"/>
      <c r="AX159" s="2162"/>
      <c r="AY159" s="2144"/>
      <c r="AZ159" s="2144"/>
      <c r="BA159" s="2144"/>
      <c r="BB159" s="2144"/>
      <c r="BC159" s="2144"/>
      <c r="BD159" s="2145"/>
      <c r="BE159" s="1092"/>
    </row>
    <row r="160" spans="1:57" ht="15.75" customHeight="1">
      <c r="A160" s="1086"/>
      <c r="B160" s="1086"/>
      <c r="C160" s="2146" t="s">
        <v>2600</v>
      </c>
      <c r="D160" s="2147"/>
      <c r="E160" s="2147"/>
      <c r="F160" s="2147"/>
      <c r="G160" s="2147"/>
      <c r="H160" s="2147"/>
      <c r="I160" s="2147"/>
      <c r="J160" s="2147"/>
      <c r="K160" s="2147"/>
      <c r="L160" s="2147"/>
      <c r="M160" s="2147"/>
      <c r="N160" s="2137">
        <v>0</v>
      </c>
      <c r="O160" s="2137"/>
      <c r="P160" s="2137"/>
      <c r="Q160" s="2137"/>
      <c r="R160" s="2137"/>
      <c r="S160" s="2137"/>
      <c r="T160" s="2137"/>
      <c r="U160" s="2138"/>
      <c r="V160" s="2138"/>
      <c r="W160" s="2138"/>
      <c r="X160" s="2138"/>
      <c r="Y160" s="2138"/>
      <c r="Z160" s="2138"/>
      <c r="AA160" s="2138"/>
      <c r="AB160" s="2138"/>
      <c r="AC160" s="2138"/>
      <c r="AD160" s="2138"/>
      <c r="AE160" s="2139"/>
      <c r="AF160" s="1086"/>
      <c r="AG160" s="1086"/>
      <c r="AH160" s="2113" t="s">
        <v>2601</v>
      </c>
      <c r="AI160" s="2114"/>
      <c r="AJ160" s="2114"/>
      <c r="AK160" s="2114"/>
      <c r="AL160" s="2114"/>
      <c r="AM160" s="2114"/>
      <c r="AN160" s="2114"/>
      <c r="AO160" s="2114"/>
      <c r="AP160" s="2114"/>
      <c r="AQ160" s="2114"/>
      <c r="AR160" s="2114"/>
      <c r="AS160" s="2115">
        <v>0</v>
      </c>
      <c r="AT160" s="2115"/>
      <c r="AU160" s="2115"/>
      <c r="AV160" s="2115"/>
      <c r="AW160" s="2115"/>
      <c r="AX160" s="2115"/>
      <c r="AY160" s="2115">
        <v>0</v>
      </c>
      <c r="AZ160" s="2115"/>
      <c r="BA160" s="2115"/>
      <c r="BB160" s="2115"/>
      <c r="BC160" s="2115"/>
      <c r="BD160" s="2116"/>
      <c r="BE160" s="1092"/>
    </row>
    <row r="161" spans="1:57" ht="15.75" customHeight="1">
      <c r="A161" s="1086"/>
      <c r="B161" s="1086"/>
      <c r="C161" s="2140" t="s">
        <v>1143</v>
      </c>
      <c r="D161" s="2141"/>
      <c r="E161" s="2136" t="s">
        <v>2580</v>
      </c>
      <c r="F161" s="2136"/>
      <c r="G161" s="2136"/>
      <c r="H161" s="2136"/>
      <c r="I161" s="2136"/>
      <c r="J161" s="2136"/>
      <c r="K161" s="2136"/>
      <c r="L161" s="2136"/>
      <c r="M161" s="2136"/>
      <c r="N161" s="2137">
        <v>0</v>
      </c>
      <c r="O161" s="2137"/>
      <c r="P161" s="2137"/>
      <c r="Q161" s="2137"/>
      <c r="R161" s="2137"/>
      <c r="S161" s="2137"/>
      <c r="T161" s="2137"/>
      <c r="U161" s="2138"/>
      <c r="V161" s="2138"/>
      <c r="W161" s="2138"/>
      <c r="X161" s="2138"/>
      <c r="Y161" s="2138"/>
      <c r="Z161" s="2138"/>
      <c r="AA161" s="2138"/>
      <c r="AB161" s="2138"/>
      <c r="AC161" s="2138"/>
      <c r="AD161" s="2138"/>
      <c r="AE161" s="2139"/>
      <c r="AF161" s="1086"/>
      <c r="AG161" s="1086"/>
      <c r="AH161" s="2113" t="s">
        <v>2602</v>
      </c>
      <c r="AI161" s="2114"/>
      <c r="AJ161" s="2114"/>
      <c r="AK161" s="2114"/>
      <c r="AL161" s="2114"/>
      <c r="AM161" s="2114"/>
      <c r="AN161" s="2114"/>
      <c r="AO161" s="2114"/>
      <c r="AP161" s="2114"/>
      <c r="AQ161" s="2114"/>
      <c r="AR161" s="2114"/>
      <c r="AS161" s="2115">
        <v>0</v>
      </c>
      <c r="AT161" s="2115"/>
      <c r="AU161" s="2115"/>
      <c r="AV161" s="2115"/>
      <c r="AW161" s="2115"/>
      <c r="AX161" s="2115"/>
      <c r="AY161" s="2115">
        <v>0</v>
      </c>
      <c r="AZ161" s="2115"/>
      <c r="BA161" s="2115"/>
      <c r="BB161" s="2115"/>
      <c r="BC161" s="2115"/>
      <c r="BD161" s="2116"/>
      <c r="BE161" s="1092"/>
    </row>
    <row r="162" spans="1:57" ht="15.75" customHeight="1">
      <c r="A162" s="1086"/>
      <c r="B162" s="1086"/>
      <c r="C162" s="2134" t="s">
        <v>1143</v>
      </c>
      <c r="D162" s="2135"/>
      <c r="E162" s="2136" t="s">
        <v>2580</v>
      </c>
      <c r="F162" s="2136"/>
      <c r="G162" s="2136"/>
      <c r="H162" s="2136"/>
      <c r="I162" s="2136"/>
      <c r="J162" s="2136"/>
      <c r="K162" s="2136"/>
      <c r="L162" s="2136"/>
      <c r="M162" s="2136"/>
      <c r="N162" s="2137">
        <v>0</v>
      </c>
      <c r="O162" s="2137"/>
      <c r="P162" s="2137"/>
      <c r="Q162" s="2137"/>
      <c r="R162" s="2137"/>
      <c r="S162" s="2137"/>
      <c r="T162" s="2137"/>
      <c r="U162" s="2138"/>
      <c r="V162" s="2138"/>
      <c r="W162" s="2138"/>
      <c r="X162" s="2138"/>
      <c r="Y162" s="2138"/>
      <c r="Z162" s="2138"/>
      <c r="AA162" s="2138"/>
      <c r="AB162" s="2138"/>
      <c r="AC162" s="2138"/>
      <c r="AD162" s="2138"/>
      <c r="AE162" s="2139"/>
      <c r="AF162" s="1086"/>
      <c r="AG162" s="1086"/>
      <c r="AH162" s="2113" t="s">
        <v>2603</v>
      </c>
      <c r="AI162" s="2114"/>
      <c r="AJ162" s="2114"/>
      <c r="AK162" s="2114"/>
      <c r="AL162" s="2114"/>
      <c r="AM162" s="2114"/>
      <c r="AN162" s="2114"/>
      <c r="AO162" s="2114"/>
      <c r="AP162" s="2114"/>
      <c r="AQ162" s="2114"/>
      <c r="AR162" s="2114"/>
      <c r="AS162" s="2115">
        <v>0</v>
      </c>
      <c r="AT162" s="2115"/>
      <c r="AU162" s="2115"/>
      <c r="AV162" s="2115"/>
      <c r="AW162" s="2115"/>
      <c r="AX162" s="2115"/>
      <c r="AY162" s="2115">
        <v>0</v>
      </c>
      <c r="AZ162" s="2115"/>
      <c r="BA162" s="2115"/>
      <c r="BB162" s="2115"/>
      <c r="BC162" s="2115"/>
      <c r="BD162" s="2116"/>
      <c r="BE162" s="1092"/>
    </row>
    <row r="163" spans="1:57" ht="15.75" customHeight="1" thickBot="1">
      <c r="A163" s="1086"/>
      <c r="B163" s="1086"/>
      <c r="C163" s="2125" t="s">
        <v>1143</v>
      </c>
      <c r="D163" s="2126"/>
      <c r="E163" s="2127" t="s">
        <v>2580</v>
      </c>
      <c r="F163" s="2127"/>
      <c r="G163" s="2127"/>
      <c r="H163" s="2127"/>
      <c r="I163" s="2127"/>
      <c r="J163" s="2127"/>
      <c r="K163" s="2127"/>
      <c r="L163" s="2127"/>
      <c r="M163" s="2128"/>
      <c r="N163" s="2129">
        <v>0</v>
      </c>
      <c r="O163" s="2129"/>
      <c r="P163" s="2129"/>
      <c r="Q163" s="2129"/>
      <c r="R163" s="2129"/>
      <c r="S163" s="2129"/>
      <c r="T163" s="2130"/>
      <c r="U163" s="2131"/>
      <c r="V163" s="2132"/>
      <c r="W163" s="2132"/>
      <c r="X163" s="2132"/>
      <c r="Y163" s="2132"/>
      <c r="Z163" s="2132"/>
      <c r="AA163" s="2132"/>
      <c r="AB163" s="2132"/>
      <c r="AC163" s="2132"/>
      <c r="AD163" s="2132"/>
      <c r="AE163" s="2133"/>
      <c r="AF163" s="1086"/>
      <c r="AG163" s="1086"/>
      <c r="AH163" s="2113" t="s">
        <v>2604</v>
      </c>
      <c r="AI163" s="2114"/>
      <c r="AJ163" s="2114"/>
      <c r="AK163" s="2114"/>
      <c r="AL163" s="2114"/>
      <c r="AM163" s="2114"/>
      <c r="AN163" s="2114"/>
      <c r="AO163" s="2114"/>
      <c r="AP163" s="2114"/>
      <c r="AQ163" s="2114"/>
      <c r="AR163" s="2114"/>
      <c r="AS163" s="2115">
        <v>0</v>
      </c>
      <c r="AT163" s="2115"/>
      <c r="AU163" s="2115"/>
      <c r="AV163" s="2115"/>
      <c r="AW163" s="2115"/>
      <c r="AX163" s="2115"/>
      <c r="AY163" s="2115">
        <v>0</v>
      </c>
      <c r="AZ163" s="2115"/>
      <c r="BA163" s="2115"/>
      <c r="BB163" s="2115"/>
      <c r="BC163" s="2115"/>
      <c r="BD163" s="2116"/>
      <c r="BE163" s="1092"/>
    </row>
    <row r="164" spans="1:57" ht="15.75" customHeight="1">
      <c r="A164" s="1086"/>
      <c r="B164" s="1086"/>
      <c r="C164" s="2121" t="s">
        <v>2605</v>
      </c>
      <c r="D164" s="2122"/>
      <c r="E164" s="2122"/>
      <c r="F164" s="2122"/>
      <c r="G164" s="2122"/>
      <c r="H164" s="2122"/>
      <c r="I164" s="2122"/>
      <c r="J164" s="2122"/>
      <c r="K164" s="2122"/>
      <c r="L164" s="2122"/>
      <c r="M164" s="2122"/>
      <c r="N164" s="2123">
        <f>SUM(N156:T163)</f>
        <v>11461728</v>
      </c>
      <c r="O164" s="2123"/>
      <c r="P164" s="2123"/>
      <c r="Q164" s="2123"/>
      <c r="R164" s="2123"/>
      <c r="S164" s="2123"/>
      <c r="T164" s="2124"/>
      <c r="U164" s="1086"/>
      <c r="V164" s="1086"/>
      <c r="W164" s="1086"/>
      <c r="X164" s="1086"/>
      <c r="Y164" s="1086"/>
      <c r="Z164" s="1086"/>
      <c r="AA164" s="1086"/>
      <c r="AB164" s="1086"/>
      <c r="AC164" s="1086"/>
      <c r="AD164" s="1086"/>
      <c r="AE164" s="1086"/>
      <c r="AF164" s="1086"/>
      <c r="AG164" s="1086"/>
      <c r="AH164" s="2113" t="s">
        <v>2606</v>
      </c>
      <c r="AI164" s="2114"/>
      <c r="AJ164" s="2114"/>
      <c r="AK164" s="2114"/>
      <c r="AL164" s="2114"/>
      <c r="AM164" s="2114"/>
      <c r="AN164" s="2114"/>
      <c r="AO164" s="2114"/>
      <c r="AP164" s="2114"/>
      <c r="AQ164" s="2114"/>
      <c r="AR164" s="2114"/>
      <c r="AS164" s="2115">
        <v>0</v>
      </c>
      <c r="AT164" s="2115"/>
      <c r="AU164" s="2115"/>
      <c r="AV164" s="2115"/>
      <c r="AW164" s="2115"/>
      <c r="AX164" s="2115"/>
      <c r="AY164" s="2115">
        <v>0</v>
      </c>
      <c r="AZ164" s="2115"/>
      <c r="BA164" s="2115"/>
      <c r="BB164" s="2115"/>
      <c r="BC164" s="2115"/>
      <c r="BD164" s="2116"/>
      <c r="BE164" s="1092"/>
    </row>
    <row r="165" spans="1:57" ht="15.75" customHeight="1" thickBot="1">
      <c r="A165" s="1086"/>
      <c r="B165" s="1086"/>
      <c r="C165" s="2108" t="s">
        <v>2607</v>
      </c>
      <c r="D165" s="2109"/>
      <c r="E165" s="2109"/>
      <c r="F165" s="2109"/>
      <c r="G165" s="2109"/>
      <c r="H165" s="2109"/>
      <c r="I165" s="2109"/>
      <c r="J165" s="2109"/>
      <c r="K165" s="2109"/>
      <c r="L165" s="2109"/>
      <c r="M165" s="2109"/>
      <c r="N165" s="2110">
        <f>(N154-N164)/J29</f>
        <v>955099.34117647063</v>
      </c>
      <c r="O165" s="2111"/>
      <c r="P165" s="2111"/>
      <c r="Q165" s="2111"/>
      <c r="R165" s="2111"/>
      <c r="S165" s="2111"/>
      <c r="T165" s="2112"/>
      <c r="U165" s="1093"/>
      <c r="V165" s="1086"/>
      <c r="W165" s="1086"/>
      <c r="X165" s="1086"/>
      <c r="Y165" s="1086"/>
      <c r="Z165" s="1086"/>
      <c r="AA165" s="1086"/>
      <c r="AB165" s="1086"/>
      <c r="AC165" s="1086"/>
      <c r="AD165" s="1086"/>
      <c r="AE165" s="1086"/>
      <c r="AF165" s="1086"/>
      <c r="AG165" s="1086"/>
      <c r="AH165" s="2113" t="s">
        <v>2608</v>
      </c>
      <c r="AI165" s="2114"/>
      <c r="AJ165" s="2114"/>
      <c r="AK165" s="2114"/>
      <c r="AL165" s="2114"/>
      <c r="AM165" s="2114"/>
      <c r="AN165" s="2114"/>
      <c r="AO165" s="2114"/>
      <c r="AP165" s="2114"/>
      <c r="AQ165" s="2114"/>
      <c r="AR165" s="2114"/>
      <c r="AS165" s="2115">
        <v>0</v>
      </c>
      <c r="AT165" s="2115"/>
      <c r="AU165" s="2115"/>
      <c r="AV165" s="2115"/>
      <c r="AW165" s="2115"/>
      <c r="AX165" s="2115"/>
      <c r="AY165" s="2115">
        <v>0</v>
      </c>
      <c r="AZ165" s="2115"/>
      <c r="BA165" s="2115"/>
      <c r="BB165" s="2115"/>
      <c r="BC165" s="2115"/>
      <c r="BD165" s="2116"/>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117" t="s">
        <v>1582</v>
      </c>
      <c r="AI166" s="2118"/>
      <c r="AJ166" s="2118"/>
      <c r="AK166" s="2118"/>
      <c r="AL166" s="2118"/>
      <c r="AM166" s="2118"/>
      <c r="AN166" s="2118"/>
      <c r="AO166" s="2118"/>
      <c r="AP166" s="2118"/>
      <c r="AQ166" s="2118"/>
      <c r="AR166" s="2118"/>
      <c r="AS166" s="2119">
        <f>SUM(AS160:AX165)</f>
        <v>0</v>
      </c>
      <c r="AT166" s="2119"/>
      <c r="AU166" s="2119"/>
      <c r="AV166" s="2119"/>
      <c r="AW166" s="2119"/>
      <c r="AX166" s="2119"/>
      <c r="AY166" s="2119">
        <f>SUM(AY160:BD165)</f>
        <v>0</v>
      </c>
      <c r="AZ166" s="2119"/>
      <c r="BA166" s="2119"/>
      <c r="BB166" s="2119"/>
      <c r="BC166" s="2119"/>
      <c r="BD166" s="2120"/>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95" t="s">
        <v>2609</v>
      </c>
      <c r="C168" s="2096"/>
      <c r="D168" s="2096"/>
      <c r="E168" s="2096"/>
      <c r="F168" s="2096"/>
      <c r="G168" s="2096"/>
      <c r="H168" s="2096"/>
      <c r="I168" s="2096"/>
      <c r="J168" s="2096"/>
      <c r="K168" s="2096"/>
      <c r="L168" s="2096"/>
      <c r="M168" s="2096"/>
      <c r="N168" s="2096"/>
      <c r="O168" s="2096"/>
      <c r="P168" s="2096"/>
      <c r="Q168" s="2096"/>
      <c r="R168" s="2096"/>
      <c r="S168" s="2096"/>
      <c r="T168" s="2096"/>
      <c r="U168" s="2096"/>
      <c r="V168" s="2096"/>
      <c r="W168" s="2096"/>
      <c r="X168" s="2096"/>
      <c r="Y168" s="2096"/>
      <c r="Z168" s="2096"/>
      <c r="AA168" s="2096"/>
      <c r="AB168" s="2096"/>
      <c r="AC168" s="2096"/>
      <c r="AD168" s="2096"/>
      <c r="AE168" s="2096"/>
      <c r="AF168" s="2096"/>
      <c r="AG168" s="2096"/>
      <c r="AH168" s="2096"/>
      <c r="AI168" s="2096"/>
      <c r="AJ168" s="2096"/>
      <c r="AK168" s="2096"/>
      <c r="AL168" s="2096"/>
      <c r="AM168" s="2096"/>
      <c r="AN168" s="2096"/>
      <c r="AO168" s="2096"/>
      <c r="AP168" s="2096"/>
      <c r="AQ168" s="2096"/>
      <c r="AR168" s="2096"/>
      <c r="AS168" s="2096"/>
      <c r="AT168" s="2096"/>
      <c r="AU168" s="2096"/>
      <c r="AV168" s="2096"/>
      <c r="AW168" s="2096"/>
      <c r="AX168" s="2096"/>
      <c r="AY168" s="2096"/>
      <c r="AZ168" s="2096"/>
      <c r="BA168" s="2096"/>
      <c r="BB168" s="2096"/>
      <c r="BC168" s="2096"/>
      <c r="BD168" s="2097"/>
      <c r="BE168" s="1092"/>
    </row>
    <row r="169" spans="1:57" ht="15.75" customHeight="1">
      <c r="A169" s="1086"/>
      <c r="B169" s="2098"/>
      <c r="C169" s="2099"/>
      <c r="D169" s="2099"/>
      <c r="E169" s="2099"/>
      <c r="F169" s="2099"/>
      <c r="G169" s="2099"/>
      <c r="H169" s="2099"/>
      <c r="I169" s="2099"/>
      <c r="J169" s="2099"/>
      <c r="K169" s="2099"/>
      <c r="L169" s="2099"/>
      <c r="M169" s="2099"/>
      <c r="N169" s="2099"/>
      <c r="O169" s="2099"/>
      <c r="P169" s="2099"/>
      <c r="Q169" s="2099"/>
      <c r="R169" s="2099"/>
      <c r="S169" s="2099"/>
      <c r="T169" s="2099"/>
      <c r="U169" s="2099"/>
      <c r="V169" s="2099"/>
      <c r="W169" s="2099"/>
      <c r="X169" s="2099"/>
      <c r="Y169" s="2099"/>
      <c r="Z169" s="2099"/>
      <c r="AA169" s="2099"/>
      <c r="AB169" s="2099"/>
      <c r="AC169" s="2099"/>
      <c r="AD169" s="2099"/>
      <c r="AE169" s="2099"/>
      <c r="AF169" s="2099"/>
      <c r="AG169" s="2099"/>
      <c r="AH169" s="2099"/>
      <c r="AI169" s="2099"/>
      <c r="AJ169" s="2099"/>
      <c r="AK169" s="2099"/>
      <c r="AL169" s="2099"/>
      <c r="AM169" s="2099"/>
      <c r="AN169" s="2099"/>
      <c r="AO169" s="2099"/>
      <c r="AP169" s="2099"/>
      <c r="AQ169" s="2099"/>
      <c r="AR169" s="2099"/>
      <c r="AS169" s="2099"/>
      <c r="AT169" s="2099"/>
      <c r="AU169" s="2099"/>
      <c r="AV169" s="2099"/>
      <c r="AW169" s="2099"/>
      <c r="AX169" s="2099"/>
      <c r="AY169" s="2099"/>
      <c r="AZ169" s="2099"/>
      <c r="BA169" s="2099"/>
      <c r="BB169" s="2099"/>
      <c r="BC169" s="2099"/>
      <c r="BD169" s="2100"/>
      <c r="BE169" s="1092"/>
    </row>
    <row r="170" spans="1:57" ht="15.75" customHeight="1">
      <c r="A170" s="1086"/>
      <c r="B170" s="2101" t="s">
        <v>2610</v>
      </c>
      <c r="C170" s="2102"/>
      <c r="D170" s="2102"/>
      <c r="E170" s="2102"/>
      <c r="F170" s="2102"/>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2102"/>
      <c r="AN170" s="2102"/>
      <c r="AO170" s="2102"/>
      <c r="AP170" s="2102"/>
      <c r="AQ170" s="2102"/>
      <c r="AR170" s="2102"/>
      <c r="AS170" s="2102"/>
      <c r="AT170" s="2102"/>
      <c r="AU170" s="2102"/>
      <c r="AV170" s="2102"/>
      <c r="AW170" s="2102"/>
      <c r="AX170" s="2102"/>
      <c r="AY170" s="2102"/>
      <c r="AZ170" s="2102"/>
      <c r="BA170" s="2102"/>
      <c r="BB170" s="2102"/>
      <c r="BC170" s="2102"/>
      <c r="BD170" s="2103"/>
      <c r="BE170" s="1092"/>
    </row>
    <row r="171" spans="1:57" ht="15.75" customHeight="1">
      <c r="A171" s="1086"/>
      <c r="B171" s="2101" t="s">
        <v>2611</v>
      </c>
      <c r="C171" s="2102"/>
      <c r="D171" s="2102"/>
      <c r="E171" s="2102"/>
      <c r="F171" s="2102"/>
      <c r="G171" s="2102"/>
      <c r="H171" s="2102"/>
      <c r="I171" s="2102"/>
      <c r="J171" s="2102"/>
      <c r="K171" s="2102"/>
      <c r="L171" s="2102"/>
      <c r="M171" s="2102"/>
      <c r="N171" s="2102"/>
      <c r="O171" s="2102"/>
      <c r="P171" s="2102"/>
      <c r="Q171" s="2102"/>
      <c r="R171" s="2102"/>
      <c r="S171" s="2102"/>
      <c r="T171" s="2102"/>
      <c r="U171" s="2102"/>
      <c r="V171" s="2102"/>
      <c r="W171" s="2102"/>
      <c r="X171" s="2102"/>
      <c r="Y171" s="2102"/>
      <c r="Z171" s="2102"/>
      <c r="AA171" s="2102"/>
      <c r="AB171" s="2102"/>
      <c r="AC171" s="2102"/>
      <c r="AD171" s="2102"/>
      <c r="AE171" s="2102"/>
      <c r="AF171" s="2102"/>
      <c r="AG171" s="2102"/>
      <c r="AH171" s="2102"/>
      <c r="AI171" s="2102"/>
      <c r="AJ171" s="2102"/>
      <c r="AK171" s="2102"/>
      <c r="AL171" s="2102"/>
      <c r="AM171" s="2102"/>
      <c r="AN171" s="2102"/>
      <c r="AO171" s="2102"/>
      <c r="AP171" s="2102"/>
      <c r="AQ171" s="2102"/>
      <c r="AR171" s="2102"/>
      <c r="AS171" s="2102"/>
      <c r="AT171" s="2102"/>
      <c r="AU171" s="2102"/>
      <c r="AV171" s="2102"/>
      <c r="AW171" s="2102"/>
      <c r="AX171" s="2102"/>
      <c r="AY171" s="2102"/>
      <c r="AZ171" s="2102"/>
      <c r="BA171" s="2102"/>
      <c r="BB171" s="2102"/>
      <c r="BC171" s="2102"/>
      <c r="BD171" s="210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104" t="s">
        <v>2612</v>
      </c>
      <c r="C173" s="2105"/>
      <c r="D173" s="2105"/>
      <c r="E173" s="2105"/>
      <c r="F173" s="2105"/>
      <c r="G173" s="2105"/>
      <c r="H173" s="2105"/>
      <c r="I173" s="2105"/>
      <c r="J173" s="2105"/>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J173" s="2105"/>
      <c r="AK173" s="2105"/>
      <c r="AL173" s="2105"/>
      <c r="AM173" s="2105"/>
      <c r="AN173" s="2105"/>
      <c r="AO173" s="2105"/>
      <c r="AP173" s="2105"/>
      <c r="AQ173" s="2105"/>
      <c r="AR173" s="2105"/>
      <c r="AS173" s="2105"/>
      <c r="AT173" s="2105"/>
      <c r="AU173" s="2105"/>
      <c r="AV173" s="2105"/>
      <c r="AW173" s="2105"/>
      <c r="AX173" s="2105"/>
      <c r="AY173" s="2105"/>
      <c r="AZ173" s="2105"/>
      <c r="BA173" s="2105"/>
      <c r="BB173" s="2105"/>
      <c r="BC173" s="2105"/>
      <c r="BD173" s="210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2613</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107" t="s">
        <v>2614</v>
      </c>
      <c r="I177" s="2107"/>
      <c r="J177" s="2107"/>
      <c r="K177" s="2107"/>
      <c r="L177" s="2107"/>
      <c r="M177" s="2107"/>
      <c r="N177" s="2107"/>
      <c r="O177" s="2107"/>
      <c r="P177" s="2107"/>
      <c r="Q177" s="2107"/>
      <c r="R177" s="2107"/>
      <c r="S177" s="2107"/>
      <c r="T177" s="2107"/>
      <c r="U177" s="2107"/>
      <c r="V177" s="2107"/>
      <c r="W177" s="2107"/>
      <c r="X177" s="2107"/>
      <c r="Y177" s="2107"/>
      <c r="Z177" s="2107"/>
      <c r="AA177" s="2107"/>
      <c r="AB177" s="2107"/>
      <c r="AC177" s="2107"/>
      <c r="AD177" s="2107"/>
      <c r="AE177" s="2107"/>
      <c r="AF177" s="2107"/>
      <c r="AG177" s="2107"/>
      <c r="AH177" s="2107"/>
      <c r="AI177" s="2107"/>
      <c r="AJ177" s="2107"/>
      <c r="AK177" s="2107"/>
      <c r="AL177" s="2107"/>
      <c r="AM177" s="2107"/>
      <c r="AN177" s="2107"/>
      <c r="AO177" s="2107"/>
      <c r="AP177" s="2107"/>
      <c r="AQ177" s="2107"/>
      <c r="AR177" s="2107"/>
      <c r="AS177" s="2107"/>
      <c r="AT177" s="2107"/>
      <c r="AU177" s="2107"/>
      <c r="AV177" s="2107"/>
      <c r="AW177" s="2107"/>
      <c r="AX177" s="2107"/>
      <c r="AY177" s="210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92" t="s">
        <v>2615</v>
      </c>
      <c r="I179" s="2092"/>
      <c r="J179" s="2092"/>
      <c r="K179" s="2092"/>
      <c r="L179" s="2092"/>
      <c r="M179" s="2092"/>
      <c r="N179" s="2092"/>
      <c r="O179" s="2092"/>
      <c r="P179" s="2092"/>
      <c r="Q179" s="2092"/>
      <c r="R179" s="2092"/>
      <c r="S179" s="2092"/>
      <c r="T179" s="2092"/>
      <c r="U179" s="2092"/>
      <c r="V179" s="2092"/>
      <c r="W179" s="2092"/>
      <c r="X179" s="2092"/>
      <c r="Y179" s="2092"/>
      <c r="Z179" s="2092"/>
      <c r="AA179" s="2092"/>
      <c r="AB179" s="2092"/>
      <c r="AC179" s="2092"/>
      <c r="AD179" s="2092"/>
      <c r="AE179" s="2092"/>
      <c r="AF179" s="2092"/>
      <c r="AG179" s="2092"/>
      <c r="AH179" s="2092"/>
      <c r="AI179" s="2092"/>
      <c r="AJ179" s="2092"/>
      <c r="AK179" s="2092"/>
      <c r="AL179" s="2092"/>
      <c r="AM179" s="2092"/>
      <c r="AN179" s="2092"/>
      <c r="AO179" s="2092"/>
      <c r="AP179" s="2092"/>
      <c r="AQ179" s="2092"/>
      <c r="AR179" s="2092"/>
      <c r="AS179" s="2092"/>
      <c r="AT179" s="2092"/>
      <c r="AU179" s="2092"/>
      <c r="AV179" s="2092"/>
      <c r="AW179" s="2092"/>
      <c r="AX179" s="2092"/>
      <c r="AY179" s="2092"/>
      <c r="AZ179" s="2092"/>
      <c r="BA179" s="1086"/>
      <c r="BB179" s="1086"/>
      <c r="BC179" s="1086"/>
      <c r="BD179" s="1092"/>
      <c r="BE179" s="1092"/>
    </row>
    <row r="180" spans="1:57" ht="15.75" customHeight="1">
      <c r="A180" s="1086"/>
      <c r="B180" s="1085"/>
      <c r="C180" s="1086"/>
      <c r="D180" s="1086"/>
      <c r="E180" s="1086"/>
      <c r="F180" s="1086"/>
      <c r="G180" s="1086"/>
      <c r="H180" s="2092"/>
      <c r="I180" s="2092"/>
      <c r="J180" s="2092"/>
      <c r="K180" s="2092"/>
      <c r="L180" s="2092"/>
      <c r="M180" s="2092"/>
      <c r="N180" s="2092"/>
      <c r="O180" s="2092"/>
      <c r="P180" s="2092"/>
      <c r="Q180" s="2092"/>
      <c r="R180" s="2092"/>
      <c r="S180" s="2092"/>
      <c r="T180" s="2092"/>
      <c r="U180" s="2092"/>
      <c r="V180" s="2092"/>
      <c r="W180" s="2092"/>
      <c r="X180" s="2092"/>
      <c r="Y180" s="2092"/>
      <c r="Z180" s="2092"/>
      <c r="AA180" s="2092"/>
      <c r="AB180" s="2092"/>
      <c r="AC180" s="2092"/>
      <c r="AD180" s="2092"/>
      <c r="AE180" s="2092"/>
      <c r="AF180" s="2092"/>
      <c r="AG180" s="2092"/>
      <c r="AH180" s="2092"/>
      <c r="AI180" s="2092"/>
      <c r="AJ180" s="2092"/>
      <c r="AK180" s="2092"/>
      <c r="AL180" s="2092"/>
      <c r="AM180" s="2092"/>
      <c r="AN180" s="2092"/>
      <c r="AO180" s="2092"/>
      <c r="AP180" s="2092"/>
      <c r="AQ180" s="2092"/>
      <c r="AR180" s="2092"/>
      <c r="AS180" s="2092"/>
      <c r="AT180" s="2092"/>
      <c r="AU180" s="2092"/>
      <c r="AV180" s="2092"/>
      <c r="AW180" s="2092"/>
      <c r="AX180" s="2092"/>
      <c r="AY180" s="2092"/>
      <c r="AZ180" s="2092"/>
      <c r="BA180" s="1086"/>
      <c r="BB180" s="1086"/>
      <c r="BC180" s="1086"/>
      <c r="BD180" s="1092"/>
      <c r="BE180" s="1092"/>
    </row>
    <row r="181" spans="1:57" ht="15.75" customHeight="1">
      <c r="A181" s="1086"/>
      <c r="B181" s="1085"/>
      <c r="C181" s="1086"/>
      <c r="D181" s="1086"/>
      <c r="E181" s="1086"/>
      <c r="F181" s="1086"/>
      <c r="G181" s="1086"/>
      <c r="H181" s="2092"/>
      <c r="I181" s="2092"/>
      <c r="J181" s="2092"/>
      <c r="K181" s="2092"/>
      <c r="L181" s="2092"/>
      <c r="M181" s="2092"/>
      <c r="N181" s="2092"/>
      <c r="O181" s="2092"/>
      <c r="P181" s="2092"/>
      <c r="Q181" s="2092"/>
      <c r="R181" s="2092"/>
      <c r="S181" s="2092"/>
      <c r="T181" s="2092"/>
      <c r="U181" s="2092"/>
      <c r="V181" s="2092"/>
      <c r="W181" s="2092"/>
      <c r="X181" s="2092"/>
      <c r="Y181" s="2092"/>
      <c r="Z181" s="2092"/>
      <c r="AA181" s="2092"/>
      <c r="AB181" s="2092"/>
      <c r="AC181" s="2092"/>
      <c r="AD181" s="2092"/>
      <c r="AE181" s="2092"/>
      <c r="AF181" s="2092"/>
      <c r="AG181" s="2092"/>
      <c r="AH181" s="2092"/>
      <c r="AI181" s="2092"/>
      <c r="AJ181" s="2092"/>
      <c r="AK181" s="2092"/>
      <c r="AL181" s="2092"/>
      <c r="AM181" s="2092"/>
      <c r="AN181" s="2092"/>
      <c r="AO181" s="2092"/>
      <c r="AP181" s="2092"/>
      <c r="AQ181" s="2092"/>
      <c r="AR181" s="2092"/>
      <c r="AS181" s="2092"/>
      <c r="AT181" s="2092"/>
      <c r="AU181" s="2092"/>
      <c r="AV181" s="2092"/>
      <c r="AW181" s="2092"/>
      <c r="AX181" s="2092"/>
      <c r="AY181" s="2092"/>
      <c r="AZ181" s="2092"/>
      <c r="BA181" s="1086"/>
      <c r="BB181" s="1086"/>
      <c r="BC181" s="1086"/>
      <c r="BD181" s="1092"/>
      <c r="BE181" s="1092"/>
    </row>
    <row r="182" spans="1:57" ht="15.75" customHeight="1">
      <c r="A182" s="1086"/>
      <c r="B182" s="1085"/>
      <c r="C182" s="1086"/>
      <c r="D182" s="1086"/>
      <c r="E182" s="1086"/>
      <c r="F182" s="1086"/>
      <c r="G182" s="1086"/>
      <c r="H182" s="2092"/>
      <c r="I182" s="2092"/>
      <c r="J182" s="2092"/>
      <c r="K182" s="2092"/>
      <c r="L182" s="2092"/>
      <c r="M182" s="2092"/>
      <c r="N182" s="2092"/>
      <c r="O182" s="2092"/>
      <c r="P182" s="2092"/>
      <c r="Q182" s="2092"/>
      <c r="R182" s="2092"/>
      <c r="S182" s="2092"/>
      <c r="T182" s="2092"/>
      <c r="U182" s="2092"/>
      <c r="V182" s="2092"/>
      <c r="W182" s="2092"/>
      <c r="X182" s="2092"/>
      <c r="Y182" s="2092"/>
      <c r="Z182" s="2092"/>
      <c r="AA182" s="2092"/>
      <c r="AB182" s="2092"/>
      <c r="AC182" s="2092"/>
      <c r="AD182" s="2092"/>
      <c r="AE182" s="2092"/>
      <c r="AF182" s="2092"/>
      <c r="AG182" s="2092"/>
      <c r="AH182" s="2092"/>
      <c r="AI182" s="2092"/>
      <c r="AJ182" s="2092"/>
      <c r="AK182" s="2092"/>
      <c r="AL182" s="2092"/>
      <c r="AM182" s="2092"/>
      <c r="AN182" s="2092"/>
      <c r="AO182" s="2092"/>
      <c r="AP182" s="2092"/>
      <c r="AQ182" s="2092"/>
      <c r="AR182" s="2092"/>
      <c r="AS182" s="2092"/>
      <c r="AT182" s="2092"/>
      <c r="AU182" s="2092"/>
      <c r="AV182" s="2092"/>
      <c r="AW182" s="2092"/>
      <c r="AX182" s="2092"/>
      <c r="AY182" s="2092"/>
      <c r="AZ182" s="2092"/>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93" t="s">
        <v>2616</v>
      </c>
      <c r="I184" s="2093"/>
      <c r="J184" s="2093"/>
      <c r="K184" s="2093"/>
      <c r="L184" s="2093"/>
      <c r="M184" s="2093"/>
      <c r="N184" s="2093"/>
      <c r="O184" s="2093"/>
      <c r="P184" s="2093"/>
      <c r="Q184" s="2093"/>
      <c r="R184" s="2093"/>
      <c r="S184" s="2093"/>
      <c r="T184" s="2093"/>
      <c r="U184" s="2093"/>
      <c r="V184" s="2093"/>
      <c r="W184" s="2093"/>
      <c r="X184" s="2093"/>
      <c r="Y184" s="2093"/>
      <c r="Z184" s="2093"/>
      <c r="AA184" s="2093"/>
      <c r="AB184" s="2093"/>
      <c r="AC184" s="2093"/>
      <c r="AD184" s="2093"/>
      <c r="AE184" s="2093"/>
      <c r="AF184" s="2093"/>
      <c r="AG184" s="2093"/>
      <c r="AH184" s="2093"/>
      <c r="AI184" s="2093"/>
      <c r="AJ184" s="2093"/>
      <c r="AK184" s="2093"/>
      <c r="AL184" s="2093"/>
      <c r="AM184" s="2093"/>
      <c r="AN184" s="2093"/>
      <c r="AO184" s="2093"/>
      <c r="AP184" s="2093"/>
      <c r="AQ184" s="2093"/>
      <c r="AR184" s="2093"/>
      <c r="AS184" s="2093"/>
      <c r="AT184" s="2093"/>
      <c r="AU184" s="2093"/>
      <c r="AV184" s="2093"/>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83" t="s">
        <v>2617</v>
      </c>
      <c r="I186" s="2083"/>
      <c r="J186" s="2083"/>
      <c r="K186" s="2083"/>
      <c r="L186" s="1101"/>
      <c r="M186" s="1101"/>
      <c r="N186" s="1101"/>
      <c r="O186" s="1101"/>
      <c r="P186" s="1101"/>
      <c r="Q186" s="1101"/>
      <c r="R186" s="1101"/>
      <c r="S186" s="2094"/>
      <c r="T186" s="2090"/>
      <c r="U186" s="2090"/>
      <c r="V186" s="2090"/>
      <c r="W186" s="2090"/>
      <c r="X186" s="2090"/>
      <c r="Y186" s="2090"/>
      <c r="Z186" s="2090"/>
      <c r="AA186" s="2090"/>
      <c r="AB186" s="2090"/>
      <c r="AC186" s="2090"/>
      <c r="AD186" s="2090"/>
      <c r="AE186" s="2090"/>
      <c r="AF186" s="2090"/>
      <c r="AG186" s="2090"/>
      <c r="AH186" s="2090"/>
      <c r="AI186" s="2090"/>
      <c r="AJ186" s="2091"/>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83" t="s">
        <v>2618</v>
      </c>
      <c r="I188" s="2083"/>
      <c r="J188" s="2083"/>
      <c r="K188" s="1134"/>
      <c r="L188" s="1101"/>
      <c r="M188" s="1101"/>
      <c r="N188" s="1101"/>
      <c r="O188" s="1101"/>
      <c r="P188" s="1101"/>
      <c r="Q188" s="1101"/>
      <c r="R188" s="1101"/>
      <c r="S188" s="2084"/>
      <c r="T188" s="2085"/>
      <c r="U188" s="2085"/>
      <c r="V188" s="2085"/>
      <c r="W188" s="2085"/>
      <c r="X188" s="2085"/>
      <c r="Y188" s="2085"/>
      <c r="Z188" s="2085"/>
      <c r="AA188" s="2085"/>
      <c r="AB188" s="2085"/>
      <c r="AC188" s="2085"/>
      <c r="AD188" s="2085"/>
      <c r="AE188" s="2085"/>
      <c r="AF188" s="2085"/>
      <c r="AG188" s="2085"/>
      <c r="AH188" s="2085"/>
      <c r="AI188" s="2085"/>
      <c r="AJ188" s="2086"/>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83" t="s">
        <v>922</v>
      </c>
      <c r="I190" s="2083"/>
      <c r="J190" s="1134"/>
      <c r="K190" s="1134"/>
      <c r="L190" s="1101"/>
      <c r="M190" s="1101"/>
      <c r="N190" s="1101"/>
      <c r="O190" s="1101"/>
      <c r="P190" s="1101"/>
      <c r="Q190" s="1101"/>
      <c r="R190" s="1101"/>
      <c r="S190" s="2084"/>
      <c r="T190" s="2085"/>
      <c r="U190" s="2085"/>
      <c r="V190" s="2085"/>
      <c r="W190" s="2085"/>
      <c r="X190" s="2085"/>
      <c r="Y190" s="2085"/>
      <c r="Z190" s="2085"/>
      <c r="AA190" s="2085"/>
      <c r="AB190" s="2085"/>
      <c r="AC190" s="2085"/>
      <c r="AD190" s="2085"/>
      <c r="AE190" s="2085"/>
      <c r="AF190" s="2085"/>
      <c r="AG190" s="2085"/>
      <c r="AH190" s="2085"/>
      <c r="AI190" s="2085"/>
      <c r="AJ190" s="2086"/>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87" t="s">
        <v>2619</v>
      </c>
      <c r="I192" s="2087"/>
      <c r="J192" s="2087"/>
      <c r="K192" s="2087"/>
      <c r="L192" s="2087"/>
      <c r="M192" s="2087"/>
      <c r="N192" s="2087"/>
      <c r="O192" s="2087"/>
      <c r="P192" s="1101"/>
      <c r="Q192" s="1101"/>
      <c r="R192" s="1101"/>
      <c r="S192" s="2084"/>
      <c r="T192" s="2085"/>
      <c r="U192" s="2085"/>
      <c r="V192" s="2085"/>
      <c r="W192" s="2085"/>
      <c r="X192" s="2085"/>
      <c r="Y192" s="2085"/>
      <c r="Z192" s="2085"/>
      <c r="AA192" s="2085"/>
      <c r="AB192" s="2085"/>
      <c r="AC192" s="2085"/>
      <c r="AD192" s="2085"/>
      <c r="AE192" s="2085"/>
      <c r="AF192" s="2085"/>
      <c r="AG192" s="2085"/>
      <c r="AH192" s="2085"/>
      <c r="AI192" s="2085"/>
      <c r="AJ192" s="2086"/>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88" t="s">
        <v>2620</v>
      </c>
      <c r="I194" s="2088"/>
      <c r="J194" s="1101"/>
      <c r="K194" s="1101"/>
      <c r="L194" s="1101"/>
      <c r="M194" s="1101"/>
      <c r="N194" s="1101"/>
      <c r="O194" s="1101"/>
      <c r="P194" s="1101"/>
      <c r="Q194" s="1101"/>
      <c r="R194" s="1101"/>
      <c r="S194" s="2089"/>
      <c r="T194" s="2090"/>
      <c r="U194" s="2090"/>
      <c r="V194" s="2090"/>
      <c r="W194" s="2090"/>
      <c r="X194" s="2090"/>
      <c r="Y194" s="2090"/>
      <c r="Z194" s="2090"/>
      <c r="AA194" s="2090"/>
      <c r="AB194" s="2090"/>
      <c r="AC194" s="2090"/>
      <c r="AD194" s="2090"/>
      <c r="AE194" s="2090"/>
      <c r="AF194" s="2090"/>
      <c r="AG194" s="2090"/>
      <c r="AH194" s="2090"/>
      <c r="AI194" s="2090"/>
      <c r="AJ194" s="2091"/>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K109" sqref="AK109"/>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53" t="s">
        <v>2621</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c r="AH1" s="2453"/>
      <c r="AI1" s="2453"/>
      <c r="AJ1" s="2453"/>
      <c r="AK1" s="2453"/>
      <c r="AL1" s="2453"/>
      <c r="AM1" s="2453"/>
      <c r="AN1" s="2453"/>
    </row>
    <row r="2" spans="1:40" ht="12.95" customHeight="1" thickBot="1">
      <c r="A2" s="2454"/>
      <c r="B2" s="2454"/>
      <c r="C2" s="2454"/>
      <c r="D2" s="2454"/>
      <c r="E2" s="2454"/>
      <c r="F2" s="2454"/>
      <c r="G2" s="2454"/>
      <c r="H2" s="2454"/>
      <c r="I2" s="2454"/>
      <c r="J2" s="2454"/>
      <c r="K2" s="2454"/>
      <c r="L2" s="2454"/>
      <c r="M2" s="2454"/>
      <c r="N2" s="2454"/>
      <c r="O2" s="2454"/>
      <c r="P2" s="2454"/>
      <c r="Q2" s="2454"/>
      <c r="R2" s="2454"/>
      <c r="S2" s="2454"/>
      <c r="T2" s="2454"/>
      <c r="U2" s="2454"/>
      <c r="V2" s="2454"/>
      <c r="W2" s="2454"/>
      <c r="X2" s="2454"/>
      <c r="Y2" s="2454"/>
      <c r="Z2" s="2454"/>
      <c r="AA2" s="2454"/>
      <c r="AB2" s="2454"/>
      <c r="AC2" s="2454"/>
      <c r="AD2" s="2454"/>
      <c r="AE2" s="2454"/>
      <c r="AF2" s="2454"/>
      <c r="AG2" s="2454"/>
      <c r="AH2" s="2454"/>
      <c r="AI2" s="2454"/>
      <c r="AJ2" s="2454"/>
      <c r="AK2" s="2454"/>
      <c r="AL2" s="2454"/>
      <c r="AM2" s="2454"/>
      <c r="AN2" s="2454"/>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971</v>
      </c>
      <c r="C5" s="329" t="s">
        <v>269</v>
      </c>
      <c r="F5" s="329"/>
    </row>
    <row r="6" spans="1:40" ht="12.95" customHeight="1">
      <c r="A6" s="329"/>
      <c r="C6" s="327" t="s">
        <v>2622</v>
      </c>
    </row>
    <row r="7" spans="1:40" ht="12.95" customHeight="1">
      <c r="B7" s="330"/>
      <c r="C7" s="331"/>
      <c r="D7" s="331"/>
      <c r="E7" s="331"/>
      <c r="F7" s="331"/>
      <c r="G7" s="331"/>
      <c r="H7" s="331"/>
      <c r="I7" s="331"/>
      <c r="J7" s="331"/>
      <c r="K7" s="331"/>
      <c r="L7" s="331"/>
      <c r="M7" s="331"/>
      <c r="N7" s="331"/>
      <c r="O7" s="331"/>
      <c r="P7" s="331"/>
      <c r="Q7" s="331"/>
      <c r="R7" s="331"/>
      <c r="S7" s="331"/>
      <c r="T7" s="2433" t="str">
        <f xml:space="preserve"> IF(T25=100%,'Sources and Basis Breakdown'!G2,'Sources and Basis Breakdown'!F2)</f>
        <v>30% PVC for New Const/
Rehabilitation
DDA/QCT
Building(s)</v>
      </c>
      <c r="U7" s="2433"/>
      <c r="V7" s="2433"/>
      <c r="W7" s="2433"/>
      <c r="X7" s="2433"/>
      <c r="Y7" s="2433" t="str">
        <f>IF(T25=100%," ",'Sources and Basis Breakdown'!G2)</f>
        <v>30% PVC for New Const/
Rehabilitation
NON-DDA/
NON-QCT Building(s)</v>
      </c>
      <c r="Z7" s="2433"/>
      <c r="AA7" s="2433"/>
      <c r="AB7" s="2433"/>
      <c r="AC7" s="2433"/>
      <c r="AD7" s="2433" t="str">
        <f xml:space="preserve"> IF(T25=100%, 'Sources and Basis Breakdown'!J2,'Sources and Basis Breakdown'!I2)</f>
        <v>30% PVC for Acquisition
DDA/QCT Building(s)</v>
      </c>
      <c r="AE7" s="2433"/>
      <c r="AF7" s="2433"/>
      <c r="AG7" s="2433"/>
      <c r="AH7" s="2433"/>
      <c r="AI7" s="2433" t="str">
        <f>IF(T25=100%," ",'Sources and Basis Breakdown'!J2)</f>
        <v>30% PVC for Acquisition
NON-DDA/
NON-QCT Building(s)</v>
      </c>
      <c r="AJ7" s="2433"/>
      <c r="AK7" s="2433"/>
      <c r="AL7" s="2433"/>
      <c r="AM7" s="2433"/>
    </row>
    <row r="8" spans="1:40" ht="12.95" customHeight="1">
      <c r="B8" s="332"/>
      <c r="T8" s="2433"/>
      <c r="U8" s="2433"/>
      <c r="V8" s="2433"/>
      <c r="W8" s="2433"/>
      <c r="X8" s="2433"/>
      <c r="Y8" s="2433"/>
      <c r="Z8" s="2433"/>
      <c r="AA8" s="2433"/>
      <c r="AB8" s="2433"/>
      <c r="AC8" s="2433"/>
      <c r="AD8" s="2433"/>
      <c r="AE8" s="2433"/>
      <c r="AF8" s="2433"/>
      <c r="AG8" s="2433"/>
      <c r="AH8" s="2433"/>
      <c r="AI8" s="2433"/>
      <c r="AJ8" s="2433"/>
      <c r="AK8" s="2433"/>
      <c r="AL8" s="2433"/>
      <c r="AM8" s="2433"/>
    </row>
    <row r="9" spans="1:40" ht="12.95" customHeight="1">
      <c r="B9" s="332"/>
      <c r="T9" s="2433"/>
      <c r="U9" s="2433"/>
      <c r="V9" s="2433"/>
      <c r="W9" s="2433"/>
      <c r="X9" s="2433"/>
      <c r="Y9" s="2433"/>
      <c r="Z9" s="2433"/>
      <c r="AA9" s="2433"/>
      <c r="AB9" s="2433"/>
      <c r="AC9" s="2433"/>
      <c r="AD9" s="2433"/>
      <c r="AE9" s="2433"/>
      <c r="AF9" s="2433"/>
      <c r="AG9" s="2433"/>
      <c r="AH9" s="2433"/>
      <c r="AI9" s="2433"/>
      <c r="AJ9" s="2433"/>
      <c r="AK9" s="2433"/>
      <c r="AL9" s="2433"/>
      <c r="AM9" s="2433"/>
    </row>
    <row r="10" spans="1:40" ht="12.95" customHeight="1">
      <c r="B10" s="333"/>
      <c r="C10" s="334"/>
      <c r="D10" s="334"/>
      <c r="E10" s="334"/>
      <c r="F10" s="334"/>
      <c r="G10" s="334"/>
      <c r="H10" s="334"/>
      <c r="I10" s="334"/>
      <c r="J10" s="334"/>
      <c r="K10" s="334"/>
      <c r="L10" s="334"/>
      <c r="M10" s="334"/>
      <c r="N10" s="334"/>
      <c r="O10" s="334"/>
      <c r="P10" s="334"/>
      <c r="Q10" s="334"/>
      <c r="R10" s="334"/>
      <c r="S10" s="334"/>
      <c r="T10" s="2433"/>
      <c r="U10" s="2433"/>
      <c r="V10" s="2433"/>
      <c r="W10" s="2433"/>
      <c r="X10" s="2433"/>
      <c r="Y10" s="2433"/>
      <c r="Z10" s="2433"/>
      <c r="AA10" s="2433"/>
      <c r="AB10" s="2433"/>
      <c r="AC10" s="2433"/>
      <c r="AD10" s="2433"/>
      <c r="AE10" s="2433"/>
      <c r="AF10" s="2433"/>
      <c r="AG10" s="2433"/>
      <c r="AH10" s="2433"/>
      <c r="AI10" s="2433"/>
      <c r="AJ10" s="2433"/>
      <c r="AK10" s="2433"/>
      <c r="AL10" s="2433"/>
      <c r="AM10" s="2433"/>
    </row>
    <row r="11" spans="1:40" ht="12.95" customHeight="1">
      <c r="B11" s="2416" t="s">
        <v>1949</v>
      </c>
      <c r="C11" s="2417"/>
      <c r="D11" s="2417"/>
      <c r="E11" s="2417"/>
      <c r="F11" s="2417"/>
      <c r="G11" s="2417"/>
      <c r="H11" s="2417"/>
      <c r="I11" s="2417"/>
      <c r="J11" s="2417"/>
      <c r="K11" s="2417"/>
      <c r="L11" s="2417"/>
      <c r="M11" s="2417"/>
      <c r="N11" s="2417"/>
      <c r="O11" s="2417"/>
      <c r="P11" s="2417"/>
      <c r="Q11" s="2417"/>
      <c r="R11" s="2417"/>
      <c r="S11" s="2418"/>
      <c r="T11" s="2455">
        <f>IF('Sources and Basis Breakdown'!F107=0,'Sources and Basis Breakdown'!E107,'Sources and Basis Breakdown'!F107)</f>
        <v>75187764</v>
      </c>
      <c r="U11" s="2456"/>
      <c r="V11" s="2456"/>
      <c r="W11" s="2456"/>
      <c r="X11" s="2456"/>
      <c r="Y11" s="2455">
        <f>IF(Y7=" ",0,IF('Sources and Basis Breakdown'!G107+'Sources and Basis Breakdown'!F107='Sources and Basis Breakdown'!E107,'Sources and Basis Breakdown'!G107,0))</f>
        <v>0</v>
      </c>
      <c r="Z11" s="2456"/>
      <c r="AA11" s="2456"/>
      <c r="AB11" s="2456"/>
      <c r="AC11" s="2456"/>
      <c r="AD11" s="2456">
        <f>IF('Sources and Basis Breakdown'!I107=0,'Sources and Basis Breakdown'!H107,'Sources and Basis Breakdown'!I107)</f>
        <v>0</v>
      </c>
      <c r="AE11" s="2456"/>
      <c r="AF11" s="2456"/>
      <c r="AG11" s="2456"/>
      <c r="AH11" s="2456"/>
      <c r="AI11" s="2456">
        <f>IF(Y7=" ",0,IF('Sources and Basis Breakdown'!I107+'Sources and Basis Breakdown'!J107='Sources and Basis Breakdown'!H107,'Sources and Basis Breakdown'!J107,0))</f>
        <v>0</v>
      </c>
      <c r="AJ11" s="2456"/>
      <c r="AK11" s="2456"/>
      <c r="AL11" s="2456"/>
      <c r="AM11" s="2456"/>
    </row>
    <row r="12" spans="1:40" ht="12.95" customHeight="1">
      <c r="B12" s="2457" t="s">
        <v>2623</v>
      </c>
      <c r="C12" s="1234"/>
      <c r="D12" s="1234"/>
      <c r="E12" s="1234"/>
      <c r="F12" s="1234"/>
      <c r="G12" s="1234"/>
      <c r="H12" s="1234"/>
      <c r="I12" s="1234"/>
      <c r="J12" s="1234"/>
      <c r="K12" s="1234"/>
      <c r="L12" s="1234"/>
      <c r="M12" s="1234"/>
      <c r="N12" s="1234"/>
      <c r="O12" s="1234"/>
      <c r="P12" s="1234"/>
      <c r="Q12" s="1234"/>
      <c r="R12" s="1234"/>
      <c r="S12" s="2458"/>
      <c r="T12" s="2448"/>
      <c r="U12" s="2449"/>
      <c r="V12" s="2449"/>
      <c r="W12" s="2449"/>
      <c r="X12" s="2450"/>
      <c r="Y12" s="2448"/>
      <c r="Z12" s="2449"/>
      <c r="AA12" s="2449"/>
      <c r="AB12" s="2449"/>
      <c r="AC12" s="2450"/>
      <c r="AD12" s="2448"/>
      <c r="AE12" s="2449"/>
      <c r="AF12" s="2449"/>
      <c r="AG12" s="2449"/>
      <c r="AH12" s="2450"/>
      <c r="AI12" s="2448"/>
      <c r="AJ12" s="2449"/>
      <c r="AK12" s="2449"/>
      <c r="AL12" s="2449"/>
      <c r="AM12" s="2450"/>
    </row>
    <row r="13" spans="1:40" ht="12.95" customHeight="1">
      <c r="B13" s="361"/>
      <c r="C13" s="2459" t="s">
        <v>2624</v>
      </c>
      <c r="D13" s="2459"/>
      <c r="E13" s="2459"/>
      <c r="F13" s="2459"/>
      <c r="G13" s="2459"/>
      <c r="H13" s="2459"/>
      <c r="I13" s="2459"/>
      <c r="J13" s="2459"/>
      <c r="K13" s="2459"/>
      <c r="L13" s="2459"/>
      <c r="M13" s="2459"/>
      <c r="N13" s="2459"/>
      <c r="O13" s="2459"/>
      <c r="P13" s="2459"/>
      <c r="Q13" s="2459"/>
      <c r="R13" s="2459"/>
      <c r="S13" s="2460"/>
      <c r="T13" s="2451"/>
      <c r="U13" s="2452"/>
      <c r="V13" s="2452"/>
      <c r="W13" s="2452"/>
      <c r="X13" s="2452"/>
      <c r="Y13" s="2451"/>
      <c r="Z13" s="2452"/>
      <c r="AA13" s="2452"/>
      <c r="AB13" s="2452"/>
      <c r="AC13" s="2452"/>
      <c r="AD13" s="2452"/>
      <c r="AE13" s="2452"/>
      <c r="AF13" s="2452"/>
      <c r="AG13" s="2452"/>
      <c r="AH13" s="2452"/>
      <c r="AI13" s="2452"/>
      <c r="AJ13" s="2452"/>
      <c r="AK13" s="2452"/>
      <c r="AL13" s="2452"/>
      <c r="AM13" s="2452"/>
    </row>
    <row r="14" spans="1:40" ht="12.95" customHeight="1">
      <c r="B14" s="361"/>
      <c r="C14" s="2459" t="s">
        <v>2625</v>
      </c>
      <c r="D14" s="2459"/>
      <c r="E14" s="2459"/>
      <c r="F14" s="2459"/>
      <c r="G14" s="2459"/>
      <c r="H14" s="2459"/>
      <c r="I14" s="2459"/>
      <c r="J14" s="2459"/>
      <c r="K14" s="2459"/>
      <c r="L14" s="2459"/>
      <c r="M14" s="2459"/>
      <c r="N14" s="2459"/>
      <c r="O14" s="2459"/>
      <c r="P14" s="2459"/>
      <c r="Q14" s="2459"/>
      <c r="R14" s="2459"/>
      <c r="S14" s="2460"/>
      <c r="T14" s="2441"/>
      <c r="U14" s="2442"/>
      <c r="V14" s="2442"/>
      <c r="W14" s="2442"/>
      <c r="X14" s="2442"/>
      <c r="Y14" s="2441"/>
      <c r="Z14" s="2442"/>
      <c r="AA14" s="2442"/>
      <c r="AB14" s="2442"/>
      <c r="AC14" s="2442"/>
      <c r="AD14" s="2442"/>
      <c r="AE14" s="2442"/>
      <c r="AF14" s="2442"/>
      <c r="AG14" s="2442"/>
      <c r="AH14" s="2442"/>
      <c r="AI14" s="2442"/>
      <c r="AJ14" s="2442"/>
      <c r="AK14" s="2442"/>
      <c r="AL14" s="2442"/>
      <c r="AM14" s="2442"/>
    </row>
    <row r="15" spans="1:40" ht="12.95" customHeight="1">
      <c r="B15" s="361"/>
      <c r="C15" s="2459" t="s">
        <v>2626</v>
      </c>
      <c r="D15" s="2459"/>
      <c r="E15" s="2459"/>
      <c r="F15" s="2459"/>
      <c r="G15" s="2459"/>
      <c r="H15" s="2459"/>
      <c r="I15" s="2459"/>
      <c r="J15" s="2459"/>
      <c r="K15" s="2459"/>
      <c r="L15" s="2459"/>
      <c r="M15" s="2459"/>
      <c r="N15" s="2459"/>
      <c r="O15" s="2459"/>
      <c r="P15" s="2459"/>
      <c r="Q15" s="2459"/>
      <c r="R15" s="2459"/>
      <c r="S15" s="2460"/>
      <c r="T15" s="2441"/>
      <c r="U15" s="2442"/>
      <c r="V15" s="2442"/>
      <c r="W15" s="2442"/>
      <c r="X15" s="2442"/>
      <c r="Y15" s="2441"/>
      <c r="Z15" s="2442"/>
      <c r="AA15" s="2442"/>
      <c r="AB15" s="2442"/>
      <c r="AC15" s="2442"/>
      <c r="AD15" s="2442"/>
      <c r="AE15" s="2442"/>
      <c r="AF15" s="2442"/>
      <c r="AG15" s="2442"/>
      <c r="AH15" s="2442"/>
      <c r="AI15" s="2442"/>
      <c r="AJ15" s="2442"/>
      <c r="AK15" s="2442"/>
      <c r="AL15" s="2442"/>
      <c r="AM15" s="2442"/>
    </row>
    <row r="16" spans="1:40" ht="12.95" customHeight="1">
      <c r="B16" s="361"/>
      <c r="C16" s="2459" t="s">
        <v>2627</v>
      </c>
      <c r="D16" s="2459"/>
      <c r="E16" s="2459"/>
      <c r="F16" s="2459"/>
      <c r="G16" s="2459"/>
      <c r="H16" s="2459"/>
      <c r="I16" s="2459"/>
      <c r="J16" s="2459"/>
      <c r="K16" s="2459"/>
      <c r="L16" s="2459"/>
      <c r="M16" s="2459"/>
      <c r="N16" s="2459"/>
      <c r="O16" s="2459"/>
      <c r="P16" s="2459"/>
      <c r="Q16" s="2459"/>
      <c r="R16" s="2459"/>
      <c r="S16" s="2460"/>
      <c r="T16" s="2441"/>
      <c r="U16" s="2442"/>
      <c r="V16" s="2442"/>
      <c r="W16" s="2442"/>
      <c r="X16" s="2442"/>
      <c r="Y16" s="2441"/>
      <c r="Z16" s="2442"/>
      <c r="AA16" s="2442"/>
      <c r="AB16" s="2442"/>
      <c r="AC16" s="2442"/>
      <c r="AD16" s="2442"/>
      <c r="AE16" s="2442"/>
      <c r="AF16" s="2442"/>
      <c r="AG16" s="2442"/>
      <c r="AH16" s="2442"/>
      <c r="AI16" s="2442"/>
      <c r="AJ16" s="2442"/>
      <c r="AK16" s="2442"/>
      <c r="AL16" s="2442"/>
      <c r="AM16" s="2442"/>
    </row>
    <row r="17" spans="1:40" ht="12.95" customHeight="1">
      <c r="B17" s="361"/>
      <c r="C17" s="2459" t="s">
        <v>2628</v>
      </c>
      <c r="D17" s="2459"/>
      <c r="E17" s="2459"/>
      <c r="F17" s="2459"/>
      <c r="G17" s="2459"/>
      <c r="H17" s="2459"/>
      <c r="I17" s="2459"/>
      <c r="J17" s="2459"/>
      <c r="K17" s="2459"/>
      <c r="L17" s="2459"/>
      <c r="M17" s="2459"/>
      <c r="N17" s="2459"/>
      <c r="O17" s="2459"/>
      <c r="P17" s="2459"/>
      <c r="Q17" s="2459"/>
      <c r="R17" s="2459"/>
      <c r="S17" s="2460"/>
      <c r="T17" s="2441"/>
      <c r="U17" s="2442"/>
      <c r="V17" s="2442"/>
      <c r="W17" s="2442"/>
      <c r="X17" s="2442"/>
      <c r="Y17" s="2441"/>
      <c r="Z17" s="2442"/>
      <c r="AA17" s="2442"/>
      <c r="AB17" s="2442"/>
      <c r="AC17" s="2442"/>
      <c r="AD17" s="2442"/>
      <c r="AE17" s="2442"/>
      <c r="AF17" s="2442"/>
      <c r="AG17" s="2442"/>
      <c r="AH17" s="2442"/>
      <c r="AI17" s="2442"/>
      <c r="AJ17" s="2442"/>
      <c r="AK17" s="2442"/>
      <c r="AL17" s="2442"/>
      <c r="AM17" s="2442"/>
    </row>
    <row r="18" spans="1:40" ht="12.95" customHeight="1">
      <c r="A18"/>
      <c r="B18" s="1082"/>
      <c r="C18" s="1631" t="s">
        <v>2629</v>
      </c>
      <c r="D18" s="1631"/>
      <c r="E18" s="1631"/>
      <c r="F18" s="1631"/>
      <c r="G18" s="1631"/>
      <c r="H18" s="1631"/>
      <c r="I18" s="1631"/>
      <c r="J18" s="1631"/>
      <c r="K18" s="1631"/>
      <c r="L18" s="1631"/>
      <c r="M18" s="1631"/>
      <c r="N18" s="1631"/>
      <c r="O18" s="1631"/>
      <c r="P18" s="1631"/>
      <c r="Q18" s="1631"/>
      <c r="R18" s="1631"/>
      <c r="S18" s="1632"/>
      <c r="T18" s="2441"/>
      <c r="U18" s="2442"/>
      <c r="V18" s="2442"/>
      <c r="W18" s="2442"/>
      <c r="X18" s="2442"/>
      <c r="Y18" s="2441"/>
      <c r="Z18" s="2442"/>
      <c r="AA18" s="2442"/>
      <c r="AB18" s="2442"/>
      <c r="AC18" s="2442"/>
      <c r="AD18" s="2442"/>
      <c r="AE18" s="2442"/>
      <c r="AF18" s="2442"/>
      <c r="AG18" s="2442"/>
      <c r="AH18" s="2442"/>
      <c r="AI18" s="2442"/>
      <c r="AJ18" s="2442"/>
      <c r="AK18" s="2442"/>
      <c r="AL18" s="2442"/>
      <c r="AM18" s="2442"/>
    </row>
    <row r="19" spans="1:40" ht="12.95" customHeight="1">
      <c r="B19" s="1082"/>
      <c r="C19" s="1631" t="s">
        <v>2629</v>
      </c>
      <c r="D19" s="1631"/>
      <c r="E19" s="1631"/>
      <c r="F19" s="1631"/>
      <c r="G19" s="1631"/>
      <c r="H19" s="1631"/>
      <c r="I19" s="1631"/>
      <c r="J19" s="1631"/>
      <c r="K19" s="1631"/>
      <c r="L19" s="1631"/>
      <c r="M19" s="1631"/>
      <c r="N19" s="1631"/>
      <c r="O19" s="1631"/>
      <c r="P19" s="1631"/>
      <c r="Q19" s="1631"/>
      <c r="R19" s="1631"/>
      <c r="S19" s="1632"/>
      <c r="T19" s="2441"/>
      <c r="U19" s="2442"/>
      <c r="V19" s="2442"/>
      <c r="W19" s="2442"/>
      <c r="X19" s="2442"/>
      <c r="Y19" s="2441"/>
      <c r="Z19" s="2442"/>
      <c r="AA19" s="2442"/>
      <c r="AB19" s="2442"/>
      <c r="AC19" s="2442"/>
      <c r="AD19" s="2442"/>
      <c r="AE19" s="2442"/>
      <c r="AF19" s="2442"/>
      <c r="AG19" s="2442"/>
      <c r="AH19" s="2442"/>
      <c r="AI19" s="2442"/>
      <c r="AJ19" s="2442"/>
      <c r="AK19" s="2442"/>
      <c r="AL19" s="2442"/>
      <c r="AM19" s="2442"/>
    </row>
    <row r="20" spans="1:40" ht="12.95" customHeight="1">
      <c r="B20" s="2416" t="s">
        <v>2630</v>
      </c>
      <c r="C20" s="2417"/>
      <c r="D20" s="2417"/>
      <c r="E20" s="2417"/>
      <c r="F20" s="2417"/>
      <c r="G20" s="2417"/>
      <c r="H20" s="2417"/>
      <c r="I20" s="2417"/>
      <c r="J20" s="2417"/>
      <c r="K20" s="2417"/>
      <c r="L20" s="2417"/>
      <c r="M20" s="2417"/>
      <c r="N20" s="2417"/>
      <c r="O20" s="2417"/>
      <c r="P20" s="2417"/>
      <c r="Q20" s="2417"/>
      <c r="R20" s="2417"/>
      <c r="S20" s="2418"/>
      <c r="T20" s="2432">
        <f>SUM(T13:X19)</f>
        <v>0</v>
      </c>
      <c r="U20" s="2410"/>
      <c r="V20" s="2410"/>
      <c r="W20" s="2410"/>
      <c r="X20" s="2410"/>
      <c r="Y20" s="2432">
        <f>SUM(Y13:AC19)</f>
        <v>0</v>
      </c>
      <c r="Z20" s="2410"/>
      <c r="AA20" s="2410"/>
      <c r="AB20" s="2410"/>
      <c r="AC20" s="2410"/>
      <c r="AD20" s="2420">
        <f>SUM(AD13:AH19)</f>
        <v>0</v>
      </c>
      <c r="AE20" s="2431"/>
      <c r="AF20" s="2431"/>
      <c r="AG20" s="2431"/>
      <c r="AH20" s="2432"/>
      <c r="AI20" s="2420">
        <f>SUM(AI13:AM19)</f>
        <v>0</v>
      </c>
      <c r="AJ20" s="2431"/>
      <c r="AK20" s="2431"/>
      <c r="AL20" s="2431"/>
      <c r="AM20" s="2432"/>
    </row>
    <row r="21" spans="1:40" ht="12.95" customHeight="1">
      <c r="B21" s="2416" t="s">
        <v>2631</v>
      </c>
      <c r="C21" s="2417"/>
      <c r="D21" s="2417"/>
      <c r="E21" s="2417"/>
      <c r="F21" s="2417"/>
      <c r="G21" s="2417"/>
      <c r="H21" s="2417"/>
      <c r="I21" s="2417"/>
      <c r="J21" s="2417"/>
      <c r="K21" s="2417"/>
      <c r="L21" s="2417"/>
      <c r="M21" s="2417"/>
      <c r="N21" s="2417"/>
      <c r="O21" s="2417"/>
      <c r="P21" s="2417"/>
      <c r="Q21" s="2417"/>
      <c r="R21" s="2417"/>
      <c r="S21" s="2418"/>
      <c r="T21" s="2441"/>
      <c r="U21" s="2442"/>
      <c r="V21" s="2442"/>
      <c r="W21" s="2442"/>
      <c r="X21" s="2442"/>
      <c r="Y21" s="2441"/>
      <c r="Z21" s="2442"/>
      <c r="AA21" s="2442"/>
      <c r="AB21" s="2442"/>
      <c r="AC21" s="2442"/>
      <c r="AD21" s="2448"/>
      <c r="AE21" s="2449"/>
      <c r="AF21" s="2449"/>
      <c r="AG21" s="2449"/>
      <c r="AH21" s="2450"/>
      <c r="AI21" s="2448"/>
      <c r="AJ21" s="2449"/>
      <c r="AK21" s="2449"/>
      <c r="AL21" s="2449"/>
      <c r="AM21" s="2450"/>
    </row>
    <row r="22" spans="1:40" ht="12.95" customHeight="1">
      <c r="B22" s="2416" t="s">
        <v>2632</v>
      </c>
      <c r="C22" s="2417"/>
      <c r="D22" s="2417"/>
      <c r="E22" s="2417"/>
      <c r="F22" s="2417"/>
      <c r="G22" s="2417"/>
      <c r="H22" s="2417"/>
      <c r="I22" s="2417"/>
      <c r="J22" s="2417"/>
      <c r="K22" s="2417"/>
      <c r="L22" s="2417"/>
      <c r="M22" s="2417"/>
      <c r="N22" s="2417"/>
      <c r="O22" s="2417"/>
      <c r="P22" s="2417"/>
      <c r="Q22" s="2417"/>
      <c r="R22" s="2417"/>
      <c r="S22" s="2418"/>
      <c r="T22" s="2437">
        <f>(ABS(T20)+ABS(T21))*-1</f>
        <v>0</v>
      </c>
      <c r="U22" s="2438"/>
      <c r="V22" s="2438"/>
      <c r="W22" s="2438"/>
      <c r="X22" s="2438"/>
      <c r="Y22" s="2437">
        <f>(Y20+Y21)*-1</f>
        <v>0</v>
      </c>
      <c r="Z22" s="2438"/>
      <c r="AA22" s="2438"/>
      <c r="AB22" s="2438"/>
      <c r="AC22" s="2438"/>
      <c r="AD22" s="2439">
        <f>(AD20)*-1</f>
        <v>0</v>
      </c>
      <c r="AE22" s="2440"/>
      <c r="AF22" s="2440"/>
      <c r="AG22" s="2440"/>
      <c r="AH22" s="2437"/>
      <c r="AI22" s="2439">
        <f>(AI20)*-1</f>
        <v>0</v>
      </c>
      <c r="AJ22" s="2440"/>
      <c r="AK22" s="2440"/>
      <c r="AL22" s="2440"/>
      <c r="AM22" s="2437"/>
    </row>
    <row r="23" spans="1:40" ht="12.95" customHeight="1">
      <c r="B23" s="2416" t="s">
        <v>2633</v>
      </c>
      <c r="C23" s="2417"/>
      <c r="D23" s="2417"/>
      <c r="E23" s="2417"/>
      <c r="F23" s="2417"/>
      <c r="G23" s="2417"/>
      <c r="H23" s="2417"/>
      <c r="I23" s="2417"/>
      <c r="J23" s="2417"/>
      <c r="K23" s="2417"/>
      <c r="L23" s="2417"/>
      <c r="M23" s="2417"/>
      <c r="N23" s="2417"/>
      <c r="O23" s="2417"/>
      <c r="P23" s="2417"/>
      <c r="Q23" s="2417"/>
      <c r="R23" s="2417"/>
      <c r="S23" s="2418"/>
      <c r="T23" s="2432">
        <f>T11+T22</f>
        <v>75187764</v>
      </c>
      <c r="U23" s="2410"/>
      <c r="V23" s="2410"/>
      <c r="W23" s="2410"/>
      <c r="X23" s="2410"/>
      <c r="Y23" s="2432">
        <f>Y11+Y22</f>
        <v>0</v>
      </c>
      <c r="Z23" s="2410"/>
      <c r="AA23" s="2410"/>
      <c r="AB23" s="2410"/>
      <c r="AC23" s="2410"/>
      <c r="AD23" s="2432">
        <f>AD11+AD22</f>
        <v>0</v>
      </c>
      <c r="AE23" s="2410"/>
      <c r="AF23" s="2410"/>
      <c r="AG23" s="2410"/>
      <c r="AH23" s="2410"/>
      <c r="AI23" s="2432">
        <f>AI11+AI22</f>
        <v>0</v>
      </c>
      <c r="AJ23" s="2410"/>
      <c r="AK23" s="2410"/>
      <c r="AL23" s="2410"/>
      <c r="AM23" s="2410"/>
    </row>
    <row r="24" spans="1:40" ht="12.95" customHeight="1">
      <c r="B24" s="2416" t="s">
        <v>2634</v>
      </c>
      <c r="C24" s="2417"/>
      <c r="D24" s="2417"/>
      <c r="E24" s="2417"/>
      <c r="F24" s="2417"/>
      <c r="G24" s="2417"/>
      <c r="H24" s="2417"/>
      <c r="I24" s="2417"/>
      <c r="J24" s="2417"/>
      <c r="K24" s="2417"/>
      <c r="L24" s="2417"/>
      <c r="M24" s="2417"/>
      <c r="N24" s="2417"/>
      <c r="O24" s="2417"/>
      <c r="P24" s="2417"/>
      <c r="Q24" s="2417"/>
      <c r="R24" s="2417"/>
      <c r="S24" s="2418"/>
      <c r="T24" s="2420">
        <f>Application!AJ1018</f>
        <v>175644601</v>
      </c>
      <c r="U24" s="2431"/>
      <c r="V24" s="2431"/>
      <c r="W24" s="2431"/>
      <c r="X24" s="2431"/>
      <c r="Y24" s="2431"/>
      <c r="Z24" s="2431"/>
      <c r="AA24" s="2431"/>
      <c r="AB24" s="2431"/>
      <c r="AC24" s="2431"/>
      <c r="AD24" s="2431"/>
      <c r="AE24" s="2431"/>
      <c r="AF24" s="2431"/>
      <c r="AG24" s="2431"/>
      <c r="AH24" s="2431"/>
      <c r="AI24" s="2431"/>
      <c r="AJ24" s="2431"/>
      <c r="AK24" s="2431"/>
      <c r="AL24" s="2431"/>
      <c r="AM24" s="2432"/>
    </row>
    <row r="25" spans="1:40" ht="12.95" customHeight="1">
      <c r="B25" s="2463" t="s">
        <v>2635</v>
      </c>
      <c r="C25" s="2464"/>
      <c r="D25" s="2464"/>
      <c r="E25" s="2464"/>
      <c r="F25" s="2464"/>
      <c r="G25" s="2464"/>
      <c r="H25" s="2464"/>
      <c r="I25" s="2464"/>
      <c r="J25" s="2464"/>
      <c r="K25" s="2464"/>
      <c r="L25" s="2464"/>
      <c r="M25" s="2464"/>
      <c r="N25" s="2464"/>
      <c r="O25" s="2464"/>
      <c r="P25" s="2464"/>
      <c r="Q25" s="2464"/>
      <c r="R25" s="2464"/>
      <c r="S25" s="2465"/>
      <c r="T25" s="2445">
        <f>IF(OR(Application!T195="yes",Application!T194="yes"),1.3,1)</f>
        <v>1.3</v>
      </c>
      <c r="U25" s="2446"/>
      <c r="V25" s="2446"/>
      <c r="W25" s="2446"/>
      <c r="X25" s="2446"/>
      <c r="Y25" s="2445">
        <v>1</v>
      </c>
      <c r="Z25" s="2446"/>
      <c r="AA25" s="2446"/>
      <c r="AB25" s="2446"/>
      <c r="AC25" s="2446"/>
      <c r="AD25" s="2445">
        <v>1</v>
      </c>
      <c r="AE25" s="2446"/>
      <c r="AF25" s="2446"/>
      <c r="AG25" s="2446"/>
      <c r="AH25" s="2447"/>
      <c r="AI25" s="2445">
        <v>1</v>
      </c>
      <c r="AJ25" s="2446"/>
      <c r="AK25" s="2446"/>
      <c r="AL25" s="2446"/>
      <c r="AM25" s="2447"/>
    </row>
    <row r="26" spans="1:40" ht="12.95" customHeight="1">
      <c r="B26" s="2416" t="s">
        <v>2636</v>
      </c>
      <c r="C26" s="2417"/>
      <c r="D26" s="2417"/>
      <c r="E26" s="2417"/>
      <c r="F26" s="2417"/>
      <c r="G26" s="2417"/>
      <c r="H26" s="2417"/>
      <c r="I26" s="2417"/>
      <c r="J26" s="2417"/>
      <c r="K26" s="2417"/>
      <c r="L26" s="2417"/>
      <c r="M26" s="2417"/>
      <c r="N26" s="2417"/>
      <c r="O26" s="2417"/>
      <c r="P26" s="2417"/>
      <c r="Q26" s="2417"/>
      <c r="R26" s="2417"/>
      <c r="S26" s="2418"/>
      <c r="T26" s="2432">
        <f>T23*T25</f>
        <v>97744093.200000003</v>
      </c>
      <c r="U26" s="2410"/>
      <c r="V26" s="2410"/>
      <c r="W26" s="2410"/>
      <c r="X26" s="2410"/>
      <c r="Y26" s="2432">
        <f>Y23*Y25</f>
        <v>0</v>
      </c>
      <c r="Z26" s="2410"/>
      <c r="AA26" s="2410"/>
      <c r="AB26" s="2410"/>
      <c r="AC26" s="2410"/>
      <c r="AD26" s="2432">
        <f>AD23*AD25</f>
        <v>0</v>
      </c>
      <c r="AE26" s="2410"/>
      <c r="AF26" s="2410"/>
      <c r="AG26" s="2410"/>
      <c r="AH26" s="2410"/>
      <c r="AI26" s="2432">
        <f>AI23*AI25</f>
        <v>0</v>
      </c>
      <c r="AJ26" s="2410"/>
      <c r="AK26" s="2410"/>
      <c r="AL26" s="2410"/>
      <c r="AM26" s="2410"/>
    </row>
    <row r="27" spans="1:40" ht="12.95" customHeight="1">
      <c r="A27" s="335"/>
      <c r="B27" s="2466" t="s">
        <v>2637</v>
      </c>
      <c r="C27" s="2467"/>
      <c r="D27" s="2467"/>
      <c r="E27" s="2467"/>
      <c r="F27" s="2467"/>
      <c r="G27" s="2467"/>
      <c r="H27" s="2467"/>
      <c r="I27" s="2467"/>
      <c r="J27" s="2467"/>
      <c r="K27" s="2467"/>
      <c r="L27" s="2467"/>
      <c r="M27" s="2467"/>
      <c r="N27" s="2467"/>
      <c r="O27" s="2467"/>
      <c r="P27" s="2467"/>
      <c r="Q27" s="2467"/>
      <c r="R27" s="2467"/>
      <c r="S27" s="2468"/>
      <c r="T27" s="2443">
        <f>Application!$AG$444</f>
        <v>1</v>
      </c>
      <c r="U27" s="2444"/>
      <c r="V27" s="2444"/>
      <c r="W27" s="2444"/>
      <c r="X27" s="2444"/>
      <c r="Y27" s="2443">
        <f>Application!$AG$444</f>
        <v>1</v>
      </c>
      <c r="Z27" s="2444"/>
      <c r="AA27" s="2444"/>
      <c r="AB27" s="2444"/>
      <c r="AC27" s="2444"/>
      <c r="AD27" s="2443">
        <f>Application!$AG$444</f>
        <v>1</v>
      </c>
      <c r="AE27" s="2444"/>
      <c r="AF27" s="2444"/>
      <c r="AG27" s="2444"/>
      <c r="AH27" s="2444"/>
      <c r="AI27" s="2443">
        <f>Application!$AG$444</f>
        <v>1</v>
      </c>
      <c r="AJ27" s="2444"/>
      <c r="AK27" s="2444"/>
      <c r="AL27" s="2444"/>
      <c r="AM27" s="2444"/>
    </row>
    <row r="28" spans="1:40" ht="12.95" customHeight="1">
      <c r="A28" s="329"/>
      <c r="B28" s="2416" t="s">
        <v>2638</v>
      </c>
      <c r="C28" s="2417"/>
      <c r="D28" s="2417"/>
      <c r="E28" s="2417"/>
      <c r="F28" s="2417"/>
      <c r="G28" s="2417"/>
      <c r="H28" s="2417"/>
      <c r="I28" s="2417"/>
      <c r="J28" s="2417"/>
      <c r="K28" s="2417"/>
      <c r="L28" s="2417"/>
      <c r="M28" s="2417"/>
      <c r="N28" s="2417"/>
      <c r="O28" s="2417"/>
      <c r="P28" s="2417"/>
      <c r="Q28" s="2417"/>
      <c r="R28" s="2417"/>
      <c r="S28" s="2418"/>
      <c r="T28" s="2432">
        <f>IF(ISERROR((T26*T27)),0,(T26*T27))</f>
        <v>97744093.200000003</v>
      </c>
      <c r="U28" s="2410"/>
      <c r="V28" s="2410"/>
      <c r="W28" s="2410"/>
      <c r="X28" s="2410"/>
      <c r="Y28" s="2432">
        <f>IF(ISERROR((Y26*Y27)),0,(Y26*Y27))</f>
        <v>0</v>
      </c>
      <c r="Z28" s="2410"/>
      <c r="AA28" s="2410"/>
      <c r="AB28" s="2410"/>
      <c r="AC28" s="2410"/>
      <c r="AD28" s="2432">
        <f>IF(ISERROR((AD26*AD27)),0,(AD26*AD27))</f>
        <v>0</v>
      </c>
      <c r="AE28" s="2410"/>
      <c r="AF28" s="2410"/>
      <c r="AG28" s="2410"/>
      <c r="AH28" s="2410"/>
      <c r="AI28" s="2432">
        <f>IF(ISERROR((AI26*AI27)),0,(AI26*AI27))</f>
        <v>0</v>
      </c>
      <c r="AJ28" s="2410"/>
      <c r="AK28" s="2410"/>
      <c r="AL28" s="2410"/>
      <c r="AM28" s="2410"/>
    </row>
    <row r="29" spans="1:40" ht="12.95" customHeight="1">
      <c r="B29" s="2416" t="s">
        <v>2639</v>
      </c>
      <c r="C29" s="2417"/>
      <c r="D29" s="2417"/>
      <c r="E29" s="2417"/>
      <c r="F29" s="2417"/>
      <c r="G29" s="2417"/>
      <c r="H29" s="2417"/>
      <c r="I29" s="2417"/>
      <c r="J29" s="2417"/>
      <c r="K29" s="2417"/>
      <c r="L29" s="2417"/>
      <c r="M29" s="2417"/>
      <c r="N29" s="2417"/>
      <c r="O29" s="2417"/>
      <c r="P29" s="2417"/>
      <c r="Q29" s="2417"/>
      <c r="R29" s="2417"/>
      <c r="S29" s="2418"/>
      <c r="T29" s="2420">
        <f>T28+Y28+AD28+AI28</f>
        <v>97744093.200000003</v>
      </c>
      <c r="U29" s="2431"/>
      <c r="V29" s="2431"/>
      <c r="W29" s="2431"/>
      <c r="X29" s="2431"/>
      <c r="Y29" s="2431"/>
      <c r="Z29" s="2431"/>
      <c r="AA29" s="2431"/>
      <c r="AB29" s="2431"/>
      <c r="AC29" s="2431"/>
      <c r="AD29" s="2431"/>
      <c r="AE29" s="2431"/>
      <c r="AF29" s="2431"/>
      <c r="AG29" s="2431"/>
      <c r="AH29" s="2431"/>
      <c r="AI29" s="2431"/>
      <c r="AJ29" s="2431"/>
      <c r="AK29" s="2431"/>
      <c r="AL29" s="2431"/>
      <c r="AM29" s="2432"/>
    </row>
    <row r="30" spans="1:40" ht="12.95" customHeight="1">
      <c r="B30" s="2436" t="s">
        <v>2640</v>
      </c>
      <c r="C30" s="2436"/>
      <c r="D30" s="2436"/>
      <c r="E30" s="2436"/>
      <c r="F30" s="2436"/>
      <c r="G30" s="2436"/>
      <c r="H30" s="2436"/>
      <c r="I30" s="2436"/>
      <c r="J30" s="2436"/>
      <c r="K30" s="2436"/>
      <c r="L30" s="2436"/>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row>
    <row r="31" spans="1:40" ht="12.95" customHeight="1">
      <c r="B31" s="2436" t="s">
        <v>2641</v>
      </c>
      <c r="C31" s="2436"/>
      <c r="D31" s="2436"/>
      <c r="E31" s="2436"/>
      <c r="F31" s="2436"/>
      <c r="G31" s="2436"/>
      <c r="H31" s="2436"/>
      <c r="I31" s="2436"/>
      <c r="J31" s="2436"/>
      <c r="K31" s="2436"/>
      <c r="L31" s="2436"/>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443"/>
    </row>
    <row r="32" spans="1:40" ht="12.95" customHeight="1">
      <c r="B32" s="360"/>
      <c r="C32" s="436" t="s">
        <v>2642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1007</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33" t="s">
        <v>2643</v>
      </c>
      <c r="Z35" s="2433"/>
      <c r="AA35" s="2433"/>
      <c r="AB35" s="2433"/>
      <c r="AC35" s="2433"/>
      <c r="AD35" s="2434" t="s">
        <v>2644</v>
      </c>
      <c r="AE35" s="2434"/>
      <c r="AF35" s="2434"/>
      <c r="AG35" s="2434"/>
      <c r="AH35" s="2434"/>
    </row>
    <row r="36" spans="1:76" ht="12.95" customHeight="1">
      <c r="B36" s="332"/>
      <c r="X36" s="337"/>
      <c r="Y36" s="2433"/>
      <c r="Z36" s="2433"/>
      <c r="AA36" s="2433"/>
      <c r="AB36" s="2433"/>
      <c r="AC36" s="2433"/>
      <c r="AD36" s="2434"/>
      <c r="AE36" s="2434"/>
      <c r="AF36" s="2434"/>
      <c r="AG36" s="2434"/>
      <c r="AH36" s="2434"/>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33"/>
      <c r="Z37" s="2433"/>
      <c r="AA37" s="2433"/>
      <c r="AB37" s="2433"/>
      <c r="AC37" s="2433"/>
      <c r="AD37" s="2434"/>
      <c r="AE37" s="2434"/>
      <c r="AF37" s="2434"/>
      <c r="AG37" s="2434"/>
      <c r="AH37" s="2434"/>
    </row>
    <row r="38" spans="1:76" ht="12.95" customHeight="1">
      <c r="A38" s="329"/>
      <c r="B38" s="2416" t="s">
        <v>2638</v>
      </c>
      <c r="C38" s="2417"/>
      <c r="D38" s="2417"/>
      <c r="E38" s="2417"/>
      <c r="F38" s="2417"/>
      <c r="G38" s="2417"/>
      <c r="H38" s="2417"/>
      <c r="I38" s="2417"/>
      <c r="J38" s="2417"/>
      <c r="K38" s="2417"/>
      <c r="L38" s="2417"/>
      <c r="M38" s="2417"/>
      <c r="N38" s="2417"/>
      <c r="O38" s="2417"/>
      <c r="P38" s="2417"/>
      <c r="Q38" s="2417"/>
      <c r="R38" s="2417"/>
      <c r="S38" s="2417"/>
      <c r="T38" s="2417"/>
      <c r="U38" s="2417"/>
      <c r="V38" s="2417"/>
      <c r="W38" s="2417"/>
      <c r="X38" s="2418"/>
      <c r="Y38" s="2410">
        <f>IF(T24&gt;=(T23+Y23+AD23+AI23),T28+Y28,0)</f>
        <v>97744093.200000003</v>
      </c>
      <c r="Z38" s="2410"/>
      <c r="AA38" s="2410"/>
      <c r="AB38" s="2410"/>
      <c r="AC38" s="2410"/>
      <c r="AD38" s="2410">
        <f>IF(T24&gt;=(T23+Y23+AD23+AI23),AD28+AI28,0)</f>
        <v>0</v>
      </c>
      <c r="AE38" s="2410"/>
      <c r="AF38" s="2410"/>
      <c r="AG38" s="2410"/>
      <c r="AH38" s="2410"/>
    </row>
    <row r="39" spans="1:76" ht="12.95" customHeight="1">
      <c r="B39" s="2416" t="s">
        <v>2645</v>
      </c>
      <c r="C39" s="2417"/>
      <c r="D39" s="2417"/>
      <c r="E39" s="2417"/>
      <c r="F39" s="2417"/>
      <c r="G39" s="2417"/>
      <c r="H39" s="2417"/>
      <c r="I39" s="2417"/>
      <c r="J39" s="2417"/>
      <c r="K39" s="2417"/>
      <c r="L39" s="2417"/>
      <c r="M39" s="2417"/>
      <c r="N39" s="2417"/>
      <c r="O39" s="2417"/>
      <c r="P39" s="2417"/>
      <c r="Q39" s="2417"/>
      <c r="R39" s="2417"/>
      <c r="S39" s="2417"/>
      <c r="T39" s="2417"/>
      <c r="U39" s="2417"/>
      <c r="V39" s="2417"/>
      <c r="W39" s="2417"/>
      <c r="X39" s="2418"/>
      <c r="Y39" s="2435">
        <v>0.04</v>
      </c>
      <c r="Z39" s="2435"/>
      <c r="AA39" s="2435"/>
      <c r="AB39" s="2435"/>
      <c r="AC39" s="2435"/>
      <c r="AD39" s="2435">
        <v>0.04</v>
      </c>
      <c r="AE39" s="2435"/>
      <c r="AF39" s="2435"/>
      <c r="AG39" s="2435"/>
      <c r="AH39" s="2435"/>
    </row>
    <row r="40" spans="1:76" ht="12.95" customHeight="1">
      <c r="A40" s="329"/>
      <c r="B40" s="2416" t="s">
        <v>2646</v>
      </c>
      <c r="C40" s="2417"/>
      <c r="D40" s="2417"/>
      <c r="E40" s="2417"/>
      <c r="F40" s="2417"/>
      <c r="G40" s="2417"/>
      <c r="H40" s="2417"/>
      <c r="I40" s="2417"/>
      <c r="J40" s="2417"/>
      <c r="K40" s="2417"/>
      <c r="L40" s="2417"/>
      <c r="M40" s="2417"/>
      <c r="N40" s="2417"/>
      <c r="O40" s="2417"/>
      <c r="P40" s="2417"/>
      <c r="Q40" s="2417"/>
      <c r="R40" s="2417"/>
      <c r="S40" s="2417"/>
      <c r="T40" s="2417"/>
      <c r="U40" s="2417"/>
      <c r="V40" s="2417"/>
      <c r="W40" s="2417"/>
      <c r="X40" s="2418"/>
      <c r="Y40" s="2410">
        <f>ROUND(Y38*Y39,0)</f>
        <v>3909764</v>
      </c>
      <c r="Z40" s="2410"/>
      <c r="AA40" s="2410"/>
      <c r="AB40" s="2410"/>
      <c r="AC40" s="2410"/>
      <c r="AD40" s="2432">
        <f>ROUND(AD38*AD39,0)</f>
        <v>0</v>
      </c>
      <c r="AE40" s="2410"/>
      <c r="AF40" s="2410"/>
      <c r="AG40" s="2410"/>
      <c r="AH40" s="2410"/>
    </row>
    <row r="41" spans="1:76" ht="12.95" customHeight="1">
      <c r="B41" s="2416" t="s">
        <v>2647</v>
      </c>
      <c r="C41" s="2417"/>
      <c r="D41" s="2417"/>
      <c r="E41" s="2417"/>
      <c r="F41" s="2417"/>
      <c r="G41" s="2417"/>
      <c r="H41" s="2417"/>
      <c r="I41" s="2417"/>
      <c r="J41" s="2417"/>
      <c r="K41" s="2417"/>
      <c r="L41" s="2417"/>
      <c r="M41" s="2417"/>
      <c r="N41" s="2417"/>
      <c r="O41" s="2417"/>
      <c r="P41" s="2417"/>
      <c r="Q41" s="2417"/>
      <c r="R41" s="2417"/>
      <c r="S41" s="2417"/>
      <c r="T41" s="2417"/>
      <c r="U41" s="2417"/>
      <c r="V41" s="2417"/>
      <c r="W41" s="2417"/>
      <c r="X41" s="2418"/>
      <c r="Y41" s="2420">
        <f>Y40+AD40</f>
        <v>3909764</v>
      </c>
      <c r="Z41" s="2431"/>
      <c r="AA41" s="2431"/>
      <c r="AB41" s="2431"/>
      <c r="AC41" s="2431"/>
      <c r="AD41" s="2431"/>
      <c r="AE41" s="2431"/>
      <c r="AF41" s="2431"/>
      <c r="AG41" s="2431"/>
      <c r="AH41" s="2432"/>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430" t="s">
        <v>2648</v>
      </c>
      <c r="B44" s="2430"/>
      <c r="C44" s="2430"/>
      <c r="D44" s="2430"/>
      <c r="E44" s="2430"/>
      <c r="F44" s="2430"/>
      <c r="G44" s="2430"/>
      <c r="H44" s="2430"/>
      <c r="I44" s="2430"/>
      <c r="J44" s="2430"/>
      <c r="K44" s="2430"/>
      <c r="L44" s="2430"/>
      <c r="M44" s="2430"/>
      <c r="N44" s="2430"/>
      <c r="O44" s="2430"/>
      <c r="P44" s="2430"/>
      <c r="Q44" s="2430"/>
      <c r="R44" s="2430"/>
      <c r="S44" s="2430"/>
      <c r="T44" s="2430"/>
      <c r="U44" s="2430"/>
      <c r="V44" s="2430"/>
      <c r="W44" s="2430"/>
      <c r="X44" s="2430"/>
      <c r="Y44" s="2430"/>
      <c r="Z44" s="2430"/>
      <c r="AA44" s="2430"/>
      <c r="AB44" s="2430"/>
      <c r="AC44" s="2430"/>
      <c r="AD44" s="2430"/>
      <c r="AE44" s="2430"/>
      <c r="AF44" s="2430"/>
      <c r="AG44" s="2430"/>
      <c r="AH44" s="2430"/>
      <c r="AI44" s="2430"/>
      <c r="AJ44" s="2430"/>
      <c r="AK44" s="2430"/>
      <c r="AL44" s="2430"/>
      <c r="AM44" s="2430"/>
      <c r="AN44" s="2430"/>
      <c r="AO44" s="2430"/>
      <c r="AP44" s="2430"/>
      <c r="AQ44" s="2430"/>
      <c r="AR44" s="2430"/>
      <c r="AS44" s="2430"/>
      <c r="AT44" s="2430"/>
      <c r="AU44" s="2430"/>
      <c r="AV44" s="2430"/>
      <c r="AW44" s="2430"/>
      <c r="AX44" s="2430"/>
      <c r="AY44" s="2430"/>
      <c r="AZ44" s="2430"/>
      <c r="BA44" s="2430"/>
      <c r="BB44" s="2430"/>
      <c r="BC44" s="2430"/>
      <c r="BD44" s="2430"/>
      <c r="BE44" s="2430"/>
      <c r="BF44" s="2430"/>
      <c r="BG44" s="2430"/>
      <c r="BH44" s="2430"/>
      <c r="BI44" s="2430"/>
      <c r="BJ44" s="2430"/>
      <c r="BK44" s="2430"/>
      <c r="BL44" s="2430"/>
      <c r="BM44" s="2430"/>
      <c r="BN44" s="2430"/>
      <c r="BO44" s="2430"/>
      <c r="BP44" s="2430"/>
      <c r="BQ44" s="2430"/>
      <c r="BR44" s="2430"/>
      <c r="BS44" s="2430"/>
      <c r="BT44" s="2430"/>
      <c r="BU44" s="2430"/>
      <c r="BV44" s="2430"/>
      <c r="BW44" s="2430"/>
      <c r="BX44" s="2430"/>
    </row>
    <row r="45" spans="1:76" s="143" customFormat="1" ht="12.95" customHeight="1" thickTop="1"/>
    <row r="46" spans="1:76" ht="12.95" customHeight="1">
      <c r="A46" s="329" t="s">
        <v>1083</v>
      </c>
      <c r="C46" s="329" t="s">
        <v>281</v>
      </c>
    </row>
    <row r="47" spans="1:76" ht="12.95" customHeight="1">
      <c r="D47" s="329" t="s">
        <v>2649</v>
      </c>
      <c r="AB47" s="2424">
        <f>'Sources and Uses Budget'!B105-MAX(IF('Sources and Uses Budget'!B15="",0,'Sources and Uses Budget'!B15),IF(Application!AG393="",0,Application!AG393))</f>
        <v>92645172</v>
      </c>
      <c r="AC47" s="2425"/>
      <c r="AD47" s="2425"/>
      <c r="AE47" s="2425"/>
      <c r="AF47" s="2426"/>
    </row>
    <row r="48" spans="1:76" ht="12.95" customHeight="1">
      <c r="D48" s="329" t="s">
        <v>174</v>
      </c>
      <c r="AB48" s="2424">
        <f>Application!AO635-MAX(IF('Sources and Uses Budget'!B15="",0,'Sources and Uses Budget'!B15),IF(Application!AG393="",0,Application!AG393))</f>
        <v>57645818</v>
      </c>
      <c r="AC48" s="2425"/>
      <c r="AD48" s="2425"/>
      <c r="AE48" s="2425"/>
      <c r="AF48" s="2426"/>
    </row>
    <row r="49" spans="1:76" ht="12.95" customHeight="1">
      <c r="D49" s="329" t="s">
        <v>2650</v>
      </c>
      <c r="AB49" s="2424">
        <f>AB47-AB48</f>
        <v>34999354</v>
      </c>
      <c r="AC49" s="2425"/>
      <c r="AD49" s="2425"/>
      <c r="AE49" s="2425"/>
      <c r="AF49" s="2426"/>
    </row>
    <row r="50" spans="1:76" ht="12.95" customHeight="1">
      <c r="D50" s="329" t="s">
        <v>2651</v>
      </c>
      <c r="AA50" s="340"/>
      <c r="AB50" s="2412">
        <f>AB49/39097637</f>
        <v>0.8951782431250257</v>
      </c>
      <c r="AC50" s="2413"/>
      <c r="AD50" s="2413"/>
      <c r="AE50" s="2413"/>
      <c r="AF50" s="2414"/>
    </row>
    <row r="51" spans="1:76" s="342" customFormat="1" ht="12.95" customHeight="1">
      <c r="A51" s="327"/>
      <c r="B51" s="327"/>
      <c r="C51" s="327"/>
      <c r="D51" s="327"/>
      <c r="E51" s="2423" t="s">
        <v>2652</v>
      </c>
      <c r="F51" s="2423"/>
      <c r="G51" s="2423"/>
      <c r="H51" s="2423"/>
      <c r="I51" s="2423"/>
      <c r="J51" s="2423"/>
      <c r="K51" s="2423"/>
      <c r="L51" s="2423"/>
      <c r="M51" s="2423"/>
      <c r="N51" s="2423"/>
      <c r="O51" s="2423"/>
      <c r="P51" s="2423"/>
      <c r="Q51" s="2423"/>
      <c r="R51" s="2423"/>
      <c r="S51" s="2423"/>
      <c r="T51" s="2423"/>
      <c r="U51" s="2423"/>
      <c r="V51" s="2423"/>
      <c r="W51" s="2423"/>
      <c r="X51" s="2423"/>
      <c r="Y51" s="2423"/>
      <c r="Z51" s="2423"/>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23"/>
      <c r="F52" s="2423"/>
      <c r="G52" s="2423"/>
      <c r="H52" s="2423"/>
      <c r="I52" s="2423"/>
      <c r="J52" s="2423"/>
      <c r="K52" s="2423"/>
      <c r="L52" s="2423"/>
      <c r="M52" s="2423"/>
      <c r="N52" s="2423"/>
      <c r="O52" s="2423"/>
      <c r="P52" s="2423"/>
      <c r="Q52" s="2423"/>
      <c r="R52" s="2423"/>
      <c r="S52" s="2423"/>
      <c r="T52" s="2423"/>
      <c r="U52" s="2423"/>
      <c r="V52" s="2423"/>
      <c r="W52" s="2423"/>
      <c r="X52" s="2423"/>
      <c r="Y52" s="2423"/>
      <c r="Z52" s="2423"/>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2653</v>
      </c>
      <c r="AB54" s="2424">
        <f>ROUND(IF(ISERROR((AB49/AB50)),0,(AB49/AB50)),0)</f>
        <v>39097637</v>
      </c>
      <c r="AC54" s="2425"/>
      <c r="AD54" s="2425"/>
      <c r="AE54" s="2425"/>
      <c r="AF54" s="2426"/>
    </row>
    <row r="55" spans="1:76" ht="12.95" customHeight="1">
      <c r="D55" s="329" t="s">
        <v>2654</v>
      </c>
      <c r="AB55" s="2424">
        <f>(AB54/10)</f>
        <v>3909763.7</v>
      </c>
      <c r="AC55" s="2425"/>
      <c r="AD55" s="2425"/>
      <c r="AE55" s="2425"/>
      <c r="AF55" s="2426"/>
    </row>
    <row r="56" spans="1:76" ht="12.95" customHeight="1">
      <c r="D56" s="329" t="s">
        <v>2655</v>
      </c>
      <c r="AB56" s="2427">
        <f>(IF((Y41&lt;AB55),Y41,AB55))</f>
        <v>3909763.7</v>
      </c>
      <c r="AC56" s="2428"/>
      <c r="AD56" s="2428"/>
      <c r="AE56" s="2428"/>
      <c r="AF56" s="2429"/>
    </row>
    <row r="57" spans="1:76" ht="12.95" customHeight="1">
      <c r="D57" s="329" t="s">
        <v>2656</v>
      </c>
      <c r="AB57" s="2424">
        <f>ROUND((10*AB56*AB50),0)</f>
        <v>34999354</v>
      </c>
      <c r="AC57" s="2425"/>
      <c r="AD57" s="2425"/>
      <c r="AE57" s="2425"/>
      <c r="AF57" s="2426"/>
    </row>
    <row r="58" spans="1:76" ht="12.95" customHeight="1">
      <c r="D58" s="329"/>
      <c r="AB58" s="348"/>
      <c r="AC58" s="348"/>
      <c r="AD58" s="348"/>
      <c r="AE58" s="348"/>
      <c r="AF58" s="348"/>
    </row>
    <row r="59" spans="1:76" ht="12.95" customHeight="1">
      <c r="D59" s="329" t="s">
        <v>2657</v>
      </c>
      <c r="AB59" s="2408">
        <f>AB49-AB57</f>
        <v>0</v>
      </c>
      <c r="AC59" s="2408"/>
      <c r="AD59" s="2408"/>
      <c r="AE59" s="2408"/>
      <c r="AF59" s="2408"/>
    </row>
    <row r="60" spans="1:76" ht="12.95" customHeight="1">
      <c r="D60" s="329"/>
      <c r="AB60" s="348"/>
      <c r="AC60" s="348"/>
      <c r="AD60" s="348"/>
      <c r="AE60" s="348"/>
      <c r="AF60" s="348"/>
    </row>
    <row r="61" spans="1:76" s="143" customFormat="1" ht="12.95" customHeight="1" thickBot="1">
      <c r="A61" s="2430" t="str">
        <f>IF(Application!AP204="yes","Farmworker State Credit", "State Credit" )</f>
        <v>State Credit</v>
      </c>
      <c r="B61" s="2430"/>
      <c r="C61" s="2430"/>
      <c r="D61" s="2430"/>
      <c r="E61" s="2430"/>
      <c r="F61" s="2430"/>
      <c r="G61" s="2430"/>
      <c r="H61" s="2430"/>
      <c r="I61" s="2430"/>
      <c r="J61" s="2430"/>
      <c r="K61" s="2430"/>
      <c r="L61" s="2430"/>
      <c r="M61" s="2430"/>
      <c r="N61" s="2430"/>
      <c r="O61" s="2430"/>
      <c r="P61" s="2430"/>
      <c r="Q61" s="2430"/>
      <c r="R61" s="2430"/>
      <c r="S61" s="2430"/>
      <c r="T61" s="2430"/>
      <c r="U61" s="2430"/>
      <c r="V61" s="2430"/>
      <c r="W61" s="2430"/>
      <c r="X61" s="2430"/>
      <c r="Y61" s="2430"/>
      <c r="Z61" s="2430"/>
      <c r="AA61" s="2430"/>
      <c r="AB61" s="2430"/>
      <c r="AC61" s="2430"/>
      <c r="AD61" s="2430"/>
      <c r="AE61" s="2430"/>
      <c r="AF61" s="2430"/>
      <c r="AG61" s="2430"/>
      <c r="AH61" s="2430"/>
      <c r="AI61" s="2430"/>
      <c r="AJ61" s="2430"/>
      <c r="AK61" s="2430"/>
      <c r="AL61" s="2430"/>
      <c r="AM61" s="2430"/>
      <c r="AN61" s="2430"/>
      <c r="AO61" s="2430"/>
      <c r="AP61" s="2430"/>
      <c r="AQ61" s="2430"/>
      <c r="AR61" s="2430"/>
      <c r="AS61" s="2430"/>
      <c r="AT61" s="2430"/>
      <c r="AU61" s="2430"/>
      <c r="AV61" s="2430"/>
      <c r="AW61" s="2430"/>
      <c r="AX61" s="2430"/>
      <c r="AY61" s="2430"/>
      <c r="AZ61" s="2430"/>
      <c r="BA61" s="2430"/>
      <c r="BB61" s="2430"/>
      <c r="BC61" s="2430"/>
      <c r="BD61" s="2430"/>
      <c r="BE61" s="2430"/>
      <c r="BF61" s="2430"/>
      <c r="BG61" s="2430"/>
      <c r="BH61" s="2430"/>
      <c r="BI61" s="2430"/>
      <c r="BJ61" s="2430"/>
      <c r="BK61" s="2430"/>
      <c r="BL61" s="2430"/>
      <c r="BM61" s="2430"/>
      <c r="BN61" s="2430"/>
      <c r="BO61" s="2430"/>
      <c r="BP61" s="2430"/>
      <c r="BQ61" s="2430"/>
      <c r="BR61" s="2430"/>
      <c r="BS61" s="2430"/>
      <c r="BT61" s="2430"/>
      <c r="BU61" s="2430"/>
      <c r="BV61" s="2430"/>
      <c r="BW61" s="2430"/>
      <c r="BX61" s="2430"/>
    </row>
    <row r="62" spans="1:76" s="143" customFormat="1" ht="12.95" customHeight="1" thickTop="1"/>
    <row r="63" spans="1:76" ht="12.95" customHeight="1">
      <c r="A63" s="329" t="s">
        <v>1102</v>
      </c>
      <c r="C63" s="144" t="s">
        <v>2658</v>
      </c>
      <c r="Y63" s="2419" t="s">
        <v>2659</v>
      </c>
      <c r="Z63" s="2419"/>
      <c r="AA63" s="2419"/>
      <c r="AB63" s="2419"/>
      <c r="AC63" s="2419"/>
      <c r="AD63" s="2419" t="s">
        <v>2644</v>
      </c>
      <c r="AE63" s="2419"/>
      <c r="AF63" s="2419"/>
      <c r="AG63" s="2419"/>
      <c r="AH63" s="2419"/>
    </row>
    <row r="64" spans="1:76" ht="12.95" customHeight="1">
      <c r="C64" s="329"/>
      <c r="D64" s="302" t="s">
        <v>2660</v>
      </c>
      <c r="E64" s="345"/>
      <c r="F64" s="345"/>
      <c r="G64" s="345"/>
      <c r="H64" s="345"/>
      <c r="I64" s="345"/>
      <c r="J64" s="345"/>
      <c r="K64" s="345"/>
      <c r="L64" s="345"/>
      <c r="M64" s="345"/>
      <c r="N64" s="345"/>
      <c r="O64" s="345"/>
      <c r="P64" s="345"/>
      <c r="Q64" s="345"/>
      <c r="R64" s="345"/>
      <c r="S64" s="345"/>
      <c r="T64" s="345"/>
      <c r="U64" s="345"/>
      <c r="V64" s="345"/>
      <c r="W64" s="345"/>
      <c r="X64" s="345"/>
      <c r="Y64" s="2420">
        <f>IF(Application!Z204="(select)",0,((T23*T27)+Y28))</f>
        <v>75187764</v>
      </c>
      <c r="Z64" s="2421"/>
      <c r="AA64" s="2421"/>
      <c r="AB64" s="2421"/>
      <c r="AC64" s="2422"/>
      <c r="AD64" s="2420">
        <f>IF(AND(OR(Application!D210="At-Risk",Application!D210="At-Risk and Special Needs"),Application!M357="yes"),AD28+AI28,0)</f>
        <v>0</v>
      </c>
      <c r="AE64" s="2421"/>
      <c r="AF64" s="2421"/>
      <c r="AG64" s="2421"/>
      <c r="AH64" s="2422"/>
    </row>
    <row r="65" spans="1:36" ht="12.95" customHeight="1">
      <c r="C65" s="329"/>
      <c r="E65" s="936" t="s">
        <v>2661</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2662</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2663</v>
      </c>
      <c r="E67" s="346"/>
      <c r="F67" s="346"/>
      <c r="G67" s="346"/>
      <c r="H67" s="346"/>
      <c r="I67" s="346"/>
      <c r="J67" s="346"/>
      <c r="K67" s="346"/>
      <c r="L67" s="346"/>
      <c r="M67" s="346"/>
      <c r="N67" s="346"/>
      <c r="O67" s="346"/>
      <c r="P67" s="346"/>
      <c r="Q67" s="346"/>
      <c r="R67" s="346"/>
      <c r="S67" s="346"/>
      <c r="T67" s="346"/>
      <c r="U67" s="346"/>
      <c r="V67" s="346"/>
      <c r="W67" s="346"/>
      <c r="X67" s="346"/>
      <c r="Y67" s="2409">
        <f>IF(Application!AP204="yes",0.75,IF(Application!Z203="15% set-aside",0.13,IF(Application!Z203="15% set-aside with qualifying low value rehab",0.95,0.3)))</f>
        <v>0.3</v>
      </c>
      <c r="Z67" s="2409"/>
      <c r="AA67" s="2409"/>
      <c r="AB67" s="2409"/>
      <c r="AC67" s="2409"/>
      <c r="AD67" s="2409">
        <f>IF(Application!Z203="15% set-aside with qualifying low value rehab", 0.95,0.13)</f>
        <v>0.13</v>
      </c>
      <c r="AE67" s="2409"/>
      <c r="AF67" s="2409"/>
      <c r="AG67" s="2409"/>
      <c r="AH67" s="2409"/>
    </row>
    <row r="68" spans="1:36" ht="12.95" customHeight="1">
      <c r="C68" s="329"/>
      <c r="D68" s="144" t="s">
        <v>2664</v>
      </c>
      <c r="Y68" s="2410">
        <f>ROUND(Y64*Y67,0)</f>
        <v>22556329</v>
      </c>
      <c r="Z68" s="2411"/>
      <c r="AA68" s="2411"/>
      <c r="AB68" s="2411"/>
      <c r="AC68" s="2411"/>
      <c r="AD68" s="2410">
        <f>ROUND(AD64*AD67,0)</f>
        <v>0</v>
      </c>
      <c r="AE68" s="2411"/>
      <c r="AF68" s="2411"/>
      <c r="AG68" s="2411"/>
      <c r="AH68" s="2411"/>
    </row>
    <row r="69" spans="1:36" ht="12.95" customHeight="1">
      <c r="C69" s="329"/>
      <c r="E69" s="329"/>
      <c r="AB69" s="347"/>
      <c r="AC69" s="347"/>
      <c r="AD69" s="347"/>
      <c r="AE69" s="347"/>
      <c r="AF69" s="347"/>
    </row>
    <row r="70" spans="1:36" ht="12.95" customHeight="1">
      <c r="A70" s="329" t="s">
        <v>1114</v>
      </c>
      <c r="C70" s="144" t="s">
        <v>287</v>
      </c>
    </row>
    <row r="71" spans="1:36" ht="12.95" customHeight="1">
      <c r="A71" s="329"/>
      <c r="C71" s="329"/>
      <c r="D71" s="144" t="s">
        <v>2665</v>
      </c>
      <c r="AB71" s="2412"/>
      <c r="AC71" s="2413"/>
      <c r="AD71" s="2413"/>
      <c r="AE71" s="2413"/>
      <c r="AF71" s="2414"/>
    </row>
    <row r="72" spans="1:36" ht="12.95" customHeight="1">
      <c r="A72" s="329"/>
      <c r="C72" s="329"/>
      <c r="D72" s="329"/>
      <c r="E72" s="2415" t="s">
        <v>2666</v>
      </c>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365"/>
      <c r="AC72" s="365"/>
    </row>
    <row r="73" spans="1:36" ht="12.95" customHeight="1">
      <c r="A73" s="329"/>
      <c r="C73" s="329"/>
      <c r="D73" s="329"/>
      <c r="E73" s="2415"/>
      <c r="F73" s="2415"/>
      <c r="G73" s="2415"/>
      <c r="H73" s="2415"/>
      <c r="I73" s="2415"/>
      <c r="J73" s="2415"/>
      <c r="K73" s="2415"/>
      <c r="L73" s="2415"/>
      <c r="M73" s="2415"/>
      <c r="N73" s="2415"/>
      <c r="O73" s="2415"/>
      <c r="P73" s="2415"/>
      <c r="Q73" s="2415"/>
      <c r="R73" s="2415"/>
      <c r="S73" s="2415"/>
      <c r="T73" s="2415"/>
      <c r="U73" s="2415"/>
      <c r="V73" s="2415"/>
      <c r="W73" s="2415"/>
      <c r="X73" s="2415"/>
      <c r="Y73" s="2415"/>
      <c r="Z73" s="2415"/>
      <c r="AA73" s="2415"/>
      <c r="AB73" s="365"/>
      <c r="AC73" s="365"/>
    </row>
    <row r="74" spans="1:36" ht="12.95" customHeight="1">
      <c r="A74" s="329"/>
      <c r="C74" s="329"/>
      <c r="D74" s="329"/>
      <c r="E74" s="2415"/>
      <c r="F74" s="2415"/>
      <c r="G74" s="2415"/>
      <c r="H74" s="2415"/>
      <c r="I74" s="2415"/>
      <c r="J74" s="2415"/>
      <c r="K74" s="2415"/>
      <c r="L74" s="2415"/>
      <c r="M74" s="2415"/>
      <c r="N74" s="2415"/>
      <c r="O74" s="2415"/>
      <c r="P74" s="2415"/>
      <c r="Q74" s="2415"/>
      <c r="R74" s="2415"/>
      <c r="S74" s="2415"/>
      <c r="T74" s="2415"/>
      <c r="U74" s="2415"/>
      <c r="V74" s="2415"/>
      <c r="W74" s="2415"/>
      <c r="X74" s="2415"/>
      <c r="Y74" s="2415"/>
      <c r="Z74" s="2415"/>
      <c r="AA74" s="2415"/>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2667</v>
      </c>
      <c r="AB76" s="2403">
        <f>ROUND(IF(ISERROR((AB59/AB71)),0,(AB59/AB71)),0)</f>
        <v>0</v>
      </c>
      <c r="AC76" s="2403"/>
      <c r="AD76" s="2403"/>
      <c r="AE76" s="2403"/>
      <c r="AF76" s="2403"/>
    </row>
    <row r="77" spans="1:36" ht="12.95" customHeight="1">
      <c r="C77" s="329"/>
      <c r="D77" s="144" t="s">
        <v>2668</v>
      </c>
      <c r="AB77" s="2404">
        <f>IF((Y68+AD68&lt;AB76),Y68+AD68,AB76)</f>
        <v>0</v>
      </c>
      <c r="AC77" s="2405"/>
      <c r="AD77" s="2405"/>
      <c r="AE77" s="2405"/>
      <c r="AF77" s="2406"/>
    </row>
    <row r="78" spans="1:36" ht="12.95" customHeight="1">
      <c r="C78" s="329"/>
      <c r="D78" s="144" t="s">
        <v>2669</v>
      </c>
      <c r="AB78" s="2407">
        <f>AB77*AB71</f>
        <v>0</v>
      </c>
      <c r="AC78" s="2407"/>
      <c r="AD78" s="2407"/>
      <c r="AE78" s="2407"/>
      <c r="AF78" s="2407"/>
    </row>
    <row r="79" spans="1:36" ht="12.95" customHeight="1">
      <c r="C79" s="329"/>
      <c r="D79" s="329"/>
      <c r="AB79" s="350"/>
      <c r="AC79" s="350"/>
      <c r="AD79" s="350"/>
      <c r="AE79" s="350"/>
      <c r="AF79" s="350"/>
    </row>
    <row r="80" spans="1:36" ht="12.95" customHeight="1">
      <c r="D80" s="329" t="s">
        <v>2657</v>
      </c>
      <c r="AB80" s="2408">
        <f>AB49-(AB57+AB78)</f>
        <v>0</v>
      </c>
      <c r="AC80" s="2408"/>
      <c r="AD80" s="2408"/>
      <c r="AE80" s="2408"/>
      <c r="AF80" s="2408"/>
    </row>
    <row r="81" spans="1:78" ht="12.95" customHeight="1">
      <c r="F81" s="447"/>
      <c r="J81" s="447" t="str">
        <f>IF(AB80&gt;0,"FUNDING GAP MUST NOT EXCEED ZERO","")</f>
        <v/>
      </c>
    </row>
    <row r="82" spans="1:78" ht="12.95" customHeight="1">
      <c r="D82" s="448"/>
    </row>
    <row r="83" spans="1:78" ht="12.95" customHeight="1" thickBot="1">
      <c r="A83" s="2430"/>
      <c r="B83" s="2430"/>
      <c r="C83" s="2430"/>
      <c r="D83" s="2430"/>
      <c r="E83" s="2430"/>
      <c r="F83" s="2430"/>
      <c r="G83" s="2430"/>
      <c r="H83" s="2430"/>
      <c r="I83" s="2430"/>
      <c r="J83" s="2430"/>
      <c r="K83" s="2430"/>
      <c r="L83" s="2430"/>
      <c r="M83" s="2430"/>
      <c r="N83" s="2430"/>
      <c r="O83" s="2430"/>
      <c r="P83" s="2430"/>
      <c r="Q83" s="2430"/>
      <c r="R83" s="2430"/>
      <c r="S83" s="2430"/>
      <c r="T83" s="2430"/>
      <c r="U83" s="2430"/>
      <c r="V83" s="2430"/>
      <c r="W83" s="2430"/>
      <c r="X83" s="2430"/>
      <c r="Y83" s="2430"/>
      <c r="Z83" s="2430"/>
      <c r="AA83" s="2430"/>
      <c r="AB83" s="2430"/>
      <c r="AC83" s="2430"/>
      <c r="AD83" s="2430"/>
      <c r="AE83" s="2430"/>
      <c r="AF83" s="2430"/>
      <c r="AG83" s="2430"/>
      <c r="AH83" s="2430"/>
      <c r="AI83" s="2430"/>
      <c r="AJ83" s="2430"/>
      <c r="AK83" s="2430"/>
      <c r="AL83" s="2430"/>
      <c r="AM83" s="2430"/>
      <c r="AN83" s="2430"/>
      <c r="AO83" s="2430"/>
      <c r="AP83" s="2430"/>
      <c r="AQ83" s="2430"/>
      <c r="AR83" s="2430"/>
      <c r="AS83" s="2430"/>
      <c r="AT83" s="2430"/>
      <c r="AU83" s="2430"/>
      <c r="AV83" s="2430"/>
      <c r="AW83" s="2430"/>
      <c r="AX83" s="2430"/>
      <c r="AY83" s="2430"/>
      <c r="AZ83" s="2430"/>
      <c r="BA83" s="2430"/>
      <c r="BB83" s="2430"/>
      <c r="BC83" s="2430"/>
      <c r="BD83" s="2430"/>
      <c r="BE83" s="2430"/>
      <c r="BF83" s="2430"/>
      <c r="BG83" s="2430"/>
      <c r="BH83" s="2430"/>
      <c r="BI83" s="2430"/>
      <c r="BJ83" s="2430"/>
      <c r="BK83" s="2430"/>
      <c r="BL83" s="2430"/>
      <c r="BM83" s="2430"/>
      <c r="BN83" s="2430"/>
      <c r="BO83" s="2430"/>
      <c r="BP83" s="2430"/>
      <c r="BQ83" s="2430"/>
      <c r="BR83" s="2430"/>
      <c r="BS83" s="2430"/>
      <c r="BT83" s="2430"/>
      <c r="BU83" s="2430"/>
      <c r="BV83" s="2430"/>
      <c r="BW83" s="2430"/>
      <c r="BX83" s="2430"/>
    </row>
    <row r="84" spans="1:78" ht="12.95" customHeight="1" thickTop="1"/>
    <row r="85" spans="1:78" ht="12.95" customHeight="1">
      <c r="A85" s="329"/>
      <c r="C85" s="144"/>
    </row>
    <row r="86" spans="1:78" ht="12.95" customHeight="1">
      <c r="D86" s="144"/>
      <c r="AB86" s="2462"/>
      <c r="AC86" s="2462"/>
      <c r="AD86" s="2462"/>
      <c r="AE86" s="2462"/>
      <c r="AF86" s="2462"/>
    </row>
    <row r="87" spans="1:78" ht="12.95" customHeight="1" thickBot="1">
      <c r="D87" s="144"/>
      <c r="AB87" s="2461"/>
      <c r="AC87" s="2461"/>
      <c r="AD87" s="2461"/>
      <c r="AE87" s="2461"/>
      <c r="AF87" s="2461"/>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13" sqref="B13:B14"/>
    </sheetView>
  </sheetViews>
  <sheetFormatPr defaultColWidth="0"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69" t="s">
        <v>2670</v>
      </c>
      <c r="B1" s="2469"/>
      <c r="C1" s="2469"/>
      <c r="D1" s="2469"/>
      <c r="E1" s="2469"/>
      <c r="F1" s="2469"/>
      <c r="G1" s="2469"/>
      <c r="H1" s="2469"/>
      <c r="I1" s="2469"/>
      <c r="J1" s="2469"/>
      <c r="K1" s="143"/>
      <c r="L1" s="143"/>
    </row>
    <row r="2" spans="1:12">
      <c r="A2" s="148"/>
      <c r="B2" s="148"/>
      <c r="C2" s="148"/>
      <c r="D2" s="148"/>
      <c r="E2" s="148"/>
      <c r="F2" s="148"/>
      <c r="G2" s="148"/>
      <c r="H2" s="148"/>
      <c r="I2" s="148"/>
      <c r="J2" s="148"/>
    </row>
    <row r="3" spans="1:12" ht="99.75">
      <c r="A3" s="351" t="s">
        <v>2671</v>
      </c>
      <c r="B3" s="351" t="s">
        <v>2672</v>
      </c>
      <c r="C3" s="351" t="s">
        <v>2673</v>
      </c>
      <c r="D3" s="1078" t="s">
        <v>2674</v>
      </c>
      <c r="E3" s="143"/>
      <c r="F3" s="1078" t="s">
        <v>2675</v>
      </c>
      <c r="G3" s="351" t="s">
        <v>2676</v>
      </c>
      <c r="H3" s="352"/>
      <c r="I3" s="351" t="s">
        <v>2677</v>
      </c>
      <c r="J3" s="351" t="s">
        <v>2678</v>
      </c>
      <c r="K3" s="143"/>
      <c r="L3" s="227"/>
    </row>
    <row r="4" spans="1:12">
      <c r="A4" s="353" t="str">
        <f>Application!B714</f>
        <v>SRO/Studio</v>
      </c>
      <c r="B4" s="1010">
        <f>Application!G714</f>
        <v>21</v>
      </c>
      <c r="C4" s="1011" t="s">
        <v>1143</v>
      </c>
      <c r="D4" s="353">
        <f>Application!O714</f>
        <v>843</v>
      </c>
      <c r="E4" s="354"/>
      <c r="F4" s="1012">
        <v>843</v>
      </c>
      <c r="G4" s="353">
        <f>F4*B4</f>
        <v>17703</v>
      </c>
      <c r="H4" s="354"/>
      <c r="I4" s="353">
        <f>IF(F4=0," ",(F4-D4))</f>
        <v>0</v>
      </c>
      <c r="J4" s="353">
        <f>IF(F4=0," ",(I4*B4))</f>
        <v>0</v>
      </c>
      <c r="K4" s="143"/>
      <c r="L4" s="227"/>
    </row>
    <row r="5" spans="1:12">
      <c r="A5" s="353" t="str">
        <f>Application!B715</f>
        <v>1 Bedroom</v>
      </c>
      <c r="B5" s="1010">
        <f>Application!G715</f>
        <v>10</v>
      </c>
      <c r="C5" s="1011" t="s">
        <v>1143</v>
      </c>
      <c r="D5" s="353">
        <f>Application!O715</f>
        <v>899</v>
      </c>
      <c r="E5" s="354"/>
      <c r="F5" s="1012">
        <v>899</v>
      </c>
      <c r="G5" s="353">
        <f t="shared" ref="G5:G28" si="0">F5*B5</f>
        <v>8990</v>
      </c>
      <c r="H5" s="354"/>
      <c r="I5" s="353">
        <f t="shared" ref="I5:I28" si="1">IF(F5=0," ",(F5-D5))</f>
        <v>0</v>
      </c>
      <c r="J5" s="353">
        <f t="shared" ref="J5:J28" si="2">IF(F5=0," ",(I5*B5))</f>
        <v>0</v>
      </c>
      <c r="K5" s="143"/>
      <c r="L5" s="227"/>
    </row>
    <row r="6" spans="1:12">
      <c r="A6" s="353" t="str">
        <f>Application!B716</f>
        <v>2 Bedrooms</v>
      </c>
      <c r="B6" s="1010">
        <f>Application!G716</f>
        <v>9</v>
      </c>
      <c r="C6" s="1011" t="s">
        <v>1143</v>
      </c>
      <c r="D6" s="353">
        <f>Application!O716</f>
        <v>1069</v>
      </c>
      <c r="E6" s="354"/>
      <c r="F6" s="1012">
        <v>1069</v>
      </c>
      <c r="G6" s="353">
        <f t="shared" si="0"/>
        <v>9621</v>
      </c>
      <c r="H6" s="354"/>
      <c r="I6" s="353">
        <f t="shared" si="1"/>
        <v>0</v>
      </c>
      <c r="J6" s="353">
        <f t="shared" si="2"/>
        <v>0</v>
      </c>
      <c r="K6" s="143"/>
      <c r="L6" s="227"/>
    </row>
    <row r="7" spans="1:12">
      <c r="A7" s="353" t="str">
        <f>Application!B717</f>
        <v>3 Bedrooms</v>
      </c>
      <c r="B7" s="1010">
        <f>Application!G717</f>
        <v>2</v>
      </c>
      <c r="C7" s="1011" t="s">
        <v>1143</v>
      </c>
      <c r="D7" s="353">
        <f>Application!O717</f>
        <v>1229</v>
      </c>
      <c r="E7" s="354"/>
      <c r="F7" s="1012">
        <v>1229</v>
      </c>
      <c r="G7" s="353">
        <f t="shared" si="0"/>
        <v>2458</v>
      </c>
      <c r="H7" s="354"/>
      <c r="I7" s="353">
        <f t="shared" si="1"/>
        <v>0</v>
      </c>
      <c r="J7" s="353">
        <f t="shared" si="2"/>
        <v>0</v>
      </c>
      <c r="K7" s="143"/>
      <c r="L7" s="227"/>
    </row>
    <row r="8" spans="1:12">
      <c r="A8" s="353" t="str">
        <f>Application!B718</f>
        <v>SRO/Studio</v>
      </c>
      <c r="B8" s="1010">
        <f>Application!G718</f>
        <v>3</v>
      </c>
      <c r="C8" s="1011"/>
      <c r="D8" s="353">
        <f>Application!O718</f>
        <v>1433</v>
      </c>
      <c r="E8" s="354"/>
      <c r="F8" s="1012"/>
      <c r="G8" s="353">
        <f t="shared" si="0"/>
        <v>0</v>
      </c>
      <c r="H8" s="354"/>
      <c r="I8" s="353" t="str">
        <f t="shared" si="1"/>
        <v xml:space="preserve"> </v>
      </c>
      <c r="J8" s="353" t="str">
        <f t="shared" si="2"/>
        <v xml:space="preserve"> </v>
      </c>
      <c r="K8" s="143"/>
      <c r="L8" s="227"/>
    </row>
    <row r="9" spans="1:12">
      <c r="A9" s="353" t="str">
        <f>Application!B719</f>
        <v>1 Bedroom</v>
      </c>
      <c r="B9" s="1010">
        <f>Application!G719</f>
        <v>8</v>
      </c>
      <c r="C9" s="1011" t="s">
        <v>1088</v>
      </c>
      <c r="D9" s="353">
        <f>Application!O719</f>
        <v>1531</v>
      </c>
      <c r="E9" s="354"/>
      <c r="F9" s="1012">
        <v>2764</v>
      </c>
      <c r="G9" s="353">
        <f t="shared" si="0"/>
        <v>22112</v>
      </c>
      <c r="H9" s="354"/>
      <c r="I9" s="353">
        <f t="shared" si="1"/>
        <v>1233</v>
      </c>
      <c r="J9" s="353">
        <f t="shared" si="2"/>
        <v>9864</v>
      </c>
      <c r="K9" s="143"/>
      <c r="L9" s="227"/>
    </row>
    <row r="10" spans="1:12">
      <c r="A10" s="353" t="str">
        <f>Application!B720</f>
        <v>2 Bedrooms</v>
      </c>
      <c r="B10" s="1010">
        <f>Application!G720</f>
        <v>12</v>
      </c>
      <c r="C10" s="1011" t="s">
        <v>1088</v>
      </c>
      <c r="D10" s="353">
        <f>Application!O720</f>
        <v>1828</v>
      </c>
      <c r="E10" s="354"/>
      <c r="F10" s="1012">
        <v>3235</v>
      </c>
      <c r="G10" s="353">
        <f t="shared" si="0"/>
        <v>38820</v>
      </c>
      <c r="H10" s="354"/>
      <c r="I10" s="353">
        <f t="shared" si="1"/>
        <v>1407</v>
      </c>
      <c r="J10" s="353">
        <f t="shared" si="2"/>
        <v>16884</v>
      </c>
      <c r="K10" s="143"/>
      <c r="L10" s="227"/>
    </row>
    <row r="11" spans="1:12">
      <c r="A11" s="353" t="str">
        <f>Application!B721</f>
        <v>3 Bedrooms</v>
      </c>
      <c r="B11" s="1010">
        <f>Application!G721</f>
        <v>19</v>
      </c>
      <c r="C11" s="1011" t="s">
        <v>1088</v>
      </c>
      <c r="D11" s="353">
        <f>Application!O721</f>
        <v>2105</v>
      </c>
      <c r="E11" s="354"/>
      <c r="F11" s="1012">
        <v>4125</v>
      </c>
      <c r="G11" s="353">
        <f t="shared" si="0"/>
        <v>78375</v>
      </c>
      <c r="H11" s="354"/>
      <c r="I11" s="353">
        <f t="shared" si="1"/>
        <v>2020</v>
      </c>
      <c r="J11" s="353">
        <f t="shared" si="2"/>
        <v>38380</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2679</v>
      </c>
      <c r="B30" s="356"/>
      <c r="C30" s="356"/>
      <c r="D30" s="357">
        <f>Application!O739</f>
        <v>117250</v>
      </c>
      <c r="E30" s="354"/>
      <c r="F30" s="354"/>
      <c r="G30" s="357">
        <f>SUM(G4:G28)*12</f>
        <v>2136948</v>
      </c>
      <c r="H30" s="358"/>
      <c r="I30" s="356"/>
      <c r="J30" s="357">
        <f>SUM(J4:J28)*12</f>
        <v>781536</v>
      </c>
      <c r="K30" s="143"/>
      <c r="L30" s="228"/>
    </row>
    <row r="31" spans="1:12" ht="15">
      <c r="A31" s="355"/>
      <c r="B31" s="356"/>
      <c r="C31" s="356"/>
      <c r="D31" s="358"/>
      <c r="E31" s="354"/>
      <c r="F31" s="354"/>
      <c r="G31" s="358"/>
      <c r="H31" s="358"/>
      <c r="I31" s="356"/>
      <c r="J31" s="358"/>
      <c r="K31" s="143"/>
      <c r="L31" s="228"/>
    </row>
    <row r="32" spans="1:12">
      <c r="A32" s="359" t="s">
        <v>2680</v>
      </c>
      <c r="B32" s="148"/>
      <c r="C32" s="148"/>
      <c r="D32" s="148"/>
      <c r="E32" s="148"/>
      <c r="F32" s="148"/>
      <c r="G32" s="148"/>
      <c r="H32" s="148"/>
      <c r="I32" s="148"/>
      <c r="J32" s="148"/>
    </row>
    <row r="33" spans="1:10">
      <c r="A33" s="359" t="s">
        <v>2681</v>
      </c>
      <c r="B33" s="148"/>
      <c r="C33" s="148"/>
      <c r="D33" s="148"/>
      <c r="E33" s="148"/>
      <c r="F33" s="148"/>
      <c r="G33" s="148"/>
      <c r="H33" s="148"/>
      <c r="I33" s="148"/>
      <c r="J33" s="148"/>
    </row>
    <row r="34" spans="1:10">
      <c r="A34" s="148" t="s">
        <v>2682</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90" zoomScaleNormal="90" zoomScaleSheetLayoutView="100" workbookViewId="0">
      <selection activeCell="C47" sqref="C47"/>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2683</v>
      </c>
      <c r="B1" s="149"/>
    </row>
    <row r="2" spans="1:34"/>
    <row r="3" spans="1:34" ht="15.75">
      <c r="A3" s="150" t="s">
        <v>2684</v>
      </c>
      <c r="B3" s="150"/>
      <c r="C3" s="172" t="s">
        <v>2685</v>
      </c>
      <c r="D3" s="13"/>
      <c r="E3" s="173" t="s">
        <v>2686</v>
      </c>
      <c r="F3" s="142"/>
      <c r="G3" s="173" t="s">
        <v>2687</v>
      </c>
      <c r="H3" s="142"/>
      <c r="I3" s="173" t="s">
        <v>2688</v>
      </c>
      <c r="J3" s="142"/>
      <c r="K3" s="173" t="s">
        <v>2689</v>
      </c>
      <c r="L3" s="142"/>
      <c r="M3" s="173" t="s">
        <v>2690</v>
      </c>
      <c r="N3" s="142"/>
      <c r="O3" s="173" t="s">
        <v>2691</v>
      </c>
      <c r="P3" s="142"/>
      <c r="Q3" s="173" t="s">
        <v>2692</v>
      </c>
      <c r="R3" s="142"/>
      <c r="S3" s="173" t="s">
        <v>2693</v>
      </c>
      <c r="T3" s="142"/>
      <c r="U3" s="173" t="s">
        <v>2694</v>
      </c>
      <c r="V3" s="142"/>
      <c r="W3" s="173" t="s">
        <v>2695</v>
      </c>
      <c r="X3" s="142"/>
      <c r="Y3" s="173" t="s">
        <v>2696</v>
      </c>
      <c r="Z3" s="142"/>
      <c r="AA3" s="173" t="s">
        <v>2697</v>
      </c>
      <c r="AB3" s="142"/>
      <c r="AC3" s="173" t="s">
        <v>2698</v>
      </c>
      <c r="AD3" s="142"/>
      <c r="AE3" s="173" t="s">
        <v>2699</v>
      </c>
      <c r="AF3" s="142"/>
      <c r="AG3" s="173" t="s">
        <v>2700</v>
      </c>
      <c r="AH3" s="13"/>
    </row>
    <row r="4" spans="1:34" s="157" customFormat="1" ht="14.25">
      <c r="A4" s="157" t="s">
        <v>2701</v>
      </c>
      <c r="C4" s="1211">
        <v>1.0249999999999999</v>
      </c>
      <c r="E4" s="157">
        <f>Application!Y785</f>
        <v>1407000</v>
      </c>
      <c r="G4" s="157">
        <f>E4*$C$4</f>
        <v>1442174.9999999998</v>
      </c>
      <c r="I4" s="157">
        <f>G4*$C$4</f>
        <v>1478229.3749999995</v>
      </c>
      <c r="K4" s="157">
        <f>I4*$C$4</f>
        <v>1515185.1093749993</v>
      </c>
      <c r="M4" s="157">
        <f>K4*$C$4</f>
        <v>1553064.7371093743</v>
      </c>
      <c r="O4" s="157">
        <f>M4*$C$4</f>
        <v>1591891.3555371084</v>
      </c>
      <c r="Q4" s="157">
        <f>O4*$C$4</f>
        <v>1631688.6394255359</v>
      </c>
      <c r="S4" s="157">
        <f>Q4*$C$4</f>
        <v>1672480.8554111742</v>
      </c>
      <c r="U4" s="157">
        <f>S4*$C$4</f>
        <v>1714292.8767964535</v>
      </c>
      <c r="W4" s="157">
        <f>U4*$C$4</f>
        <v>1757150.1987163646</v>
      </c>
      <c r="Y4" s="157">
        <f>W4*$C$4</f>
        <v>1801078.9536842736</v>
      </c>
      <c r="AA4" s="157">
        <f>Y4*$C$4</f>
        <v>1846105.9275263804</v>
      </c>
      <c r="AC4" s="157">
        <f>AA4*$C$4</f>
        <v>1892258.5757145397</v>
      </c>
      <c r="AE4" s="157">
        <f>AC4*$C$4</f>
        <v>1939565.040107403</v>
      </c>
      <c r="AG4" s="157">
        <f>AE4*$C$4</f>
        <v>1988054.1661100879</v>
      </c>
    </row>
    <row r="5" spans="1:34" s="148" customFormat="1" ht="14.25">
      <c r="B5" s="148" t="s">
        <v>2095</v>
      </c>
      <c r="C5" s="1212">
        <v>7.4999999999999997E-2</v>
      </c>
      <c r="E5" s="159">
        <f>-E4*$C$5</f>
        <v>-105525</v>
      </c>
      <c r="F5" s="159"/>
      <c r="G5" s="159">
        <f>-G4*$C$5</f>
        <v>-108163.12499999999</v>
      </c>
      <c r="H5" s="159"/>
      <c r="I5" s="159">
        <f>-I4*$C$5</f>
        <v>-110867.20312499996</v>
      </c>
      <c r="J5" s="159"/>
      <c r="K5" s="159">
        <f>-K4*$C$5</f>
        <v>-113638.88320312495</v>
      </c>
      <c r="L5" s="159"/>
      <c r="M5" s="159">
        <f>-M4*$C$5</f>
        <v>-116479.85528320307</v>
      </c>
      <c r="N5" s="159"/>
      <c r="O5" s="159">
        <f>-O4*$C$5</f>
        <v>-119391.85166528312</v>
      </c>
      <c r="P5" s="159"/>
      <c r="Q5" s="159">
        <f>-Q4*$C$5</f>
        <v>-122376.64795691519</v>
      </c>
      <c r="R5" s="159"/>
      <c r="S5" s="159">
        <f>-S4*$C$5</f>
        <v>-125436.06415583806</v>
      </c>
      <c r="T5" s="159"/>
      <c r="U5" s="159">
        <f>-U4*$C$5</f>
        <v>-128571.96575973401</v>
      </c>
      <c r="V5" s="159"/>
      <c r="W5" s="159">
        <f>-W4*$C$5</f>
        <v>-131786.26490372734</v>
      </c>
      <c r="X5" s="159"/>
      <c r="Y5" s="159">
        <f>-Y4*$C$5</f>
        <v>-135080.92152632051</v>
      </c>
      <c r="Z5" s="159"/>
      <c r="AA5" s="159">
        <f>-AA4*$C$5</f>
        <v>-138457.94456447853</v>
      </c>
      <c r="AB5" s="159"/>
      <c r="AC5" s="159">
        <f>-AC4*$C$5</f>
        <v>-141919.39317859049</v>
      </c>
      <c r="AD5" s="159"/>
      <c r="AE5" s="159">
        <f>-AE4*$C$5</f>
        <v>-145467.37800805521</v>
      </c>
      <c r="AF5" s="159"/>
      <c r="AG5" s="159">
        <f>-AG4*$C$5</f>
        <v>-149104.06245825658</v>
      </c>
    </row>
    <row r="6" spans="1:34" s="148" customFormat="1" ht="14.25">
      <c r="A6" s="148" t="s">
        <v>2702</v>
      </c>
      <c r="C6" s="1211">
        <v>1.0249999999999999</v>
      </c>
      <c r="E6" s="160">
        <f>Application!Z793</f>
        <v>781536</v>
      </c>
      <c r="F6" s="160"/>
      <c r="G6" s="160">
        <f>E6*$C$6</f>
        <v>801074.39999999991</v>
      </c>
      <c r="H6" s="160"/>
      <c r="I6" s="160">
        <f>G6*$C$6</f>
        <v>821101.25999999978</v>
      </c>
      <c r="J6" s="160"/>
      <c r="K6" s="160">
        <f>I6*$C$6</f>
        <v>841628.7914999997</v>
      </c>
      <c r="L6" s="160"/>
      <c r="M6" s="160">
        <f>K6*$C$6</f>
        <v>862669.51128749957</v>
      </c>
      <c r="N6" s="160"/>
      <c r="O6" s="160">
        <f>M6*$C$6</f>
        <v>884236.24906968698</v>
      </c>
      <c r="P6" s="160"/>
      <c r="Q6" s="160">
        <f>O6*$C$6</f>
        <v>906342.15529642906</v>
      </c>
      <c r="R6" s="160"/>
      <c r="S6" s="160">
        <f>Q6*$C$6</f>
        <v>929000.70917883969</v>
      </c>
      <c r="T6" s="160"/>
      <c r="U6" s="160">
        <f>S6*$C$6</f>
        <v>952225.72690831055</v>
      </c>
      <c r="V6" s="160"/>
      <c r="W6" s="160">
        <f>U6*$C$6</f>
        <v>976031.37008101819</v>
      </c>
      <c r="X6" s="160"/>
      <c r="Y6" s="160">
        <f>W6*$C$6</f>
        <v>1000432.1543330436</v>
      </c>
      <c r="Z6" s="160"/>
      <c r="AA6" s="160">
        <f>Y6*$C$6</f>
        <v>1025442.9581913697</v>
      </c>
      <c r="AB6" s="160"/>
      <c r="AC6" s="160">
        <f>AA6*$C$6</f>
        <v>1051079.0321461537</v>
      </c>
      <c r="AD6" s="160"/>
      <c r="AE6" s="160">
        <f>AC6*$C$6</f>
        <v>1077356.0079498074</v>
      </c>
      <c r="AF6" s="160"/>
      <c r="AG6" s="160">
        <f>AE6*$C$6</f>
        <v>1104289.9081485525</v>
      </c>
    </row>
    <row r="7" spans="1:34" s="148" customFormat="1" ht="14.25">
      <c r="B7" s="148" t="s">
        <v>2095</v>
      </c>
      <c r="C7" s="1212">
        <v>7.4999999999999997E-2</v>
      </c>
      <c r="E7" s="159">
        <f>-E6*$C$7</f>
        <v>-58615.199999999997</v>
      </c>
      <c r="F7" s="159"/>
      <c r="G7" s="159">
        <f>-G6*$C$7</f>
        <v>-60080.579999999987</v>
      </c>
      <c r="H7" s="159"/>
      <c r="I7" s="159">
        <f>-I6*$C$7</f>
        <v>-61582.594499999977</v>
      </c>
      <c r="J7" s="159"/>
      <c r="K7" s="159">
        <f>-K6*$C$7</f>
        <v>-63122.159362499973</v>
      </c>
      <c r="L7" s="159"/>
      <c r="M7" s="159">
        <f>-M6*$C$7</f>
        <v>-64700.213346562465</v>
      </c>
      <c r="N7" s="159"/>
      <c r="O7" s="159">
        <f>-O6*$C$7</f>
        <v>-66317.718680226521</v>
      </c>
      <c r="P7" s="159"/>
      <c r="Q7" s="159">
        <f>-Q6*$C$7</f>
        <v>-67975.661647232177</v>
      </c>
      <c r="R7" s="159"/>
      <c r="S7" s="159">
        <f>-S6*$C$7</f>
        <v>-69675.053188412974</v>
      </c>
      <c r="T7" s="159"/>
      <c r="U7" s="159">
        <f>-U6*$C$7</f>
        <v>-71416.929518123288</v>
      </c>
      <c r="V7" s="159"/>
      <c r="W7" s="159">
        <f>-W6*$C$7</f>
        <v>-73202.352756076361</v>
      </c>
      <c r="X7" s="159"/>
      <c r="Y7" s="159">
        <f>-Y6*$C$7</f>
        <v>-75032.411574978265</v>
      </c>
      <c r="Z7" s="159"/>
      <c r="AA7" s="159">
        <f>-AA6*$C$7</f>
        <v>-76908.221864352716</v>
      </c>
      <c r="AB7" s="159"/>
      <c r="AC7" s="159">
        <f>-AC6*$C$7</f>
        <v>-78830.927410961522</v>
      </c>
      <c r="AD7" s="159"/>
      <c r="AE7" s="159">
        <f>-AE6*$C$7</f>
        <v>-80801.700596235562</v>
      </c>
      <c r="AF7" s="159"/>
      <c r="AG7" s="159">
        <f>-AG6*$C$7</f>
        <v>-82821.743111141433</v>
      </c>
    </row>
    <row r="8" spans="1:34" s="148" customFormat="1" ht="14.25">
      <c r="A8" s="148" t="s">
        <v>214</v>
      </c>
      <c r="C8" s="1211">
        <v>1.0249999999999999</v>
      </c>
      <c r="E8" s="160">
        <f>Application!Z801</f>
        <v>11700</v>
      </c>
      <c r="F8" s="160"/>
      <c r="G8" s="160">
        <f>E8*$C$8</f>
        <v>11992.499999999998</v>
      </c>
      <c r="H8" s="160"/>
      <c r="I8" s="160">
        <f>G8*$C$8</f>
        <v>12292.312499999996</v>
      </c>
      <c r="J8" s="160"/>
      <c r="K8" s="160">
        <f>I8*$C$8</f>
        <v>12599.620312499996</v>
      </c>
      <c r="L8" s="160"/>
      <c r="M8" s="160">
        <f>K8*$C$8</f>
        <v>12914.610820312495</v>
      </c>
      <c r="N8" s="160"/>
      <c r="O8" s="160">
        <f>M8*$C$8</f>
        <v>13237.476090820306</v>
      </c>
      <c r="P8" s="160"/>
      <c r="Q8" s="160">
        <f>O8*$C$8</f>
        <v>13568.412993090813</v>
      </c>
      <c r="R8" s="160"/>
      <c r="S8" s="160">
        <f>Q8*$C$8</f>
        <v>13907.623317918082</v>
      </c>
      <c r="T8" s="160"/>
      <c r="U8" s="160">
        <f>S8*$C$8</f>
        <v>14255.313900866033</v>
      </c>
      <c r="V8" s="160"/>
      <c r="W8" s="160">
        <f>U8*$C$8</f>
        <v>14611.696748387682</v>
      </c>
      <c r="X8" s="160"/>
      <c r="Y8" s="160">
        <f>W8*$C$8</f>
        <v>14976.989167097372</v>
      </c>
      <c r="Z8" s="160"/>
      <c r="AA8" s="160">
        <f>Y8*$C$8</f>
        <v>15351.413896274806</v>
      </c>
      <c r="AB8" s="160"/>
      <c r="AC8" s="160">
        <f>AA8*$C$8</f>
        <v>15735.199243681674</v>
      </c>
      <c r="AD8" s="160"/>
      <c r="AE8" s="160">
        <f>AC8*$C$8</f>
        <v>16128.579224773715</v>
      </c>
      <c r="AF8" s="160"/>
      <c r="AG8" s="160">
        <f>AE8*$C$8</f>
        <v>16531.793705393058</v>
      </c>
    </row>
    <row r="9" spans="1:34" s="148" customFormat="1" ht="14.25">
      <c r="B9" s="148" t="s">
        <v>2095</v>
      </c>
      <c r="C9" s="1212">
        <v>7.4999999999999997E-2</v>
      </c>
      <c r="E9" s="159">
        <f>-E8*$C$9</f>
        <v>-877.5</v>
      </c>
      <c r="F9" s="159"/>
      <c r="G9" s="159">
        <f>-G8*$C$9</f>
        <v>-899.43749999999989</v>
      </c>
      <c r="H9" s="159"/>
      <c r="I9" s="159">
        <f>-I8*$C$9</f>
        <v>-921.92343749999964</v>
      </c>
      <c r="J9" s="159"/>
      <c r="K9" s="159">
        <f>-K8*$C$9</f>
        <v>-944.97152343749963</v>
      </c>
      <c r="L9" s="159"/>
      <c r="M9" s="159">
        <f>-M8*$C$9</f>
        <v>-968.59581152343708</v>
      </c>
      <c r="N9" s="159"/>
      <c r="O9" s="159">
        <f>-O8*$C$9</f>
        <v>-992.81070681152289</v>
      </c>
      <c r="P9" s="159"/>
      <c r="Q9" s="159">
        <f>-Q8*$C$9</f>
        <v>-1017.6309744818109</v>
      </c>
      <c r="R9" s="159"/>
      <c r="S9" s="159">
        <f>-S8*$C$9</f>
        <v>-1043.0717488438561</v>
      </c>
      <c r="T9" s="159"/>
      <c r="U9" s="159">
        <f>-U8*$C$9</f>
        <v>-1069.1485425649523</v>
      </c>
      <c r="V9" s="159"/>
      <c r="W9" s="159">
        <f>-W8*$C$9</f>
        <v>-1095.8772561290762</v>
      </c>
      <c r="X9" s="159"/>
      <c r="Y9" s="159">
        <f>-Y8*$C$9</f>
        <v>-1123.2741875323029</v>
      </c>
      <c r="Z9" s="159"/>
      <c r="AA9" s="159">
        <f>-AA8*$C$9</f>
        <v>-1151.3560422206103</v>
      </c>
      <c r="AB9" s="159"/>
      <c r="AC9" s="159">
        <f>-AC8*$C$9</f>
        <v>-1180.1399432761255</v>
      </c>
      <c r="AD9" s="159"/>
      <c r="AE9" s="159">
        <f>-AE8*$C$9</f>
        <v>-1209.6434418580286</v>
      </c>
      <c r="AF9" s="159"/>
      <c r="AG9" s="159">
        <f>-AG8*$C$9</f>
        <v>-1239.8845279044792</v>
      </c>
    </row>
    <row r="10" spans="1:34" s="148" customFormat="1" ht="14.25">
      <c r="A10" s="1075" t="s">
        <v>2703</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5">
      <c r="A11" s="161" t="s">
        <v>2704</v>
      </c>
      <c r="C11" s="153"/>
      <c r="E11" s="161">
        <f>SUM(E4:E10)</f>
        <v>2035218.3</v>
      </c>
      <c r="G11" s="161">
        <f>SUM(G4:G10)</f>
        <v>2086098.7574999994</v>
      </c>
      <c r="I11" s="161">
        <f>SUM(I4:I10)</f>
        <v>2138251.2264374993</v>
      </c>
      <c r="K11" s="161">
        <f>SUM(K4:K10)</f>
        <v>2191707.5070984364</v>
      </c>
      <c r="M11" s="161">
        <f>SUM(M4:M10)</f>
        <v>2246500.1947758975</v>
      </c>
      <c r="O11" s="161">
        <f>SUM(O4:O10)</f>
        <v>2302662.6996452948</v>
      </c>
      <c r="Q11" s="161">
        <f>SUM(Q4:Q10)</f>
        <v>2360229.2671364262</v>
      </c>
      <c r="S11" s="161">
        <f>SUM(S4:S10)</f>
        <v>2419234.9988148375</v>
      </c>
      <c r="U11" s="161">
        <f>SUM(U4:U10)</f>
        <v>2479715.873785208</v>
      </c>
      <c r="W11" s="161">
        <f>SUM(W4:W10)</f>
        <v>2541708.7706298376</v>
      </c>
      <c r="Y11" s="161">
        <f>SUM(Y4:Y10)</f>
        <v>2605251.4898955836</v>
      </c>
      <c r="AA11" s="161">
        <f>SUM(AA4:AA10)</f>
        <v>2670382.7771429727</v>
      </c>
      <c r="AC11" s="161">
        <f>SUM(AC4:AC10)</f>
        <v>2737142.346571547</v>
      </c>
      <c r="AE11" s="161">
        <f>SUM(AE4:AE10)</f>
        <v>2805570.9052358349</v>
      </c>
      <c r="AG11" s="161">
        <f>SUM(AG4:AG10)</f>
        <v>2875710.1778667313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2705</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2706</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2707</v>
      </c>
      <c r="C15" s="890"/>
      <c r="E15" s="157">
        <f>Application!W831</f>
        <v>78427</v>
      </c>
      <c r="G15" s="157">
        <f>E15*$C$14</f>
        <v>81171.944999999992</v>
      </c>
      <c r="I15" s="157">
        <f>G15*$C$14</f>
        <v>84012.963074999992</v>
      </c>
      <c r="K15" s="157">
        <f>I15*$C$14</f>
        <v>86953.41678262499</v>
      </c>
      <c r="M15" s="157">
        <f>K15*$C$14</f>
        <v>89996.786370016853</v>
      </c>
      <c r="O15" s="157">
        <f>M15*$C$14</f>
        <v>93146.673892967432</v>
      </c>
      <c r="Q15" s="157">
        <f>O15*$C$14</f>
        <v>96406.807479221286</v>
      </c>
      <c r="S15" s="157">
        <f>Q15*$C$14</f>
        <v>99781.045740994028</v>
      </c>
      <c r="U15" s="157">
        <f>S15*$C$14</f>
        <v>103273.38234192881</v>
      </c>
      <c r="W15" s="157">
        <f>U15*$C$14</f>
        <v>106887.95072389631</v>
      </c>
      <c r="Y15" s="157">
        <f>W15*$C$14</f>
        <v>110629.02899923267</v>
      </c>
      <c r="AA15" s="157">
        <f>Y15*$C$14</f>
        <v>114501.04501420581</v>
      </c>
      <c r="AC15" s="157">
        <f>AA15*$C$14</f>
        <v>118508.58158970301</v>
      </c>
      <c r="AE15" s="157">
        <f>AC15*$C$14</f>
        <v>122656.38194534261</v>
      </c>
      <c r="AG15" s="157">
        <f>AE15*$C$14</f>
        <v>126949.35531342959</v>
      </c>
    </row>
    <row r="16" spans="1:34" s="148" customFormat="1" ht="14.25">
      <c r="A16" s="148" t="s">
        <v>1644</v>
      </c>
      <c r="C16" s="882"/>
      <c r="E16" s="160">
        <f>Application!W833</f>
        <v>61200</v>
      </c>
      <c r="F16" s="160"/>
      <c r="G16" s="160">
        <f t="shared" ref="G16:AG21" si="0">E16*$C$14</f>
        <v>63341.999999999993</v>
      </c>
      <c r="H16" s="160"/>
      <c r="I16" s="160">
        <f t="shared" si="0"/>
        <v>65558.969999999987</v>
      </c>
      <c r="J16" s="160"/>
      <c r="K16" s="160">
        <f t="shared" si="0"/>
        <v>67853.533949999983</v>
      </c>
      <c r="L16" s="160"/>
      <c r="M16" s="160">
        <f t="shared" si="0"/>
        <v>70228.407638249977</v>
      </c>
      <c r="N16" s="160"/>
      <c r="O16" s="160">
        <f t="shared" si="0"/>
        <v>72686.401905588718</v>
      </c>
      <c r="P16" s="160"/>
      <c r="Q16" s="160">
        <f t="shared" si="0"/>
        <v>75230.425972284313</v>
      </c>
      <c r="R16" s="160"/>
      <c r="S16" s="160">
        <f t="shared" si="0"/>
        <v>77863.490881314254</v>
      </c>
      <c r="T16" s="160"/>
      <c r="U16" s="160">
        <f t="shared" si="0"/>
        <v>80588.713062160241</v>
      </c>
      <c r="V16" s="160"/>
      <c r="W16" s="160">
        <f t="shared" si="0"/>
        <v>83409.318019335842</v>
      </c>
      <c r="X16" s="160"/>
      <c r="Y16" s="160">
        <f t="shared" si="0"/>
        <v>86328.644150012595</v>
      </c>
      <c r="Z16" s="160"/>
      <c r="AA16" s="160">
        <f t="shared" si="0"/>
        <v>89350.146695263029</v>
      </c>
      <c r="AB16" s="160"/>
      <c r="AC16" s="160">
        <f t="shared" si="0"/>
        <v>92477.401829597235</v>
      </c>
      <c r="AD16" s="160"/>
      <c r="AE16" s="160">
        <f t="shared" si="0"/>
        <v>95714.110893633129</v>
      </c>
      <c r="AF16" s="160"/>
      <c r="AG16" s="160">
        <f t="shared" si="0"/>
        <v>99064.104774910287</v>
      </c>
    </row>
    <row r="17" spans="1:33" s="148" customFormat="1" ht="14.25">
      <c r="A17" s="148" t="s">
        <v>229</v>
      </c>
      <c r="C17" s="882"/>
      <c r="E17" s="160">
        <f>Application!W839</f>
        <v>131852</v>
      </c>
      <c r="F17" s="160"/>
      <c r="G17" s="160">
        <f t="shared" si="0"/>
        <v>136466.81999999998</v>
      </c>
      <c r="H17" s="160"/>
      <c r="I17" s="160">
        <f t="shared" si="0"/>
        <v>141243.15869999997</v>
      </c>
      <c r="J17" s="160"/>
      <c r="K17" s="160">
        <f t="shared" si="0"/>
        <v>146186.66925449995</v>
      </c>
      <c r="L17" s="160"/>
      <c r="M17" s="160">
        <f t="shared" si="0"/>
        <v>151303.20267840743</v>
      </c>
      <c r="N17" s="160"/>
      <c r="O17" s="160">
        <f t="shared" si="0"/>
        <v>156598.81477215167</v>
      </c>
      <c r="P17" s="160"/>
      <c r="Q17" s="160">
        <f t="shared" si="0"/>
        <v>162079.77328917696</v>
      </c>
      <c r="R17" s="160"/>
      <c r="S17" s="160">
        <f t="shared" si="0"/>
        <v>167752.56535429813</v>
      </c>
      <c r="T17" s="160"/>
      <c r="U17" s="160">
        <f t="shared" si="0"/>
        <v>173623.90514169855</v>
      </c>
      <c r="V17" s="160"/>
      <c r="W17" s="160">
        <f t="shared" si="0"/>
        <v>179700.74182165798</v>
      </c>
      <c r="X17" s="160"/>
      <c r="Y17" s="160">
        <f t="shared" si="0"/>
        <v>185990.26778541598</v>
      </c>
      <c r="Z17" s="160"/>
      <c r="AA17" s="160">
        <f t="shared" si="0"/>
        <v>192499.92715790553</v>
      </c>
      <c r="AB17" s="160"/>
      <c r="AC17" s="160">
        <f t="shared" si="0"/>
        <v>199237.42460843222</v>
      </c>
      <c r="AD17" s="160"/>
      <c r="AE17" s="160">
        <f t="shared" si="0"/>
        <v>206210.73446972732</v>
      </c>
      <c r="AF17" s="160"/>
      <c r="AG17" s="160">
        <f t="shared" si="0"/>
        <v>213428.11017616777</v>
      </c>
    </row>
    <row r="18" spans="1:33" s="148" customFormat="1" ht="14.25">
      <c r="A18" s="148" t="s">
        <v>2708</v>
      </c>
      <c r="C18" s="882"/>
      <c r="E18" s="160">
        <f>Application!W846</f>
        <v>170800</v>
      </c>
      <c r="F18" s="160"/>
      <c r="G18" s="160">
        <f t="shared" si="0"/>
        <v>176778</v>
      </c>
      <c r="H18" s="160"/>
      <c r="I18" s="160">
        <f t="shared" si="0"/>
        <v>182965.22999999998</v>
      </c>
      <c r="J18" s="160"/>
      <c r="K18" s="160">
        <f t="shared" si="0"/>
        <v>189369.01304999998</v>
      </c>
      <c r="L18" s="160"/>
      <c r="M18" s="160">
        <f t="shared" si="0"/>
        <v>195996.92850674997</v>
      </c>
      <c r="N18" s="160"/>
      <c r="O18" s="160">
        <f t="shared" si="0"/>
        <v>202856.82100448621</v>
      </c>
      <c r="P18" s="160"/>
      <c r="Q18" s="160">
        <f t="shared" si="0"/>
        <v>209956.80973964321</v>
      </c>
      <c r="R18" s="160"/>
      <c r="S18" s="160">
        <f t="shared" si="0"/>
        <v>217305.29808053072</v>
      </c>
      <c r="T18" s="160"/>
      <c r="U18" s="160">
        <f t="shared" si="0"/>
        <v>224910.98351334926</v>
      </c>
      <c r="V18" s="160"/>
      <c r="W18" s="160">
        <f t="shared" si="0"/>
        <v>232782.86793631647</v>
      </c>
      <c r="X18" s="160"/>
      <c r="Y18" s="160">
        <f t="shared" si="0"/>
        <v>240930.26831408753</v>
      </c>
      <c r="Z18" s="160"/>
      <c r="AA18" s="160">
        <f t="shared" si="0"/>
        <v>249362.82770508056</v>
      </c>
      <c r="AB18" s="160"/>
      <c r="AC18" s="160">
        <f t="shared" si="0"/>
        <v>258090.52667475835</v>
      </c>
      <c r="AD18" s="160"/>
      <c r="AE18" s="160">
        <f t="shared" si="0"/>
        <v>267123.69510837487</v>
      </c>
      <c r="AF18" s="160"/>
      <c r="AG18" s="160">
        <f t="shared" si="0"/>
        <v>276473.02443716797</v>
      </c>
    </row>
    <row r="19" spans="1:33" s="148" customFormat="1" ht="14.25">
      <c r="A19" s="148" t="s">
        <v>1855</v>
      </c>
      <c r="C19" s="882"/>
      <c r="E19" s="160">
        <f>Application!W847</f>
        <v>75083</v>
      </c>
      <c r="F19" s="160"/>
      <c r="G19" s="160">
        <f t="shared" si="0"/>
        <v>77710.904999999999</v>
      </c>
      <c r="H19" s="160"/>
      <c r="I19" s="160">
        <f t="shared" si="0"/>
        <v>80430.786674999996</v>
      </c>
      <c r="J19" s="160"/>
      <c r="K19" s="160">
        <f t="shared" si="0"/>
        <v>83245.864208624989</v>
      </c>
      <c r="L19" s="160"/>
      <c r="M19" s="160">
        <f t="shared" si="0"/>
        <v>86159.469455926854</v>
      </c>
      <c r="N19" s="160"/>
      <c r="O19" s="160">
        <f t="shared" si="0"/>
        <v>89175.050886884288</v>
      </c>
      <c r="P19" s="160"/>
      <c r="Q19" s="160">
        <f t="shared" si="0"/>
        <v>92296.177667925236</v>
      </c>
      <c r="R19" s="160"/>
      <c r="S19" s="160">
        <f t="shared" si="0"/>
        <v>95526.543886302607</v>
      </c>
      <c r="T19" s="160"/>
      <c r="U19" s="160">
        <f t="shared" si="0"/>
        <v>98869.972922323184</v>
      </c>
      <c r="V19" s="160"/>
      <c r="W19" s="160">
        <f t="shared" si="0"/>
        <v>102330.42197460448</v>
      </c>
      <c r="X19" s="160"/>
      <c r="Y19" s="160">
        <f t="shared" si="0"/>
        <v>105911.98674371564</v>
      </c>
      <c r="Z19" s="160"/>
      <c r="AA19" s="160">
        <f t="shared" si="0"/>
        <v>109618.90627974567</v>
      </c>
      <c r="AB19" s="160"/>
      <c r="AC19" s="160">
        <f t="shared" si="0"/>
        <v>113455.56799953677</v>
      </c>
      <c r="AD19" s="160"/>
      <c r="AE19" s="160">
        <f t="shared" si="0"/>
        <v>117426.51287952055</v>
      </c>
      <c r="AF19" s="160"/>
      <c r="AG19" s="160">
        <f t="shared" si="0"/>
        <v>121536.44083030376</v>
      </c>
    </row>
    <row r="20" spans="1:33" s="148" customFormat="1" ht="14.25">
      <c r="A20" s="148" t="s">
        <v>231</v>
      </c>
      <c r="C20" s="882"/>
      <c r="E20" s="160">
        <f>Application!W856</f>
        <v>238954</v>
      </c>
      <c r="F20" s="160"/>
      <c r="G20" s="160">
        <f t="shared" si="0"/>
        <v>247317.38999999998</v>
      </c>
      <c r="H20" s="160"/>
      <c r="I20" s="160">
        <f t="shared" si="0"/>
        <v>255973.49864999996</v>
      </c>
      <c r="J20" s="160"/>
      <c r="K20" s="160">
        <f t="shared" si="0"/>
        <v>264932.57110274996</v>
      </c>
      <c r="L20" s="160"/>
      <c r="M20" s="160">
        <f t="shared" si="0"/>
        <v>274205.21109134617</v>
      </c>
      <c r="N20" s="160"/>
      <c r="O20" s="160">
        <f t="shared" si="0"/>
        <v>283802.39347954327</v>
      </c>
      <c r="P20" s="160"/>
      <c r="Q20" s="160">
        <f t="shared" si="0"/>
        <v>293735.47725132725</v>
      </c>
      <c r="R20" s="160"/>
      <c r="S20" s="160">
        <f t="shared" si="0"/>
        <v>304016.21895512368</v>
      </c>
      <c r="T20" s="160"/>
      <c r="U20" s="160">
        <f t="shared" si="0"/>
        <v>314656.78661855299</v>
      </c>
      <c r="V20" s="160"/>
      <c r="W20" s="160">
        <f t="shared" si="0"/>
        <v>325669.77415020234</v>
      </c>
      <c r="X20" s="160"/>
      <c r="Y20" s="160">
        <f t="shared" si="0"/>
        <v>337068.21624545939</v>
      </c>
      <c r="Z20" s="160"/>
      <c r="AA20" s="160">
        <f t="shared" si="0"/>
        <v>348865.60381405044</v>
      </c>
      <c r="AB20" s="160"/>
      <c r="AC20" s="160">
        <f t="shared" si="0"/>
        <v>361075.89994754217</v>
      </c>
      <c r="AD20" s="160"/>
      <c r="AE20" s="160">
        <f t="shared" si="0"/>
        <v>373713.55644570611</v>
      </c>
      <c r="AF20" s="160"/>
      <c r="AG20" s="160">
        <f t="shared" si="0"/>
        <v>386793.53092130582</v>
      </c>
    </row>
    <row r="21" spans="1:33" s="148" customFormat="1" ht="14.25">
      <c r="A21" s="164" t="s">
        <v>2709</v>
      </c>
      <c r="B21" s="164"/>
      <c r="C21" s="882"/>
      <c r="E21" s="170">
        <f>Application!W863</f>
        <v>7000</v>
      </c>
      <c r="F21" s="160"/>
      <c r="G21" s="170">
        <f t="shared" si="0"/>
        <v>7244.9999999999991</v>
      </c>
      <c r="H21" s="160"/>
      <c r="I21" s="170">
        <f t="shared" si="0"/>
        <v>7498.5749999999989</v>
      </c>
      <c r="J21" s="160"/>
      <c r="K21" s="170">
        <f t="shared" si="0"/>
        <v>7761.0251249999983</v>
      </c>
      <c r="L21" s="160"/>
      <c r="M21" s="170">
        <f t="shared" si="0"/>
        <v>8032.6610043749979</v>
      </c>
      <c r="N21" s="160"/>
      <c r="O21" s="170">
        <f t="shared" si="0"/>
        <v>8313.8041395281216</v>
      </c>
      <c r="P21" s="160"/>
      <c r="Q21" s="170">
        <f t="shared" si="0"/>
        <v>8604.7872844116046</v>
      </c>
      <c r="R21" s="160"/>
      <c r="S21" s="170">
        <f t="shared" si="0"/>
        <v>8905.9548393660098</v>
      </c>
      <c r="T21" s="160"/>
      <c r="U21" s="170">
        <f t="shared" si="0"/>
        <v>9217.6632587438198</v>
      </c>
      <c r="V21" s="160"/>
      <c r="W21" s="170">
        <f t="shared" si="0"/>
        <v>9540.2814727998521</v>
      </c>
      <c r="X21" s="160"/>
      <c r="Y21" s="170">
        <f t="shared" si="0"/>
        <v>9874.1913243478466</v>
      </c>
      <c r="Z21" s="160"/>
      <c r="AA21" s="170">
        <f t="shared" si="0"/>
        <v>10219.78802070002</v>
      </c>
      <c r="AB21" s="160"/>
      <c r="AC21" s="170">
        <f t="shared" si="0"/>
        <v>10577.480601424521</v>
      </c>
      <c r="AD21" s="160"/>
      <c r="AE21" s="170">
        <f t="shared" si="0"/>
        <v>10947.692422474378</v>
      </c>
      <c r="AF21" s="160"/>
      <c r="AG21" s="170">
        <f t="shared" si="0"/>
        <v>11330.861657260981</v>
      </c>
    </row>
    <row r="22" spans="1:33" s="161" customFormat="1" ht="15">
      <c r="A22" s="161" t="s">
        <v>2710</v>
      </c>
      <c r="C22" s="882"/>
      <c r="E22" s="161">
        <f>SUM(E15:E21)</f>
        <v>763316</v>
      </c>
      <c r="G22" s="161">
        <f>SUM(G15:G21)</f>
        <v>790032.05999999994</v>
      </c>
      <c r="I22" s="161">
        <f>SUM(I15:I21)</f>
        <v>817683.18209999986</v>
      </c>
      <c r="K22" s="161">
        <f>SUM(K15:K21)</f>
        <v>846302.09347349999</v>
      </c>
      <c r="M22" s="161">
        <f>SUM(M15:M21)</f>
        <v>875922.66674507223</v>
      </c>
      <c r="O22" s="161">
        <f>SUM(O15:O21)</f>
        <v>906579.96008114971</v>
      </c>
      <c r="Q22" s="161">
        <f>SUM(Q15:Q21)</f>
        <v>938310.25868398987</v>
      </c>
      <c r="S22" s="161">
        <f>SUM(S15:S21)</f>
        <v>971151.11773792945</v>
      </c>
      <c r="U22" s="161">
        <f>SUM(U15:U21)</f>
        <v>1005141.4068587568</v>
      </c>
      <c r="W22" s="161">
        <f>SUM(W15:W21)</f>
        <v>1040321.3560988132</v>
      </c>
      <c r="Y22" s="161">
        <f>SUM(Y15:Y21)</f>
        <v>1076732.6035622717</v>
      </c>
      <c r="AA22" s="161">
        <f>SUM(AA15:AA21)</f>
        <v>1114418.2446869509</v>
      </c>
      <c r="AC22" s="161">
        <f>SUM(AC15:AC21)</f>
        <v>1153422.8832509944</v>
      </c>
      <c r="AE22" s="161">
        <f>SUM(AE15:AE21)</f>
        <v>1193792.6841647788</v>
      </c>
      <c r="AG22" s="161">
        <f>SUM(AG15:AG21)</f>
        <v>1235575.4281105462</v>
      </c>
    </row>
    <row r="23" spans="1:33" s="148" customFormat="1" ht="14.25">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2711</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2712</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2146</v>
      </c>
      <c r="C27" s="1211">
        <v>1.0349999999999999</v>
      </c>
      <c r="E27" s="160">
        <f>Application!AC872</f>
        <v>48300</v>
      </c>
      <c r="F27" s="160"/>
      <c r="G27" s="160">
        <f>E27*$C$27</f>
        <v>49990.499999999993</v>
      </c>
      <c r="H27" s="160"/>
      <c r="I27" s="160">
        <f>G27*$C$27</f>
        <v>51740.167499999989</v>
      </c>
      <c r="J27" s="160"/>
      <c r="K27" s="160">
        <f>I27*$C$27</f>
        <v>53551.073362499985</v>
      </c>
      <c r="L27" s="160"/>
      <c r="M27" s="160">
        <f>K27*$C$27</f>
        <v>55425.360930187482</v>
      </c>
      <c r="N27" s="160"/>
      <c r="O27" s="160">
        <f>M27*$C$27</f>
        <v>57365.24856274404</v>
      </c>
      <c r="P27" s="160"/>
      <c r="Q27" s="160">
        <f>O27*$C$27</f>
        <v>59373.03226244008</v>
      </c>
      <c r="R27" s="160"/>
      <c r="S27" s="160">
        <f>Q27*$C$27</f>
        <v>61451.088391625475</v>
      </c>
      <c r="T27" s="160"/>
      <c r="U27" s="160">
        <f>S27*$C$27</f>
        <v>63601.876485332359</v>
      </c>
      <c r="V27" s="160"/>
      <c r="W27" s="160">
        <f>U27*$C$27</f>
        <v>65827.942162318985</v>
      </c>
      <c r="X27" s="160"/>
      <c r="Y27" s="160">
        <f>W27*$C$27</f>
        <v>68131.920138000147</v>
      </c>
      <c r="Z27" s="160"/>
      <c r="AA27" s="160">
        <f>Y27*$C$27</f>
        <v>70516.537342830154</v>
      </c>
      <c r="AB27" s="160"/>
      <c r="AC27" s="160">
        <f>AA27*$C$27</f>
        <v>72984.616149829206</v>
      </c>
      <c r="AD27" s="160"/>
      <c r="AE27" s="160">
        <f>AC27*$C$27</f>
        <v>75539.077715073217</v>
      </c>
      <c r="AF27" s="160"/>
      <c r="AG27" s="160">
        <f>AE27*$C$27</f>
        <v>78182.945435100773</v>
      </c>
    </row>
    <row r="28" spans="1:33" s="148" customFormat="1" ht="14.25">
      <c r="A28" s="148" t="s">
        <v>2713</v>
      </c>
      <c r="C28" s="1211"/>
      <c r="E28" s="160">
        <f>Application!AC873</f>
        <v>25500</v>
      </c>
      <c r="F28" s="160"/>
      <c r="G28" s="160">
        <f>$E$28</f>
        <v>25500</v>
      </c>
      <c r="H28" s="160"/>
      <c r="I28" s="160">
        <f>$E$28</f>
        <v>25500</v>
      </c>
      <c r="J28" s="160"/>
      <c r="K28" s="160">
        <f>$E$28</f>
        <v>25500</v>
      </c>
      <c r="L28" s="160"/>
      <c r="M28" s="160">
        <f>$E$28</f>
        <v>25500</v>
      </c>
      <c r="N28" s="160"/>
      <c r="O28" s="160">
        <f>$E$28</f>
        <v>25500</v>
      </c>
      <c r="P28" s="160"/>
      <c r="Q28" s="160">
        <f>$E$28</f>
        <v>25500</v>
      </c>
      <c r="R28" s="160"/>
      <c r="S28" s="160">
        <f>$E$28</f>
        <v>25500</v>
      </c>
      <c r="T28" s="160"/>
      <c r="U28" s="160">
        <f>$E$28</f>
        <v>25500</v>
      </c>
      <c r="V28" s="160"/>
      <c r="W28" s="160">
        <f>$E$28</f>
        <v>25500</v>
      </c>
      <c r="X28" s="160"/>
      <c r="Y28" s="160">
        <f>$E$28</f>
        <v>25500</v>
      </c>
      <c r="Z28" s="160"/>
      <c r="AA28" s="160">
        <f>$E$28</f>
        <v>25500</v>
      </c>
      <c r="AB28" s="160"/>
      <c r="AC28" s="160">
        <f>$E$28</f>
        <v>25500</v>
      </c>
      <c r="AD28" s="160"/>
      <c r="AE28" s="160">
        <f>$E$28</f>
        <v>25500</v>
      </c>
      <c r="AF28" s="160"/>
      <c r="AG28" s="160">
        <f>$E$28</f>
        <v>25500</v>
      </c>
    </row>
    <row r="29" spans="1:33" s="148" customFormat="1" ht="14.25">
      <c r="A29" s="148" t="s">
        <v>2714</v>
      </c>
      <c r="C29" s="1211"/>
      <c r="E29" s="160">
        <f>Application!AC874</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2715</v>
      </c>
      <c r="C30" s="1211">
        <v>1.02</v>
      </c>
      <c r="E30" s="160">
        <f>Application!AC875</f>
        <v>4000</v>
      </c>
      <c r="F30" s="160"/>
      <c r="G30" s="160">
        <f>E30*$C$30</f>
        <v>4080</v>
      </c>
      <c r="H30" s="160"/>
      <c r="I30" s="160">
        <f>G30*$C$30</f>
        <v>4161.6000000000004</v>
      </c>
      <c r="J30" s="160"/>
      <c r="K30" s="160">
        <f>I30*$C$30</f>
        <v>4244.8320000000003</v>
      </c>
      <c r="L30" s="160"/>
      <c r="M30" s="160">
        <f>K30*$C$30</f>
        <v>4329.7286400000003</v>
      </c>
      <c r="N30" s="160"/>
      <c r="O30" s="160">
        <f>M30*$C$30</f>
        <v>4416.3232128</v>
      </c>
      <c r="P30" s="160"/>
      <c r="Q30" s="160">
        <f>O30*$C$30</f>
        <v>4504.6496770559997</v>
      </c>
      <c r="R30" s="160"/>
      <c r="S30" s="160">
        <f>Q30*$C$30</f>
        <v>4594.7426705971202</v>
      </c>
      <c r="T30" s="160"/>
      <c r="U30" s="160">
        <f>S30*$C$30</f>
        <v>4686.6375240090629</v>
      </c>
      <c r="V30" s="160"/>
      <c r="W30" s="160">
        <f>U30*$C$30</f>
        <v>4780.3702744892444</v>
      </c>
      <c r="X30" s="160"/>
      <c r="Y30" s="160">
        <f>W30*$C$30</f>
        <v>4875.9776799790297</v>
      </c>
      <c r="Z30" s="160"/>
      <c r="AA30" s="160">
        <f>Y30*$C$30</f>
        <v>4973.4972335786106</v>
      </c>
      <c r="AB30" s="160"/>
      <c r="AC30" s="160">
        <f>AA30*$C$30</f>
        <v>5072.9671782501828</v>
      </c>
      <c r="AD30" s="160"/>
      <c r="AE30" s="160">
        <f>AC30*$C$30</f>
        <v>5174.4265218151868</v>
      </c>
      <c r="AF30" s="160"/>
      <c r="AG30" s="160">
        <f>AE30*$C$30</f>
        <v>5277.915052251491</v>
      </c>
    </row>
    <row r="31" spans="1:33" s="148" customFormat="1" ht="14.25">
      <c r="A31" s="148" t="s">
        <v>2716</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Application!C878</f>
        <v>Other (Specify): County and City Fees</v>
      </c>
      <c r="C33" s="1213">
        <v>1.0349999999999999</v>
      </c>
      <c r="E33" s="160">
        <f>Application!AC878</f>
        <v>25500</v>
      </c>
      <c r="F33" s="160"/>
      <c r="G33" s="160">
        <f>E33*$C$33</f>
        <v>26392.499999999996</v>
      </c>
      <c r="H33" s="160"/>
      <c r="I33" s="160">
        <f>G33*$C$33</f>
        <v>27316.237499999996</v>
      </c>
      <c r="J33" s="160"/>
      <c r="K33" s="160">
        <f>I33*$C$33</f>
        <v>28272.305812499992</v>
      </c>
      <c r="L33" s="160"/>
      <c r="M33" s="160">
        <f>K33*$C$33</f>
        <v>29261.836515937488</v>
      </c>
      <c r="N33" s="160"/>
      <c r="O33" s="160">
        <f>M33*$C$33</f>
        <v>30286.000793995299</v>
      </c>
      <c r="P33" s="160"/>
      <c r="Q33" s="160">
        <f>O33*$C$33</f>
        <v>31346.010821785134</v>
      </c>
      <c r="R33" s="160"/>
      <c r="S33" s="160">
        <f>Q33*$C$33</f>
        <v>32443.121200547612</v>
      </c>
      <c r="T33" s="160"/>
      <c r="U33" s="160">
        <f>S33*$C$33</f>
        <v>33578.630442566777</v>
      </c>
      <c r="V33" s="160"/>
      <c r="W33" s="160">
        <f>U33*$C$33</f>
        <v>34753.882508056609</v>
      </c>
      <c r="X33" s="160"/>
      <c r="Y33" s="160">
        <f>W33*$C$33</f>
        <v>35970.26839583859</v>
      </c>
      <c r="Z33" s="160"/>
      <c r="AA33" s="160">
        <f>Y33*$C$33</f>
        <v>37229.227789692937</v>
      </c>
      <c r="AB33" s="160"/>
      <c r="AC33" s="160">
        <f>AA33*$C$33</f>
        <v>38532.250762332187</v>
      </c>
      <c r="AD33" s="160"/>
      <c r="AE33" s="160">
        <f>AC33*$C$33</f>
        <v>39880.879539013811</v>
      </c>
      <c r="AF33" s="160"/>
      <c r="AG33" s="160">
        <f>AE33*$C$33</f>
        <v>41276.710322879291</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1670</v>
      </c>
      <c r="C35" s="162"/>
      <c r="E35" s="161">
        <f>SUM(E22:E33)</f>
        <v>866616</v>
      </c>
      <c r="G35" s="161">
        <f>SUM(G22:G33)</f>
        <v>895995.05999999994</v>
      </c>
      <c r="I35" s="161">
        <f>SUM(I22:I33)</f>
        <v>926401.18709999986</v>
      </c>
      <c r="K35" s="161">
        <f>SUM(K22:K33)</f>
        <v>957870.30464849994</v>
      </c>
      <c r="M35" s="161">
        <f>SUM(M22:M33)</f>
        <v>990439.59283119719</v>
      </c>
      <c r="O35" s="161">
        <f>SUM(O22:O33)</f>
        <v>1024147.532650689</v>
      </c>
      <c r="Q35" s="161">
        <f>SUM(Q22:Q33)</f>
        <v>1059033.951445271</v>
      </c>
      <c r="S35" s="161">
        <f>SUM(S22:S33)</f>
        <v>1095140.0700006995</v>
      </c>
      <c r="U35" s="161">
        <f>SUM(U22:U33)</f>
        <v>1132508.5513106647</v>
      </c>
      <c r="W35" s="161">
        <f>SUM(W22:W33)</f>
        <v>1171183.5510436783</v>
      </c>
      <c r="Y35" s="161">
        <f>SUM(Y22:Y33)</f>
        <v>1211210.7697760893</v>
      </c>
      <c r="AA35" s="161">
        <f>SUM(AA22:AA33)</f>
        <v>1252637.5070530528</v>
      </c>
      <c r="AC35" s="161">
        <f>SUM(AC22:AC33)</f>
        <v>1295512.717341406</v>
      </c>
      <c r="AE35" s="161">
        <f>SUM(AE22:AE33)</f>
        <v>1339887.067940681</v>
      </c>
      <c r="AG35" s="161">
        <f>SUM(AG22:AG33)</f>
        <v>1385812.9989207776</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2717</v>
      </c>
      <c r="C37" s="162"/>
      <c r="E37" s="161">
        <f>E11-E35</f>
        <v>1168602.3</v>
      </c>
      <c r="G37" s="161">
        <f>G11-G35</f>
        <v>1190103.6974999993</v>
      </c>
      <c r="I37" s="161">
        <f>I11-I35</f>
        <v>1211850.0393374995</v>
      </c>
      <c r="K37" s="161">
        <f>K11-K35</f>
        <v>1233837.2024499364</v>
      </c>
      <c r="M37" s="161">
        <f>M11-M35</f>
        <v>1256060.6019447003</v>
      </c>
      <c r="O37" s="161">
        <f>O11-O35</f>
        <v>1278515.1669946057</v>
      </c>
      <c r="Q37" s="161">
        <f>Q11-Q35</f>
        <v>1301195.3156911551</v>
      </c>
      <c r="S37" s="161">
        <f>S11-S35</f>
        <v>1324094.9288141381</v>
      </c>
      <c r="U37" s="161">
        <f>U11-U35</f>
        <v>1347207.3224745432</v>
      </c>
      <c r="W37" s="161">
        <f>W11-W35</f>
        <v>1370525.2195861593</v>
      </c>
      <c r="Y37" s="161">
        <f>Y11-Y35</f>
        <v>1394040.7201194942</v>
      </c>
      <c r="AA37" s="161">
        <f>AA11-AA35</f>
        <v>1417745.2700899199</v>
      </c>
      <c r="AC37" s="161">
        <f>AC11-AC35</f>
        <v>1441629.6292301409</v>
      </c>
      <c r="AE37" s="161">
        <f>AE11-AE35</f>
        <v>1465683.8372951539</v>
      </c>
      <c r="AG37" s="161">
        <f>AG11-AG35</f>
        <v>1489897.1789459537</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2718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Tax-Exempt Perm Loan</v>
      </c>
      <c r="B40" s="164"/>
      <c r="C40" s="158"/>
      <c r="E40" s="160">
        <f>Application!AF623</f>
        <v>1016123.8239858693</v>
      </c>
      <c r="F40" s="160"/>
      <c r="G40" s="160">
        <f>$E$40</f>
        <v>1016123.8239858693</v>
      </c>
      <c r="H40" s="160"/>
      <c r="I40" s="160">
        <f>$E$40</f>
        <v>1016123.8239858693</v>
      </c>
      <c r="J40" s="160"/>
      <c r="K40" s="160">
        <f>$E$40</f>
        <v>1016123.8239858693</v>
      </c>
      <c r="L40" s="160"/>
      <c r="M40" s="160">
        <f>$E$40</f>
        <v>1016123.8239858693</v>
      </c>
      <c r="N40" s="160"/>
      <c r="O40" s="160">
        <f>$E$40</f>
        <v>1016123.8239858693</v>
      </c>
      <c r="P40" s="160"/>
      <c r="Q40" s="160">
        <f>$E$40</f>
        <v>1016123.8239858693</v>
      </c>
      <c r="R40" s="160"/>
      <c r="S40" s="160">
        <f>$E$40</f>
        <v>1016123.8239858693</v>
      </c>
      <c r="T40" s="160"/>
      <c r="U40" s="160">
        <f>$E$40</f>
        <v>1016123.8239858693</v>
      </c>
      <c r="V40" s="160"/>
      <c r="W40" s="160">
        <f>$E$40</f>
        <v>1016123.8239858693</v>
      </c>
      <c r="X40" s="160"/>
      <c r="Y40" s="160">
        <f>$E$40</f>
        <v>1016123.8239858693</v>
      </c>
      <c r="Z40" s="160"/>
      <c r="AA40" s="160">
        <f>$E$40</f>
        <v>1016123.8239858693</v>
      </c>
      <c r="AB40" s="160"/>
      <c r="AC40" s="160">
        <f>$E$40</f>
        <v>1016123.8239858693</v>
      </c>
      <c r="AD40" s="160"/>
      <c r="AE40" s="160">
        <f>$E$40</f>
        <v>1016123.8239858693</v>
      </c>
      <c r="AF40" s="160"/>
      <c r="AG40" s="160">
        <f>$E$40</f>
        <v>1016123.8239858693</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2719</v>
      </c>
      <c r="C43" s="162"/>
      <c r="E43" s="161">
        <f>SUM(E40:E42)</f>
        <v>1016123.8239858693</v>
      </c>
      <c r="G43" s="161">
        <f>SUM(G40:G42)</f>
        <v>1016123.8239858693</v>
      </c>
      <c r="I43" s="161">
        <f>SUM(I40:I42)</f>
        <v>1016123.8239858693</v>
      </c>
      <c r="K43" s="161">
        <f>SUM(K40:K42)</f>
        <v>1016123.8239858693</v>
      </c>
      <c r="M43" s="161">
        <f>SUM(M40:M42)</f>
        <v>1016123.8239858693</v>
      </c>
      <c r="O43" s="161">
        <f>SUM(O40:O42)</f>
        <v>1016123.8239858693</v>
      </c>
      <c r="Q43" s="161">
        <f>SUM(Q40:Q42)</f>
        <v>1016123.8239858693</v>
      </c>
      <c r="S43" s="161">
        <f>SUM(S40:S42)</f>
        <v>1016123.8239858693</v>
      </c>
      <c r="U43" s="161">
        <f>SUM(U40:U42)</f>
        <v>1016123.8239858693</v>
      </c>
      <c r="W43" s="161">
        <f>SUM(W40:W42)</f>
        <v>1016123.8239858693</v>
      </c>
      <c r="Y43" s="161">
        <f>SUM(Y40:Y42)</f>
        <v>1016123.8239858693</v>
      </c>
      <c r="AA43" s="161">
        <f>SUM(AA40:AA42)</f>
        <v>1016123.8239858693</v>
      </c>
      <c r="AC43" s="161">
        <f>SUM(AC40:AC42)</f>
        <v>1016123.8239858693</v>
      </c>
      <c r="AE43" s="161">
        <f>SUM(AE40:AE42)</f>
        <v>1016123.8239858693</v>
      </c>
      <c r="AG43" s="161">
        <f>SUM(AG40:AG42)</f>
        <v>1016123.8239858693</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2720</v>
      </c>
      <c r="C45" s="162"/>
      <c r="E45" s="161">
        <f>E37-E43</f>
        <v>152478.47601413075</v>
      </c>
      <c r="G45" s="161">
        <f>G37-G43</f>
        <v>173979.87351413001</v>
      </c>
      <c r="I45" s="161">
        <f>I37-I43</f>
        <v>195726.21535163024</v>
      </c>
      <c r="K45" s="161">
        <f>K37-K43</f>
        <v>217713.37846406712</v>
      </c>
      <c r="M45" s="161">
        <f>M37-M43</f>
        <v>239936.77795883105</v>
      </c>
      <c r="O45" s="161">
        <f>O37-O43</f>
        <v>262391.34300873638</v>
      </c>
      <c r="Q45" s="161">
        <f>Q37-Q43</f>
        <v>285071.49170528585</v>
      </c>
      <c r="S45" s="161">
        <f>S37-S43</f>
        <v>307971.10482826876</v>
      </c>
      <c r="U45" s="161">
        <f>U37-U43</f>
        <v>331083.49848867394</v>
      </c>
      <c r="W45" s="161">
        <f>W37-W43</f>
        <v>354401.39560029004</v>
      </c>
      <c r="Y45" s="161">
        <f>Y37-Y43</f>
        <v>377916.89613362495</v>
      </c>
      <c r="AA45" s="161">
        <f>AA37-AA43</f>
        <v>401621.44610405061</v>
      </c>
      <c r="AC45" s="161">
        <f>AC37-AC43</f>
        <v>425505.80524427164</v>
      </c>
      <c r="AE45" s="161">
        <f>AE37-AE43</f>
        <v>449560.01330928458</v>
      </c>
      <c r="AG45" s="161">
        <f>AG37-AG43</f>
        <v>473773.35496008443</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2721</v>
      </c>
      <c r="C47" s="158"/>
      <c r="E47" s="165">
        <f>E45/(E4+E6+E8)</f>
        <v>6.930096408482124E-2</v>
      </c>
      <c r="G47" s="165">
        <f>G45/(G4+G6+G8)</f>
        <v>7.7144661738561202E-2</v>
      </c>
      <c r="I47" s="165">
        <f>I45/(I4+I6+I8)</f>
        <v>8.4670476023482322E-2</v>
      </c>
      <c r="K47" s="165">
        <f>K45/(K4+K6+K8)</f>
        <v>9.1884922795137047E-2</v>
      </c>
      <c r="M47" s="165">
        <f>M45/(M4+M6+M8)</f>
        <v>9.8794346925956442E-2</v>
      </c>
      <c r="O47" s="165">
        <f>O45/(O4+O6+O8)</f>
        <v>0.10540492635785036</v>
      </c>
      <c r="Q47" s="165">
        <f>Q45/(Q4+Q6+Q8)</f>
        <v>0.11172267605482053</v>
      </c>
      <c r="S47" s="165">
        <f>S45/(S4+S6+S8)</f>
        <v>0.11775345185800701</v>
      </c>
      <c r="U47" s="165">
        <f>U45/(U4+U6+U8)</f>
        <v>0.12350295424553581</v>
      </c>
      <c r="W47" s="165">
        <f>W45/(W4+W6+W8)</f>
        <v>0.12897673199948628</v>
      </c>
      <c r="Y47" s="165">
        <f>Y45/(Y4+Y6+Y8)</f>
        <v>0.13418018578222315</v>
      </c>
      <c r="AA47" s="165">
        <f>AA45/(AA4+AA6+AA8)</f>
        <v>0.13911857162429439</v>
      </c>
      <c r="AC47" s="165">
        <f>AC45/(AC4+AC6+AC8)</f>
        <v>0.14379700432604556</v>
      </c>
      <c r="AE47" s="165">
        <f>AE45/(AE4+AE6+AE8)</f>
        <v>0.14822046077503523</v>
      </c>
      <c r="AG47" s="165">
        <f>AG45/(AG4+AG6+AG8)</f>
        <v>0.15239378318129926</v>
      </c>
    </row>
    <row r="48" spans="1:33" s="165" customFormat="1" ht="14.25">
      <c r="A48" s="165" t="s">
        <v>2722</v>
      </c>
      <c r="C48" s="158"/>
      <c r="E48" s="165">
        <f>E45/E43</f>
        <v>0.15005895188641025</v>
      </c>
      <c r="G48" s="165">
        <f>G45/G43</f>
        <v>0.17121916582141811</v>
      </c>
      <c r="I48" s="165">
        <f>I45/I43</f>
        <v>0.19262043732413472</v>
      </c>
      <c r="K48" s="165">
        <f>K45/K43</f>
        <v>0.2142587087566355</v>
      </c>
      <c r="M48" s="165">
        <f>M45/M43</f>
        <v>0.23612946797925655</v>
      </c>
      <c r="O48" s="165">
        <f>O45/O43</f>
        <v>0.25822772462855403</v>
      </c>
      <c r="Q48" s="165">
        <f>Q45/Q43</f>
        <v>0.28054798536959624</v>
      </c>
      <c r="S48" s="165">
        <f>S45/S43</f>
        <v>0.30308422808178498</v>
      </c>
      <c r="U48" s="165">
        <f>U45/U43</f>
        <v>0.32582987493587018</v>
      </c>
      <c r="W48" s="165">
        <f>W45/W43</f>
        <v>0.34877776431823776</v>
      </c>
      <c r="Y48" s="165">
        <f>Y45/Y43</f>
        <v>0.37192012155683934</v>
      </c>
      <c r="AA48" s="165">
        <f>AA45/AA43</f>
        <v>0.39524852840143204</v>
      </c>
      <c r="AC48" s="165">
        <f>AC45/AC43</f>
        <v>0.41875389120901957</v>
      </c>
      <c r="AE48" s="165">
        <f>AE45/AE43</f>
        <v>0.44242640778348324</v>
      </c>
      <c r="AG48" s="165">
        <f>AG45/AG43</f>
        <v>0.46625553281651327</v>
      </c>
    </row>
    <row r="49" spans="1:35" s="166" customFormat="1" ht="14.25">
      <c r="A49" s="166" t="s">
        <v>2101</v>
      </c>
      <c r="C49" s="167"/>
      <c r="E49" s="166">
        <f>E37/E43</f>
        <v>1.1500589518864102</v>
      </c>
      <c r="G49" s="166">
        <f>G37/G43</f>
        <v>1.1712191658214182</v>
      </c>
      <c r="I49" s="166">
        <f>I37/I43</f>
        <v>1.1926204373241347</v>
      </c>
      <c r="K49" s="166">
        <f>K37/K43</f>
        <v>1.2142587087566354</v>
      </c>
      <c r="M49" s="166">
        <f>M37/M43</f>
        <v>1.2361294679792565</v>
      </c>
      <c r="O49" s="166">
        <f>O37/O43</f>
        <v>1.258227724628554</v>
      </c>
      <c r="Q49" s="166">
        <f>Q37/Q43</f>
        <v>1.2805479853695962</v>
      </c>
      <c r="S49" s="166">
        <f>S37/S43</f>
        <v>1.3030842280817849</v>
      </c>
      <c r="U49" s="166">
        <f>U37/U43</f>
        <v>1.3258298749358701</v>
      </c>
      <c r="W49" s="166">
        <f>W37/W43</f>
        <v>1.3487777643182377</v>
      </c>
      <c r="Y49" s="166">
        <f>Y37/Y43</f>
        <v>1.3719201215568393</v>
      </c>
      <c r="AA49" s="166">
        <f>AA37/AA43</f>
        <v>1.395248528401432</v>
      </c>
      <c r="AC49" s="166">
        <f>AC37/AC43</f>
        <v>1.4187538912090196</v>
      </c>
      <c r="AE49" s="166">
        <f>AE37/AE43</f>
        <v>1.4424264077834832</v>
      </c>
      <c r="AG49" s="166">
        <f>AG37/AG43</f>
        <v>1.4662555328165132</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2723</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71" t="s">
        <v>1426</v>
      </c>
      <c r="B52" s="2471"/>
      <c r="C52" s="2471"/>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2724</v>
      </c>
      <c r="C53" s="884">
        <v>1.03</v>
      </c>
      <c r="E53" s="885">
        <v>7500</v>
      </c>
      <c r="G53" s="881">
        <f>E53*$C$53</f>
        <v>7725</v>
      </c>
      <c r="I53" s="881">
        <f>G53*$C$53</f>
        <v>7956.75</v>
      </c>
      <c r="K53" s="881">
        <f>I53*$C$53</f>
        <v>8195.4524999999994</v>
      </c>
      <c r="M53" s="881">
        <f>K53*$C$53</f>
        <v>8441.3160749999988</v>
      </c>
      <c r="O53" s="881">
        <f>M53*$C$53</f>
        <v>8694.5555572499998</v>
      </c>
      <c r="Q53" s="881">
        <f>O53*$C$53</f>
        <v>8955.3922239674994</v>
      </c>
      <c r="S53" s="881">
        <f>Q53*$C$53</f>
        <v>9224.0539906865251</v>
      </c>
      <c r="U53" s="881">
        <f>S53*$C$53</f>
        <v>9500.7756104071213</v>
      </c>
      <c r="W53" s="881">
        <f>U53*$C$53</f>
        <v>9785.7988787193353</v>
      </c>
      <c r="Y53" s="881">
        <f>W53*$C$53</f>
        <v>10079.372845080916</v>
      </c>
      <c r="AA53" s="881">
        <f>Y53*$C$53</f>
        <v>10381.754030433343</v>
      </c>
      <c r="AC53" s="881">
        <f>AA53*$C$53</f>
        <v>10693.206651346343</v>
      </c>
      <c r="AE53" s="881">
        <f>AC53*$C$53</f>
        <v>11014.002850886734</v>
      </c>
      <c r="AG53" s="881">
        <f>AE53*$C$53</f>
        <v>11344.422936413337</v>
      </c>
    </row>
    <row r="54" spans="1:35" s="3" customFormat="1">
      <c r="A54" s="3" t="s">
        <v>2725</v>
      </c>
      <c r="C54" s="879">
        <v>1.03</v>
      </c>
      <c r="E54" s="886">
        <v>25000</v>
      </c>
      <c r="F54" s="881"/>
      <c r="G54" s="881">
        <f t="shared" ref="G54:AG57" si="1">E54*$C$53</f>
        <v>25750</v>
      </c>
      <c r="H54" s="881"/>
      <c r="I54" s="881">
        <f t="shared" si="1"/>
        <v>26522.5</v>
      </c>
      <c r="J54" s="881"/>
      <c r="K54" s="881">
        <f t="shared" si="1"/>
        <v>27318.174999999999</v>
      </c>
      <c r="L54" s="881"/>
      <c r="M54" s="881">
        <f t="shared" si="1"/>
        <v>28137.720249999998</v>
      </c>
      <c r="N54" s="881"/>
      <c r="O54" s="881">
        <f t="shared" si="1"/>
        <v>28981.851857499998</v>
      </c>
      <c r="P54" s="881"/>
      <c r="Q54" s="881">
        <f t="shared" si="1"/>
        <v>29851.307413225</v>
      </c>
      <c r="R54" s="881"/>
      <c r="S54" s="881">
        <f t="shared" si="1"/>
        <v>30746.84663562175</v>
      </c>
      <c r="T54" s="881"/>
      <c r="U54" s="881">
        <f t="shared" si="1"/>
        <v>31669.252034690402</v>
      </c>
      <c r="V54" s="881"/>
      <c r="W54" s="881">
        <f t="shared" si="1"/>
        <v>32619.329595731117</v>
      </c>
      <c r="X54" s="881"/>
      <c r="Y54" s="881">
        <f t="shared" si="1"/>
        <v>33597.909483603049</v>
      </c>
      <c r="Z54" s="881"/>
      <c r="AA54" s="881">
        <f t="shared" si="1"/>
        <v>34605.846768111143</v>
      </c>
      <c r="AB54" s="881"/>
      <c r="AC54" s="881">
        <f t="shared" si="1"/>
        <v>35644.02217115448</v>
      </c>
      <c r="AD54" s="881"/>
      <c r="AE54" s="881">
        <f t="shared" si="1"/>
        <v>36713.342836289114</v>
      </c>
      <c r="AF54" s="881"/>
      <c r="AG54" s="881">
        <f t="shared" si="1"/>
        <v>37814.743121377789</v>
      </c>
      <c r="AH54" s="881"/>
      <c r="AI54" s="881"/>
    </row>
    <row r="55" spans="1:35" s="3" customFormat="1">
      <c r="A55" s="3" t="s">
        <v>2726</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2727</v>
      </c>
      <c r="C58" s="882"/>
      <c r="E58" s="881">
        <f>SUM(E53:E57)</f>
        <v>32500</v>
      </c>
      <c r="F58" s="881"/>
      <c r="G58" s="881">
        <f>SUM(G53:G57)</f>
        <v>33475</v>
      </c>
      <c r="H58" s="881"/>
      <c r="I58" s="881">
        <f>SUM(I53:I57)</f>
        <v>34479.25</v>
      </c>
      <c r="J58" s="881"/>
      <c r="K58" s="881">
        <f>SUM(K53:K57)</f>
        <v>35513.627500000002</v>
      </c>
      <c r="L58" s="881"/>
      <c r="M58" s="881">
        <f>SUM(M53:M57)</f>
        <v>36579.036324999994</v>
      </c>
      <c r="N58" s="881"/>
      <c r="O58" s="881">
        <f>SUM(O53:O57)</f>
        <v>37676.40741475</v>
      </c>
      <c r="P58" s="881"/>
      <c r="Q58" s="881">
        <f>SUM(Q53:Q57)</f>
        <v>38806.699637192498</v>
      </c>
      <c r="R58" s="881"/>
      <c r="S58" s="881">
        <f>SUM(S53:S57)</f>
        <v>39970.900626308277</v>
      </c>
      <c r="T58" s="881"/>
      <c r="U58" s="881">
        <f>SUM(U53:U57)</f>
        <v>41170.027645097522</v>
      </c>
      <c r="V58" s="881"/>
      <c r="W58" s="881">
        <f>SUM(W53:W57)</f>
        <v>42405.128474450452</v>
      </c>
      <c r="X58" s="881"/>
      <c r="Y58" s="881">
        <f>SUM(Y53:Y57)</f>
        <v>43677.282328683963</v>
      </c>
      <c r="Z58" s="881"/>
      <c r="AA58" s="881">
        <f>SUM(AA53:AA57)</f>
        <v>44987.600798544488</v>
      </c>
      <c r="AB58" s="881"/>
      <c r="AC58" s="881">
        <f>SUM(AC53:AC57)</f>
        <v>46337.228822500823</v>
      </c>
      <c r="AD58" s="881"/>
      <c r="AE58" s="881">
        <f>SUM(AE53:AE57)</f>
        <v>47727.345687175846</v>
      </c>
      <c r="AF58" s="881"/>
      <c r="AG58" s="881">
        <f>SUM(AG53:AG57)</f>
        <v>49159.166057791124</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2728</v>
      </c>
      <c r="C60" s="890"/>
      <c r="E60" s="883">
        <f>E45-E58</f>
        <v>119978.47601413075</v>
      </c>
      <c r="G60" s="883">
        <f>G45-G58</f>
        <v>140504.87351413001</v>
      </c>
      <c r="I60" s="883">
        <f>I45-I58</f>
        <v>161246.96535163024</v>
      </c>
      <c r="K60" s="883">
        <f>K45-K58</f>
        <v>182199.75096406712</v>
      </c>
      <c r="M60" s="883">
        <f>M45-M58</f>
        <v>203357.74163383106</v>
      </c>
      <c r="O60" s="883">
        <f>O45-O58</f>
        <v>224714.93559398639</v>
      </c>
      <c r="Q60" s="883">
        <f>Q45-Q58</f>
        <v>246264.79206809335</v>
      </c>
      <c r="S60" s="883">
        <f>S45-S58</f>
        <v>268000.20420196047</v>
      </c>
      <c r="U60" s="883">
        <f>U45-U58</f>
        <v>289913.47084357642</v>
      </c>
      <c r="W60" s="883">
        <f>W45-W58</f>
        <v>311996.2671258396</v>
      </c>
      <c r="Y60" s="883">
        <f>Y45-Y58</f>
        <v>334239.61380494101</v>
      </c>
      <c r="AA60" s="883">
        <f>AA45-AA58</f>
        <v>356633.84530550614</v>
      </c>
      <c r="AC60" s="883">
        <f>AC45-AC58</f>
        <v>379168.57642177085</v>
      </c>
      <c r="AE60" s="883">
        <f>AE45-AE58</f>
        <v>401832.66762210871</v>
      </c>
      <c r="AG60" s="883">
        <f>AG45-AG58</f>
        <v>424614.18890229333</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2729</v>
      </c>
      <c r="C62" s="880">
        <v>0.5</v>
      </c>
      <c r="E62" s="885">
        <f>E60*$C$62</f>
        <v>59989.238007065374</v>
      </c>
      <c r="G62" s="883">
        <f>G60*$C$62</f>
        <v>70252.436757065007</v>
      </c>
      <c r="I62" s="883">
        <f>I60*$C$62</f>
        <v>80623.482675815118</v>
      </c>
      <c r="K62" s="883">
        <f>K60*$C$62</f>
        <v>91099.87548203356</v>
      </c>
      <c r="M62" s="883">
        <f>M60*$C$62</f>
        <v>101678.87081691553</v>
      </c>
      <c r="O62" s="883">
        <f>O60*$C$62</f>
        <v>112357.46779699319</v>
      </c>
      <c r="Q62" s="883">
        <f>Q60*$C$62</f>
        <v>123132.39603404667</v>
      </c>
      <c r="S62" s="883">
        <f>S60*$C$62</f>
        <v>134000.10210098024</v>
      </c>
      <c r="U62" s="883">
        <f>U60*$C$62</f>
        <v>144956.73542178821</v>
      </c>
      <c r="W62" s="883">
        <f>W60*$C$62</f>
        <v>155998.1335629198</v>
      </c>
      <c r="Y62" s="883">
        <f>Y60*$C$62</f>
        <v>167119.8069024705</v>
      </c>
      <c r="AA62" s="883">
        <f>AA60*$C$62</f>
        <v>178316.92265275307</v>
      </c>
      <c r="AC62" s="883">
        <f>AC60*$C$62</f>
        <v>189584.28821088542</v>
      </c>
      <c r="AE62" s="883">
        <f>AE60*$C$62</f>
        <v>200916.33381105436</v>
      </c>
      <c r="AG62" s="883">
        <f>AG60*$C$62</f>
        <v>212307.09445114667</v>
      </c>
    </row>
    <row r="63" spans="1:35" s="883" customFormat="1">
      <c r="A63" s="2471" t="s">
        <v>1426</v>
      </c>
      <c r="B63" s="2471"/>
      <c r="C63" s="2471"/>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2730</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t="str">
        <f>Application!C624</f>
        <v>City of Mountain View</v>
      </c>
      <c r="C66" s="884"/>
      <c r="E66" s="885">
        <f>$E60*$C$65</f>
        <v>29994.619003532687</v>
      </c>
      <c r="G66" s="881">
        <f>G60*$C$65</f>
        <v>35126.218378532503</v>
      </c>
      <c r="I66" s="881">
        <f>I60*$C$65</f>
        <v>40311.741337907559</v>
      </c>
      <c r="K66" s="881">
        <f>K60*$C$65</f>
        <v>45549.93774101678</v>
      </c>
      <c r="M66" s="881">
        <f>M60*$C$65</f>
        <v>50839.435408457764</v>
      </c>
      <c r="O66" s="881">
        <f>O60*$C$65</f>
        <v>56178.733898496597</v>
      </c>
      <c r="Q66" s="881">
        <f>Q60*$C$65</f>
        <v>61566.198017023336</v>
      </c>
      <c r="S66" s="881">
        <f>S60*$C$65</f>
        <v>67000.051050490118</v>
      </c>
      <c r="U66" s="881">
        <f>U60*$C$65</f>
        <v>72478.367710894105</v>
      </c>
      <c r="W66" s="881">
        <f>W60*$C$65</f>
        <v>77999.0667814599</v>
      </c>
      <c r="Y66" s="881">
        <f>Y60*$C$65</f>
        <v>83559.903451235252</v>
      </c>
      <c r="AA66" s="881">
        <f>AA60*$C$65</f>
        <v>89158.461326376535</v>
      </c>
      <c r="AC66" s="881">
        <f>AC60*$C$65</f>
        <v>94792.144105442712</v>
      </c>
      <c r="AE66" s="881">
        <f>AE60*$C$65</f>
        <v>100458.16690552718</v>
      </c>
      <c r="AG66" s="881">
        <f>AG60*$C$65</f>
        <v>106153.54722557333</v>
      </c>
    </row>
    <row r="67" spans="1:35" s="881" customFormat="1">
      <c r="A67" s="886"/>
      <c r="B67" s="885" t="str">
        <f>Application!C625</f>
        <v>County of Santa Clara</v>
      </c>
      <c r="C67" s="891"/>
      <c r="E67" s="885">
        <f>$E60*$C$65</f>
        <v>29994.619003532687</v>
      </c>
      <c r="G67" s="881">
        <f>G60*$C$65</f>
        <v>35126.218378532503</v>
      </c>
      <c r="I67" s="881">
        <f>I60*$C$65</f>
        <v>40311.741337907559</v>
      </c>
      <c r="K67" s="881">
        <f>K60*$C$65</f>
        <v>45549.93774101678</v>
      </c>
      <c r="M67" s="881">
        <f>M60*$C$65</f>
        <v>50839.435408457764</v>
      </c>
      <c r="O67" s="881">
        <f>O60*$C$65</f>
        <v>56178.733898496597</v>
      </c>
      <c r="Q67" s="881">
        <f>Q60*$C$65</f>
        <v>61566.198017023336</v>
      </c>
      <c r="S67" s="881">
        <f>S60*$C$65</f>
        <v>67000.051050490118</v>
      </c>
      <c r="U67" s="881">
        <f>U60*$C$65</f>
        <v>72478.367710894105</v>
      </c>
      <c r="W67" s="881">
        <f>W60*$C$65</f>
        <v>77999.0667814599</v>
      </c>
      <c r="Y67" s="881">
        <f>Y60*$C$65</f>
        <v>83559.903451235252</v>
      </c>
      <c r="AA67" s="881">
        <f>AA60*$C$65</f>
        <v>89158.461326376535</v>
      </c>
      <c r="AC67" s="881">
        <f>AC60*$C$65</f>
        <v>94792.144105442712</v>
      </c>
      <c r="AE67" s="881">
        <f>AE60*$C$65</f>
        <v>100458.16690552718</v>
      </c>
      <c r="AG67" s="881">
        <f>AG60*$C$65</f>
        <v>106153.54722557333</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2727</v>
      </c>
      <c r="C70" s="891"/>
      <c r="E70" s="881">
        <f>SUM(E66:E69)</f>
        <v>59989.238007065374</v>
      </c>
      <c r="G70" s="881">
        <f>SUM(G66:G69)</f>
        <v>70252.436757065007</v>
      </c>
      <c r="I70" s="881">
        <f>SUM(I66:I69)</f>
        <v>80623.482675815118</v>
      </c>
      <c r="K70" s="881">
        <f>SUM(K66:K69)</f>
        <v>91099.87548203356</v>
      </c>
      <c r="M70" s="881">
        <f>SUM(M66:M69)</f>
        <v>101678.87081691553</v>
      </c>
      <c r="O70" s="881">
        <f>SUM(O66:O69)</f>
        <v>112357.46779699319</v>
      </c>
      <c r="Q70" s="881">
        <f>SUM(Q66:Q69)</f>
        <v>123132.39603404667</v>
      </c>
      <c r="S70" s="881">
        <f>SUM(S66:S69)</f>
        <v>134000.10210098024</v>
      </c>
      <c r="U70" s="881">
        <f>SUM(U66:U69)</f>
        <v>144956.73542178821</v>
      </c>
      <c r="W70" s="881">
        <f>SUM(W66:W69)</f>
        <v>155998.1335629198</v>
      </c>
      <c r="Y70" s="881">
        <f>SUM(Y66:Y69)</f>
        <v>167119.8069024705</v>
      </c>
      <c r="AA70" s="881">
        <f>SUM(AA66:AA69)</f>
        <v>178316.92265275307</v>
      </c>
      <c r="AC70" s="881">
        <f>SUM(AC66:AC69)</f>
        <v>189584.28821088542</v>
      </c>
      <c r="AE70" s="881">
        <f>SUM(AE66:AE69)</f>
        <v>200916.33381105436</v>
      </c>
      <c r="AG70" s="881">
        <f>SUM(AG66:AG69)</f>
        <v>212307.09445114667</v>
      </c>
    </row>
    <row r="71" spans="1:35" s="881" customFormat="1">
      <c r="A71" s="883"/>
      <c r="C71" s="891"/>
    </row>
    <row r="72" spans="1:35" s="881" customFormat="1">
      <c r="A72" s="883" t="s">
        <v>2731</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2732</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70" t="s">
        <v>2733</v>
      </c>
      <c r="B77" s="2470"/>
      <c r="C77" s="2470"/>
      <c r="D77" s="2470"/>
      <c r="E77" s="2470"/>
      <c r="F77" s="2470"/>
      <c r="G77" s="2470"/>
      <c r="H77" s="2470"/>
      <c r="I77" s="2470"/>
      <c r="J77" s="2470"/>
      <c r="K77" s="2470"/>
      <c r="L77" s="2470"/>
      <c r="M77" s="2470"/>
      <c r="N77" s="2470"/>
      <c r="O77" s="2470"/>
      <c r="P77" s="2470"/>
      <c r="Q77" s="2470"/>
      <c r="R77" s="2470"/>
      <c r="S77" s="2470"/>
      <c r="T77" s="2470"/>
      <c r="U77" s="2470"/>
      <c r="V77" s="2470"/>
      <c r="W77" s="2470"/>
      <c r="X77" s="2470"/>
      <c r="Y77" s="2470"/>
      <c r="Z77" s="2470"/>
      <c r="AA77" s="2470"/>
      <c r="AB77" s="2470"/>
      <c r="AC77" s="2470"/>
      <c r="AD77" s="2470"/>
      <c r="AE77" s="2470"/>
      <c r="AF77" s="2470"/>
      <c r="AG77" s="2470"/>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36" t="s">
        <v>2734</v>
      </c>
    </row>
    <row r="2" spans="1:1" ht="15.75">
      <c r="A2" s="237"/>
    </row>
    <row r="3" spans="1:1" ht="15.75">
      <c r="A3" s="238" t="s">
        <v>2735</v>
      </c>
    </row>
    <row r="4" spans="1:1" ht="15.75">
      <c r="A4" s="238" t="s">
        <v>2736</v>
      </c>
    </row>
    <row r="5" spans="1:1" ht="15.75">
      <c r="A5" s="238" t="s">
        <v>2737</v>
      </c>
    </row>
    <row r="6" spans="1:1" ht="15.75">
      <c r="A6" s="238" t="s">
        <v>2738</v>
      </c>
    </row>
    <row r="7" spans="1:1" ht="15.75">
      <c r="A7" s="238" t="s">
        <v>2739</v>
      </c>
    </row>
    <row r="8" spans="1:1" ht="15.75">
      <c r="A8" s="268" t="s">
        <v>2740</v>
      </c>
    </row>
    <row r="9" spans="1:1" ht="15.75">
      <c r="A9" s="238" t="s">
        <v>2741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2742</v>
      </c>
      <c r="D1" s="205"/>
    </row>
    <row r="2" spans="1:7" s="200" customFormat="1">
      <c r="A2" s="183" t="s">
        <v>2743</v>
      </c>
      <c r="B2" s="185"/>
      <c r="C2" s="185"/>
      <c r="D2" s="182"/>
      <c r="E2" s="186"/>
      <c r="F2" s="185"/>
    </row>
    <row r="3" spans="1:7" s="273" customFormat="1" ht="80.25" customHeight="1">
      <c r="A3" s="202"/>
      <c r="B3" s="187" t="s">
        <v>2744</v>
      </c>
      <c r="C3" s="187" t="s">
        <v>2745</v>
      </c>
      <c r="D3" s="187" t="s">
        <v>2746</v>
      </c>
      <c r="E3" s="184" t="s">
        <v>2747</v>
      </c>
      <c r="F3" s="184"/>
      <c r="G3" s="276"/>
    </row>
    <row r="4" spans="1:7" s="274" customFormat="1">
      <c r="A4" s="188" t="s">
        <v>1815</v>
      </c>
      <c r="B4" s="188"/>
      <c r="C4" s="188"/>
      <c r="D4" s="188"/>
      <c r="E4" s="207"/>
      <c r="F4" s="188"/>
      <c r="G4" s="277"/>
    </row>
    <row r="5" spans="1:7" s="274" customFormat="1">
      <c r="A5" s="289" t="s">
        <v>1816</v>
      </c>
      <c r="B5" s="190">
        <f>'Sources and Uses Budget'!$C4</f>
        <v>9500000</v>
      </c>
      <c r="C5" s="190">
        <f>'Sources and Uses Budget'!$C4</f>
        <v>9500000</v>
      </c>
      <c r="D5" s="194">
        <f>C5-B5</f>
        <v>0</v>
      </c>
      <c r="E5" s="192"/>
      <c r="F5" s="191"/>
      <c r="G5" s="277"/>
    </row>
    <row r="6" spans="1:7" s="274" customFormat="1">
      <c r="A6" s="289" t="s">
        <v>1817</v>
      </c>
      <c r="B6" s="190">
        <f>'Sources and Uses Budget'!$C5</f>
        <v>235939</v>
      </c>
      <c r="C6" s="190">
        <f>'Sources and Uses Budget'!$C5</f>
        <v>235939</v>
      </c>
      <c r="D6" s="194">
        <f t="shared" ref="D6:D77" si="0">C6-B6</f>
        <v>0</v>
      </c>
      <c r="E6" s="192"/>
      <c r="F6" s="191"/>
      <c r="G6" s="277"/>
    </row>
    <row r="7" spans="1:7" s="274" customFormat="1">
      <c r="A7" s="289" t="s">
        <v>1818</v>
      </c>
      <c r="B7" s="190">
        <f>'Sources and Uses Budget'!$C6</f>
        <v>32536</v>
      </c>
      <c r="C7" s="190">
        <f>'Sources and Uses Budget'!$C6</f>
        <v>32536</v>
      </c>
      <c r="D7" s="194">
        <f t="shared" si="0"/>
        <v>0</v>
      </c>
      <c r="E7" s="192"/>
      <c r="F7" s="191"/>
      <c r="G7" s="277"/>
    </row>
    <row r="8" spans="1:7" s="274" customFormat="1">
      <c r="A8" s="289" t="s">
        <v>1819</v>
      </c>
      <c r="B8" s="190">
        <f>'Sources and Uses Budget'!$C7</f>
        <v>0</v>
      </c>
      <c r="C8" s="190">
        <f>'Sources and Uses Budget'!$C7</f>
        <v>0</v>
      </c>
      <c r="D8" s="194">
        <f t="shared" si="0"/>
        <v>0</v>
      </c>
      <c r="E8" s="192"/>
      <c r="F8" s="191"/>
      <c r="G8" s="277"/>
    </row>
    <row r="9" spans="1:7" s="274" customFormat="1">
      <c r="A9" s="290" t="s">
        <v>1820</v>
      </c>
      <c r="B9" s="194">
        <f>SUM(B5:B8)</f>
        <v>9768475</v>
      </c>
      <c r="C9" s="194">
        <f>SUM(C5:C8)</f>
        <v>9768475</v>
      </c>
      <c r="D9" s="194">
        <f t="shared" si="0"/>
        <v>0</v>
      </c>
      <c r="E9" s="192"/>
      <c r="F9" s="191"/>
      <c r="G9" s="277"/>
    </row>
    <row r="10" spans="1:7" s="274" customFormat="1">
      <c r="A10" s="289" t="s">
        <v>1821</v>
      </c>
      <c r="B10" s="190">
        <f>'Sources and Uses Budget'!$C9</f>
        <v>0</v>
      </c>
      <c r="C10" s="190">
        <f>'Sources and Uses Budget'!$C9</f>
        <v>0</v>
      </c>
      <c r="D10" s="194">
        <f t="shared" si="0"/>
        <v>0</v>
      </c>
      <c r="E10" s="192"/>
      <c r="F10" s="191"/>
      <c r="G10" s="277"/>
    </row>
    <row r="11" spans="1:7" s="274" customFormat="1">
      <c r="A11" s="289" t="s">
        <v>1822</v>
      </c>
      <c r="B11" s="190">
        <f>'Sources and Uses Budget'!$C10</f>
        <v>193951</v>
      </c>
      <c r="C11" s="190">
        <f>'Sources and Uses Budget'!$C10</f>
        <v>193951</v>
      </c>
      <c r="D11" s="194">
        <f t="shared" si="0"/>
        <v>0</v>
      </c>
      <c r="E11" s="192"/>
      <c r="F11" s="191"/>
      <c r="G11" s="277"/>
    </row>
    <row r="12" spans="1:7" s="274" customFormat="1">
      <c r="A12" s="290" t="s">
        <v>1823</v>
      </c>
      <c r="B12" s="194">
        <f>SUM(B10:B11)</f>
        <v>193951</v>
      </c>
      <c r="C12" s="194">
        <f>SUM(C10:C11)</f>
        <v>193951</v>
      </c>
      <c r="D12" s="194">
        <f t="shared" si="0"/>
        <v>0</v>
      </c>
      <c r="E12" s="192"/>
      <c r="F12" s="191"/>
      <c r="G12" s="277"/>
    </row>
    <row r="13" spans="1:7" s="274" customFormat="1">
      <c r="A13" s="290" t="s">
        <v>1824</v>
      </c>
      <c r="B13" s="194">
        <f>SUM(B9+B12)</f>
        <v>9962426</v>
      </c>
      <c r="C13" s="194">
        <f>SUM(C9+C12)</f>
        <v>9962426</v>
      </c>
      <c r="D13" s="194">
        <f t="shared" si="0"/>
        <v>0</v>
      </c>
      <c r="E13" s="192"/>
      <c r="F13" s="191"/>
      <c r="G13" s="277"/>
    </row>
    <row r="14" spans="1:7" s="274" customFormat="1">
      <c r="A14" s="291" t="s">
        <v>1825</v>
      </c>
      <c r="B14" s="190">
        <f>'Sources and Uses Budget'!$C13</f>
        <v>161396</v>
      </c>
      <c r="C14" s="190">
        <f>'Sources and Uses Budget'!$C13</f>
        <v>161396</v>
      </c>
      <c r="D14" s="194">
        <f t="shared" si="0"/>
        <v>0</v>
      </c>
      <c r="E14" s="192"/>
      <c r="F14" s="191"/>
      <c r="G14" s="277"/>
    </row>
    <row r="15" spans="1:7" s="274" customFormat="1" ht="24">
      <c r="A15" s="289" t="s">
        <v>1945</v>
      </c>
      <c r="B15" s="190">
        <f>'Sources and Uses Budget'!$C14</f>
        <v>0</v>
      </c>
      <c r="C15" s="190">
        <f>'Sources and Uses Budget'!$C14</f>
        <v>0</v>
      </c>
      <c r="D15" s="194">
        <f t="shared" si="0"/>
        <v>0</v>
      </c>
      <c r="E15" s="192"/>
      <c r="F15" s="191"/>
      <c r="G15" s="277"/>
    </row>
    <row r="16" spans="1:7" s="274" customFormat="1">
      <c r="A16" s="289" t="s">
        <v>1827</v>
      </c>
      <c r="B16" s="190">
        <f>'Sources and Uses Budget'!$C15</f>
        <v>0</v>
      </c>
      <c r="C16" s="190">
        <f>'Sources and Uses Budget'!$C15</f>
        <v>0</v>
      </c>
      <c r="D16" s="194">
        <f t="shared" si="0"/>
        <v>0</v>
      </c>
      <c r="E16" s="192"/>
      <c r="F16" s="191"/>
      <c r="G16" s="277"/>
    </row>
    <row r="17" spans="1:7" s="274" customFormat="1">
      <c r="A17" s="188" t="s">
        <v>1828</v>
      </c>
      <c r="B17" s="188"/>
      <c r="C17" s="188"/>
      <c r="D17" s="188"/>
      <c r="E17" s="207"/>
      <c r="F17" s="188"/>
      <c r="G17" s="277"/>
    </row>
    <row r="18" spans="1:7" s="274" customFormat="1">
      <c r="A18" s="208" t="s">
        <v>1829</v>
      </c>
      <c r="B18" s="190">
        <f>'Sources and Uses Budget'!$C17</f>
        <v>0</v>
      </c>
      <c r="C18" s="190">
        <f>'Sources and Uses Budget'!$C17</f>
        <v>0</v>
      </c>
      <c r="D18" s="194">
        <f t="shared" si="0"/>
        <v>0</v>
      </c>
      <c r="E18" s="192"/>
      <c r="F18" s="191"/>
      <c r="G18" s="277"/>
    </row>
    <row r="19" spans="1:7" s="274" customFormat="1">
      <c r="A19" s="208" t="s">
        <v>1830</v>
      </c>
      <c r="B19" s="190">
        <f>'Sources and Uses Budget'!$C18</f>
        <v>0</v>
      </c>
      <c r="C19" s="190">
        <f>'Sources and Uses Budget'!$C18</f>
        <v>0</v>
      </c>
      <c r="D19" s="194">
        <f t="shared" si="0"/>
        <v>0</v>
      </c>
      <c r="E19" s="192"/>
      <c r="F19" s="191"/>
      <c r="G19" s="277"/>
    </row>
    <row r="20" spans="1:7" s="274" customFormat="1">
      <c r="A20" s="208" t="s">
        <v>1831</v>
      </c>
      <c r="B20" s="190">
        <f>'Sources and Uses Budget'!$C19</f>
        <v>0</v>
      </c>
      <c r="C20" s="190">
        <f>'Sources and Uses Budget'!$C19</f>
        <v>0</v>
      </c>
      <c r="D20" s="194">
        <f t="shared" si="0"/>
        <v>0</v>
      </c>
      <c r="E20" s="192"/>
      <c r="F20" s="191"/>
      <c r="G20" s="277"/>
    </row>
    <row r="21" spans="1:7" s="274" customFormat="1">
      <c r="A21" s="208" t="s">
        <v>1832</v>
      </c>
      <c r="B21" s="190">
        <f>'Sources and Uses Budget'!$C20</f>
        <v>0</v>
      </c>
      <c r="C21" s="190">
        <f>'Sources and Uses Budget'!$C20</f>
        <v>0</v>
      </c>
      <c r="D21" s="194">
        <f t="shared" si="0"/>
        <v>0</v>
      </c>
      <c r="E21" s="192"/>
      <c r="F21" s="191"/>
      <c r="G21" s="277"/>
    </row>
    <row r="22" spans="1:7" s="274" customFormat="1">
      <c r="A22" s="208" t="s">
        <v>1833</v>
      </c>
      <c r="B22" s="190">
        <f>'Sources and Uses Budget'!$C21</f>
        <v>0</v>
      </c>
      <c r="C22" s="190">
        <f>'Sources and Uses Budget'!$C21</f>
        <v>0</v>
      </c>
      <c r="D22" s="194">
        <f t="shared" si="0"/>
        <v>0</v>
      </c>
      <c r="E22" s="192"/>
      <c r="F22" s="191"/>
      <c r="G22" s="277"/>
    </row>
    <row r="23" spans="1:7" s="274" customFormat="1">
      <c r="A23" s="208" t="s">
        <v>1834</v>
      </c>
      <c r="B23" s="190">
        <f>'Sources and Uses Budget'!$C22</f>
        <v>0</v>
      </c>
      <c r="C23" s="190">
        <f>'Sources and Uses Budget'!$C22</f>
        <v>0</v>
      </c>
      <c r="D23" s="194">
        <f t="shared" si="0"/>
        <v>0</v>
      </c>
      <c r="E23" s="192"/>
      <c r="F23" s="191"/>
      <c r="G23" s="277"/>
    </row>
    <row r="24" spans="1:7" s="274" customFormat="1">
      <c r="A24" s="208" t="s">
        <v>1835</v>
      </c>
      <c r="B24" s="190">
        <f>'Sources and Uses Budget'!$C23</f>
        <v>0</v>
      </c>
      <c r="C24" s="190">
        <f>'Sources and Uses Budget'!$C23</f>
        <v>0</v>
      </c>
      <c r="D24" s="194">
        <f t="shared" si="0"/>
        <v>0</v>
      </c>
      <c r="E24" s="192"/>
      <c r="F24" s="191"/>
      <c r="G24" s="277"/>
    </row>
    <row r="25" spans="1:7" s="274" customFormat="1">
      <c r="A25" s="434" t="s">
        <v>1836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1838</v>
      </c>
      <c r="B27" s="194">
        <f>SUM(B18:B26)</f>
        <v>0</v>
      </c>
      <c r="C27" s="194">
        <f>SUM(C18:C26)</f>
        <v>0</v>
      </c>
      <c r="D27" s="194">
        <f>SUM(D18:D26)</f>
        <v>0</v>
      </c>
      <c r="E27" s="192"/>
      <c r="F27" s="191"/>
      <c r="G27" s="277"/>
    </row>
    <row r="28" spans="1:7" s="274" customFormat="1">
      <c r="A28" s="195" t="s">
        <v>1839</v>
      </c>
      <c r="B28" s="190">
        <f>'Sources and Uses Budget'!$C$27</f>
        <v>0</v>
      </c>
      <c r="C28" s="190">
        <f>'Sources and Uses Budget'!$C$27</f>
        <v>0</v>
      </c>
      <c r="D28" s="194">
        <f t="shared" si="0"/>
        <v>0</v>
      </c>
      <c r="E28" s="192"/>
      <c r="F28" s="191"/>
      <c r="G28" s="277"/>
    </row>
    <row r="29" spans="1:7" s="274" customFormat="1">
      <c r="A29" s="188" t="s">
        <v>1840</v>
      </c>
      <c r="B29" s="188"/>
      <c r="C29" s="188"/>
      <c r="D29" s="188"/>
      <c r="E29" s="207"/>
      <c r="F29" s="188"/>
      <c r="G29" s="277"/>
    </row>
    <row r="30" spans="1:7" s="274" customFormat="1">
      <c r="A30" s="208" t="s">
        <v>1829</v>
      </c>
      <c r="B30" s="190">
        <f>'Sources and Uses Budget'!$C29</f>
        <v>3168135</v>
      </c>
      <c r="C30" s="190">
        <f>'Sources and Uses Budget'!$C29</f>
        <v>3168135</v>
      </c>
      <c r="D30" s="194">
        <f t="shared" si="0"/>
        <v>0</v>
      </c>
      <c r="E30" s="192"/>
      <c r="F30" s="191"/>
      <c r="G30" s="277"/>
    </row>
    <row r="31" spans="1:7" s="274" customFormat="1">
      <c r="A31" s="208" t="s">
        <v>1830</v>
      </c>
      <c r="B31" s="190">
        <f>'Sources and Uses Budget'!$C30</f>
        <v>41115239</v>
      </c>
      <c r="C31" s="190">
        <f>'Sources and Uses Budget'!$C30</f>
        <v>41115239</v>
      </c>
      <c r="D31" s="194">
        <f t="shared" si="0"/>
        <v>0</v>
      </c>
      <c r="E31" s="192"/>
      <c r="F31" s="191"/>
      <c r="G31" s="277"/>
    </row>
    <row r="32" spans="1:7" s="274" customFormat="1">
      <c r="A32" s="208" t="s">
        <v>1831</v>
      </c>
      <c r="B32" s="190">
        <f>'Sources and Uses Budget'!$C31</f>
        <v>1827409</v>
      </c>
      <c r="C32" s="190">
        <f>'Sources and Uses Budget'!$C31</f>
        <v>1827409</v>
      </c>
      <c r="D32" s="194">
        <f t="shared" si="0"/>
        <v>0</v>
      </c>
      <c r="E32" s="192"/>
      <c r="F32" s="191"/>
      <c r="G32" s="277"/>
    </row>
    <row r="33" spans="1:7" s="274" customFormat="1">
      <c r="A33" s="208" t="s">
        <v>1832</v>
      </c>
      <c r="B33" s="190">
        <f>'Sources and Uses Budget'!$C32</f>
        <v>773272</v>
      </c>
      <c r="C33" s="190">
        <f>'Sources and Uses Budget'!$C32</f>
        <v>773272</v>
      </c>
      <c r="D33" s="194">
        <f t="shared" si="0"/>
        <v>0</v>
      </c>
      <c r="E33" s="192"/>
      <c r="F33" s="191"/>
      <c r="G33" s="277"/>
    </row>
    <row r="34" spans="1:7" s="274" customFormat="1">
      <c r="A34" s="208" t="s">
        <v>1833</v>
      </c>
      <c r="B34" s="190">
        <f>'Sources and Uses Budget'!$C33</f>
        <v>773272</v>
      </c>
      <c r="C34" s="190">
        <f>'Sources and Uses Budget'!$C33</f>
        <v>773272</v>
      </c>
      <c r="D34" s="194">
        <f t="shared" si="0"/>
        <v>0</v>
      </c>
      <c r="E34" s="192"/>
      <c r="F34" s="191"/>
      <c r="G34" s="277"/>
    </row>
    <row r="35" spans="1:7" s="274" customFormat="1">
      <c r="A35" s="208" t="s">
        <v>1834</v>
      </c>
      <c r="B35" s="190">
        <f>'Sources and Uses Budget'!$C34</f>
        <v>0</v>
      </c>
      <c r="C35" s="190">
        <f>'Sources and Uses Budget'!$C34</f>
        <v>0</v>
      </c>
      <c r="D35" s="194">
        <f t="shared" si="0"/>
        <v>0</v>
      </c>
      <c r="E35" s="192"/>
      <c r="F35" s="191"/>
      <c r="G35" s="277"/>
    </row>
    <row r="36" spans="1:7" s="274" customFormat="1">
      <c r="A36" s="208" t="s">
        <v>1835</v>
      </c>
      <c r="B36" s="190">
        <f>'Sources and Uses Budget'!$C35</f>
        <v>515006</v>
      </c>
      <c r="C36" s="190">
        <f>'Sources and Uses Budget'!$C35</f>
        <v>515006</v>
      </c>
      <c r="D36" s="194">
        <f t="shared" si="0"/>
        <v>0</v>
      </c>
      <c r="E36" s="192"/>
      <c r="F36" s="191"/>
      <c r="G36" s="277"/>
    </row>
    <row r="37" spans="1:7" s="274" customFormat="1">
      <c r="A37" s="208" t="s">
        <v>1836</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1841</v>
      </c>
      <c r="B39" s="194">
        <f>SUM(B30:B38)</f>
        <v>48172333</v>
      </c>
      <c r="C39" s="194">
        <f>SUM(C30:C38)</f>
        <v>48172333</v>
      </c>
      <c r="D39" s="194">
        <f t="shared" si="0"/>
        <v>0</v>
      </c>
      <c r="E39" s="192"/>
      <c r="F39" s="191"/>
      <c r="G39" s="277"/>
    </row>
    <row r="40" spans="1:7" s="274" customFormat="1">
      <c r="A40" s="188" t="s">
        <v>1842</v>
      </c>
      <c r="B40" s="188"/>
      <c r="C40" s="188"/>
      <c r="D40" s="188"/>
      <c r="E40" s="207"/>
      <c r="F40" s="188"/>
      <c r="G40" s="277"/>
    </row>
    <row r="41" spans="1:7" s="274" customFormat="1">
      <c r="A41" s="193" t="s">
        <v>1843</v>
      </c>
      <c r="B41" s="190">
        <f>'Sources and Uses Budget'!$C40</f>
        <v>1450000</v>
      </c>
      <c r="C41" s="190">
        <f>'Sources and Uses Budget'!$C40</f>
        <v>1450000</v>
      </c>
      <c r="D41" s="194">
        <f t="shared" si="0"/>
        <v>0</v>
      </c>
      <c r="E41" s="192"/>
      <c r="F41" s="191"/>
      <c r="G41" s="277"/>
    </row>
    <row r="42" spans="1:7" s="274" customFormat="1">
      <c r="A42" s="193" t="s">
        <v>1844</v>
      </c>
      <c r="B42" s="190">
        <f>'Sources and Uses Budget'!$C41</f>
        <v>300000</v>
      </c>
      <c r="C42" s="190">
        <f>'Sources and Uses Budget'!$C41</f>
        <v>300000</v>
      </c>
      <c r="D42" s="194">
        <f t="shared" si="0"/>
        <v>0</v>
      </c>
      <c r="E42" s="192"/>
      <c r="F42" s="191"/>
      <c r="G42" s="277"/>
    </row>
    <row r="43" spans="1:7" s="274" customFormat="1">
      <c r="A43" s="195" t="s">
        <v>1845</v>
      </c>
      <c r="B43" s="194">
        <f>SUM(B41:B42)</f>
        <v>1750000</v>
      </c>
      <c r="C43" s="194">
        <f>SUM(C41:C42)</f>
        <v>1750000</v>
      </c>
      <c r="D43" s="194">
        <f t="shared" si="0"/>
        <v>0</v>
      </c>
      <c r="E43" s="192"/>
      <c r="F43" s="191"/>
      <c r="G43" s="277"/>
    </row>
    <row r="44" spans="1:7" s="274" customFormat="1">
      <c r="A44" s="195" t="s">
        <v>1846</v>
      </c>
      <c r="B44" s="190">
        <f>'Sources and Uses Budget'!$C43</f>
        <v>390000</v>
      </c>
      <c r="C44" s="190">
        <f>'Sources and Uses Budget'!$C43</f>
        <v>390000</v>
      </c>
      <c r="D44" s="194">
        <f t="shared" si="0"/>
        <v>0</v>
      </c>
      <c r="E44" s="192"/>
      <c r="F44" s="191"/>
      <c r="G44" s="277"/>
    </row>
    <row r="45" spans="1:7" s="274" customFormat="1" ht="12" customHeight="1">
      <c r="A45" s="188" t="s">
        <v>1847</v>
      </c>
      <c r="B45" s="188"/>
      <c r="C45" s="188"/>
      <c r="D45" s="188"/>
      <c r="E45" s="207"/>
      <c r="F45" s="188"/>
      <c r="G45" s="277"/>
    </row>
    <row r="46" spans="1:7" s="274" customFormat="1">
      <c r="A46" s="208" t="s">
        <v>1848</v>
      </c>
      <c r="B46" s="190">
        <f>'Sources and Uses Budget'!$C45</f>
        <v>5495736</v>
      </c>
      <c r="C46" s="190">
        <f>'Sources and Uses Budget'!$C45</f>
        <v>5495736</v>
      </c>
      <c r="D46" s="194">
        <f t="shared" si="0"/>
        <v>0</v>
      </c>
      <c r="E46" s="192"/>
      <c r="F46" s="191"/>
      <c r="G46" s="277"/>
    </row>
    <row r="47" spans="1:7" s="274" customFormat="1">
      <c r="A47" s="208" t="s">
        <v>1849</v>
      </c>
      <c r="B47" s="190">
        <f>'Sources and Uses Budget'!$C46</f>
        <v>451123</v>
      </c>
      <c r="C47" s="190">
        <f>'Sources and Uses Budget'!$C46</f>
        <v>451123</v>
      </c>
      <c r="D47" s="194">
        <f t="shared" si="0"/>
        <v>0</v>
      </c>
      <c r="E47" s="192"/>
      <c r="F47" s="191"/>
      <c r="G47" s="277"/>
    </row>
    <row r="48" spans="1:7" s="274" customFormat="1" ht="12" customHeight="1">
      <c r="A48" s="1200" t="s">
        <v>1850</v>
      </c>
      <c r="B48" s="190">
        <f>'Sources and Uses Budget'!$C47</f>
        <v>0</v>
      </c>
      <c r="C48" s="190">
        <f>'Sources and Uses Budget'!$C47</f>
        <v>0</v>
      </c>
      <c r="D48" s="194">
        <f t="shared" si="0"/>
        <v>0</v>
      </c>
      <c r="E48" s="192"/>
      <c r="F48" s="191"/>
      <c r="G48" s="277"/>
    </row>
    <row r="49" spans="1:7" s="274" customFormat="1">
      <c r="A49" s="208" t="s">
        <v>1851</v>
      </c>
      <c r="B49" s="190">
        <f>'Sources and Uses Budget'!$C48</f>
        <v>241261</v>
      </c>
      <c r="C49" s="190">
        <f>'Sources and Uses Budget'!$C48</f>
        <v>241261</v>
      </c>
      <c r="D49" s="194">
        <f t="shared" si="0"/>
        <v>0</v>
      </c>
      <c r="E49" s="192"/>
      <c r="F49" s="191"/>
      <c r="G49" s="277"/>
    </row>
    <row r="50" spans="1:7" s="274" customFormat="1">
      <c r="A50" s="208" t="s">
        <v>1852</v>
      </c>
      <c r="B50" s="190">
        <f>'Sources and Uses Budget'!$C49</f>
        <v>271714</v>
      </c>
      <c r="C50" s="190">
        <f>'Sources and Uses Budget'!$C49</f>
        <v>271714</v>
      </c>
      <c r="D50" s="194">
        <f t="shared" si="0"/>
        <v>0</v>
      </c>
      <c r="E50" s="192"/>
      <c r="F50" s="191"/>
      <c r="G50" s="277"/>
    </row>
    <row r="51" spans="1:7" s="274" customFormat="1">
      <c r="A51" s="208" t="s">
        <v>1853</v>
      </c>
      <c r="B51" s="190">
        <f>'Sources and Uses Budget'!$C50</f>
        <v>60000</v>
      </c>
      <c r="C51" s="190">
        <f>'Sources and Uses Budget'!$C50</f>
        <v>60000</v>
      </c>
      <c r="D51" s="194">
        <f t="shared" si="0"/>
        <v>0</v>
      </c>
      <c r="E51" s="192"/>
      <c r="F51" s="191"/>
      <c r="G51" s="277"/>
    </row>
    <row r="52" spans="1:7" s="274" customFormat="1">
      <c r="A52" s="208" t="s">
        <v>1854</v>
      </c>
      <c r="B52" s="190">
        <f>'Sources and Uses Budget'!$C51</f>
        <v>420000</v>
      </c>
      <c r="C52" s="190">
        <f>'Sources and Uses Budget'!$C51</f>
        <v>420000</v>
      </c>
      <c r="D52" s="194">
        <f t="shared" si="0"/>
        <v>0</v>
      </c>
      <c r="E52" s="192"/>
      <c r="F52" s="191"/>
      <c r="G52" s="277"/>
    </row>
    <row r="53" spans="1:7" s="274" customFormat="1">
      <c r="A53" s="208" t="s">
        <v>1855</v>
      </c>
      <c r="B53" s="190">
        <f>'Sources and Uses Budget'!$C52</f>
        <v>1147598</v>
      </c>
      <c r="C53" s="190">
        <f>'Sources and Uses Budget'!$C52</f>
        <v>1147598</v>
      </c>
      <c r="D53" s="194">
        <f t="shared" si="0"/>
        <v>0</v>
      </c>
      <c r="E53" s="192"/>
      <c r="F53" s="191"/>
      <c r="G53" s="277"/>
    </row>
    <row r="54" spans="1:7" s="274" customFormat="1" ht="24">
      <c r="A54" s="434" t="str">
        <f>'Sources and Uses Budget'!A53</f>
        <v>Other: Predev and Accrued Interest and Expenses</v>
      </c>
      <c r="B54" s="190">
        <f>'Sources and Uses Budget'!$C53</f>
        <v>3012853</v>
      </c>
      <c r="C54" s="190">
        <f>'Sources and Uses Budget'!$C53</f>
        <v>3012853</v>
      </c>
      <c r="D54" s="194">
        <f t="shared" si="0"/>
        <v>0</v>
      </c>
      <c r="E54" s="192"/>
      <c r="F54" s="191"/>
      <c r="G54" s="277"/>
    </row>
    <row r="55" spans="1:7" s="275" customFormat="1">
      <c r="A55" s="195" t="s">
        <v>1857</v>
      </c>
      <c r="B55" s="197">
        <f>SUM(B46:B54)</f>
        <v>11100285</v>
      </c>
      <c r="C55" s="197">
        <f>SUM(C46:C54)</f>
        <v>11100285</v>
      </c>
      <c r="D55" s="194">
        <f t="shared" si="0"/>
        <v>0</v>
      </c>
      <c r="E55" s="192"/>
      <c r="F55" s="191"/>
      <c r="G55" s="278"/>
    </row>
    <row r="56" spans="1:7" s="274" customFormat="1">
      <c r="A56" s="188" t="s">
        <v>1434</v>
      </c>
      <c r="B56" s="188"/>
      <c r="C56" s="188"/>
      <c r="D56" s="188"/>
      <c r="E56" s="207"/>
      <c r="F56" s="188"/>
      <c r="G56" s="277"/>
    </row>
    <row r="57" spans="1:7" s="274" customFormat="1">
      <c r="A57" s="193" t="s">
        <v>1858</v>
      </c>
      <c r="B57" s="190">
        <f>'Sources and Uses Budget'!$C56</f>
        <v>187430</v>
      </c>
      <c r="C57" s="190">
        <f>'Sources and Uses Budget'!$C56</f>
        <v>187430</v>
      </c>
      <c r="D57" s="194">
        <f t="shared" si="0"/>
        <v>0</v>
      </c>
      <c r="E57" s="192"/>
      <c r="F57" s="191"/>
      <c r="G57" s="277"/>
    </row>
    <row r="58" spans="1:7" s="274" customFormat="1" ht="12" customHeight="1">
      <c r="A58" s="193" t="s">
        <v>1850</v>
      </c>
      <c r="B58" s="190">
        <f>'Sources and Uses Budget'!$C57</f>
        <v>0</v>
      </c>
      <c r="C58" s="190">
        <f>'Sources and Uses Budget'!$C57</f>
        <v>0</v>
      </c>
      <c r="D58" s="194">
        <f t="shared" si="0"/>
        <v>0</v>
      </c>
      <c r="E58" s="192"/>
      <c r="F58" s="191"/>
      <c r="G58" s="277"/>
    </row>
    <row r="59" spans="1:7" s="274" customFormat="1">
      <c r="A59" s="193" t="s">
        <v>1853</v>
      </c>
      <c r="B59" s="190">
        <f>'Sources and Uses Budget'!$C58</f>
        <v>15000</v>
      </c>
      <c r="C59" s="190">
        <f>'Sources and Uses Budget'!$C58</f>
        <v>15000</v>
      </c>
      <c r="D59" s="194">
        <f t="shared" si="0"/>
        <v>0</v>
      </c>
      <c r="E59" s="192"/>
      <c r="F59" s="191"/>
      <c r="G59" s="277"/>
    </row>
    <row r="60" spans="1:7" s="274" customFormat="1">
      <c r="A60" s="193" t="s">
        <v>1854</v>
      </c>
      <c r="B60" s="190">
        <f>'Sources and Uses Budget'!$C59</f>
        <v>0</v>
      </c>
      <c r="C60" s="190">
        <f>'Sources and Uses Budget'!$C59</f>
        <v>0</v>
      </c>
      <c r="D60" s="194">
        <f t="shared" si="0"/>
        <v>0</v>
      </c>
      <c r="E60" s="192"/>
      <c r="F60" s="191"/>
      <c r="G60" s="277"/>
    </row>
    <row r="61" spans="1:7" s="274" customFormat="1">
      <c r="A61" s="193" t="s">
        <v>1855</v>
      </c>
      <c r="B61" s="190">
        <f>'Sources and Uses Budget'!$C60</f>
        <v>0</v>
      </c>
      <c r="C61" s="190">
        <f>'Sources and Uses Budget'!$C60</f>
        <v>0</v>
      </c>
      <c r="D61" s="194">
        <f t="shared" si="0"/>
        <v>0</v>
      </c>
      <c r="E61" s="192"/>
      <c r="F61" s="191"/>
      <c r="G61" s="277"/>
    </row>
    <row r="62" spans="1:7" s="274" customFormat="1">
      <c r="A62" s="938" t="str">
        <f>'Sources and Uses Budget'!A61</f>
        <v>Other: Perm Lender Expenses</v>
      </c>
      <c r="B62" s="190">
        <f>'Sources and Uses Budget'!$C61</f>
        <v>10000</v>
      </c>
      <c r="C62" s="190">
        <f>'Sources and Uses Budget'!$C61</f>
        <v>10000</v>
      </c>
      <c r="D62" s="194">
        <f t="shared" si="0"/>
        <v>0</v>
      </c>
      <c r="E62" s="192"/>
      <c r="F62" s="191"/>
      <c r="G62" s="277"/>
    </row>
    <row r="63" spans="1:7" s="274" customFormat="1" ht="13.7" customHeight="1">
      <c r="A63" s="195" t="s">
        <v>1860</v>
      </c>
      <c r="B63" s="194">
        <f>SUM(B57:B62)</f>
        <v>212430</v>
      </c>
      <c r="C63" s="194">
        <f>SUM(C57:C62)</f>
        <v>212430</v>
      </c>
      <c r="D63" s="194">
        <f t="shared" si="0"/>
        <v>0</v>
      </c>
      <c r="E63" s="192"/>
      <c r="F63" s="191"/>
      <c r="G63" s="277"/>
    </row>
    <row r="64" spans="1:7" s="274" customFormat="1">
      <c r="A64" s="198" t="s">
        <v>1861</v>
      </c>
      <c r="B64" s="194">
        <f>SUM(B9+B12+B14+B15+B17+B26+B28+B39+B43+B44+B55+B63)</f>
        <v>71748870</v>
      </c>
      <c r="C64" s="194">
        <f>SUM(C9+C12+C14+C15+C17+C26+C28+C39+C43+C44+C55+C63)</f>
        <v>71748870</v>
      </c>
      <c r="D64" s="194">
        <f t="shared" si="0"/>
        <v>0</v>
      </c>
      <c r="E64" s="192"/>
      <c r="F64" s="191"/>
      <c r="G64" s="277"/>
    </row>
    <row r="65" spans="1:7" s="274" customFormat="1" ht="24">
      <c r="A65" s="105" t="s">
        <v>1862</v>
      </c>
      <c r="B65" s="188"/>
      <c r="C65" s="188"/>
      <c r="D65" s="188"/>
      <c r="E65" s="207"/>
      <c r="F65" s="188"/>
      <c r="G65" s="277"/>
    </row>
    <row r="66" spans="1:7" s="274" customFormat="1">
      <c r="A66" s="208" t="s">
        <v>1863</v>
      </c>
      <c r="B66" s="190">
        <f>'Sources and Uses Budget'!$C65</f>
        <v>100000</v>
      </c>
      <c r="C66" s="190">
        <f>'Sources and Uses Budget'!$C65</f>
        <v>100000</v>
      </c>
      <c r="D66" s="194">
        <f t="shared" si="0"/>
        <v>0</v>
      </c>
      <c r="E66" s="192"/>
      <c r="F66" s="191"/>
      <c r="G66" s="277"/>
    </row>
    <row r="67" spans="1:7" s="274" customFormat="1" ht="24">
      <c r="A67" s="208" t="s">
        <v>1864</v>
      </c>
      <c r="B67" s="190">
        <f>'Sources and Uses Budget'!$C66</f>
        <v>0</v>
      </c>
      <c r="C67" s="190">
        <f>'Sources and Uses Budget'!$C66</f>
        <v>0</v>
      </c>
      <c r="D67" s="194"/>
      <c r="E67" s="192"/>
      <c r="F67" s="191"/>
      <c r="G67" s="277"/>
    </row>
    <row r="68" spans="1:7" s="274" customFormat="1" ht="24">
      <c r="A68" s="208" t="s">
        <v>1865</v>
      </c>
      <c r="B68" s="190">
        <f>'Sources and Uses Budget'!$C67</f>
        <v>0</v>
      </c>
      <c r="C68" s="190">
        <f>'Sources and Uses Budget'!$C67</f>
        <v>0</v>
      </c>
      <c r="D68" s="194"/>
      <c r="E68" s="192"/>
      <c r="F68" s="191"/>
      <c r="G68" s="277"/>
    </row>
    <row r="69" spans="1:7" s="274" customFormat="1">
      <c r="A69" s="208" t="s">
        <v>1866</v>
      </c>
      <c r="B69" s="190">
        <f>'Sources and Uses Budget'!$C68</f>
        <v>0</v>
      </c>
      <c r="C69" s="190">
        <f>'Sources and Uses Budget'!$C68</f>
        <v>0</v>
      </c>
      <c r="D69" s="194"/>
      <c r="E69" s="192"/>
      <c r="F69" s="191"/>
      <c r="G69" s="277"/>
    </row>
    <row r="70" spans="1:7" s="274" customFormat="1">
      <c r="A70" s="434" t="str">
        <f>'Sources and Uses Budget'!A69</f>
        <v>Other: Owner Legal Expenses</v>
      </c>
      <c r="B70" s="190">
        <f>'Sources and Uses Budget'!$C69</f>
        <v>80000</v>
      </c>
      <c r="C70" s="190">
        <f>'Sources and Uses Budget'!$C69</f>
        <v>80000</v>
      </c>
      <c r="D70" s="194">
        <f t="shared" si="0"/>
        <v>0</v>
      </c>
      <c r="E70" s="192"/>
      <c r="F70" s="191"/>
      <c r="G70" s="277"/>
    </row>
    <row r="71" spans="1:7" s="274" customFormat="1">
      <c r="A71" s="107" t="s">
        <v>1868</v>
      </c>
      <c r="B71" s="194">
        <f>SUM(B66:B70)</f>
        <v>180000</v>
      </c>
      <c r="C71" s="194">
        <f>SUM(C66:C70)</f>
        <v>180000</v>
      </c>
      <c r="D71" s="194">
        <f t="shared" si="0"/>
        <v>0</v>
      </c>
      <c r="E71" s="192"/>
      <c r="F71" s="191"/>
      <c r="G71" s="277"/>
    </row>
    <row r="72" spans="1:7" s="274" customFormat="1">
      <c r="A72" s="188" t="s">
        <v>1869</v>
      </c>
      <c r="B72" s="188"/>
      <c r="C72" s="188"/>
      <c r="D72" s="188"/>
      <c r="E72" s="207"/>
      <c r="F72" s="188"/>
      <c r="G72" s="277"/>
    </row>
    <row r="73" spans="1:7" s="274" customFormat="1">
      <c r="A73" s="193" t="s">
        <v>1870</v>
      </c>
      <c r="B73" s="190">
        <f>'Sources and Uses Budget'!$C72</f>
        <v>0</v>
      </c>
      <c r="C73" s="190">
        <f>'Sources and Uses Budget'!$C72</f>
        <v>0</v>
      </c>
      <c r="D73" s="194">
        <f t="shared" si="0"/>
        <v>0</v>
      </c>
      <c r="E73" s="192"/>
      <c r="F73" s="191"/>
      <c r="G73" s="277"/>
    </row>
    <row r="74" spans="1:7" s="274" customFormat="1">
      <c r="A74" s="193" t="s">
        <v>1871</v>
      </c>
      <c r="B74" s="190">
        <f>'Sources and Uses Budget'!$C73</f>
        <v>143048</v>
      </c>
      <c r="C74" s="190">
        <f>'Sources and Uses Budget'!$C73</f>
        <v>143048</v>
      </c>
      <c r="D74" s="194">
        <f t="shared" si="0"/>
        <v>0</v>
      </c>
      <c r="E74" s="192"/>
      <c r="F74" s="191"/>
      <c r="G74" s="277"/>
    </row>
    <row r="75" spans="1:7" s="274" customFormat="1">
      <c r="A75" s="211" t="s">
        <v>1872</v>
      </c>
      <c r="B75" s="190">
        <f>'Sources and Uses Budget'!$C74</f>
        <v>0</v>
      </c>
      <c r="C75" s="190">
        <f>'Sources and Uses Budget'!$C74</f>
        <v>0</v>
      </c>
      <c r="D75" s="194">
        <f t="shared" si="0"/>
        <v>0</v>
      </c>
      <c r="E75" s="192"/>
      <c r="F75" s="191"/>
      <c r="G75" s="277"/>
    </row>
    <row r="76" spans="1:7" s="274" customFormat="1">
      <c r="A76" s="193" t="s">
        <v>1873</v>
      </c>
      <c r="B76" s="190">
        <f>'Sources and Uses Budget'!$C75</f>
        <v>941372</v>
      </c>
      <c r="C76" s="190">
        <f>'Sources and Uses Budget'!$C75</f>
        <v>941372</v>
      </c>
      <c r="D76" s="194">
        <f t="shared" si="0"/>
        <v>0</v>
      </c>
      <c r="E76" s="192"/>
      <c r="F76" s="191"/>
      <c r="G76" s="277"/>
    </row>
    <row r="77" spans="1:7" s="274" customFormat="1">
      <c r="A77" s="196" t="s">
        <v>1837</v>
      </c>
      <c r="B77" s="190">
        <f>'Sources and Uses Budget'!$C76</f>
        <v>0</v>
      </c>
      <c r="C77" s="190">
        <f>'Sources and Uses Budget'!$C76</f>
        <v>0</v>
      </c>
      <c r="D77" s="194">
        <f t="shared" si="0"/>
        <v>0</v>
      </c>
      <c r="E77" s="192"/>
      <c r="F77" s="191"/>
      <c r="G77" s="277"/>
    </row>
    <row r="78" spans="1:7" s="274" customFormat="1">
      <c r="A78" s="195" t="s">
        <v>1874</v>
      </c>
      <c r="B78" s="194">
        <f>SUM(B73:B77)</f>
        <v>1084420</v>
      </c>
      <c r="C78" s="194">
        <f>SUM(C73:C77)</f>
        <v>1084420</v>
      </c>
      <c r="D78" s="194">
        <f t="shared" ref="D78:D106" si="1">C78-B78</f>
        <v>0</v>
      </c>
      <c r="E78" s="192"/>
      <c r="F78" s="191"/>
      <c r="G78" s="277"/>
    </row>
    <row r="79" spans="1:7" s="274" customFormat="1">
      <c r="A79" s="188" t="s">
        <v>1875</v>
      </c>
      <c r="B79" s="188"/>
      <c r="C79" s="188"/>
      <c r="D79" s="188"/>
      <c r="E79" s="207"/>
      <c r="F79" s="188"/>
      <c r="G79" s="277"/>
    </row>
    <row r="80" spans="1:7" s="274" customFormat="1">
      <c r="A80" s="435" t="s">
        <v>1876</v>
      </c>
      <c r="B80" s="190">
        <f>'Sources and Uses Budget'!$C79</f>
        <v>5713945</v>
      </c>
      <c r="C80" s="190">
        <f>'Sources and Uses Budget'!$C79</f>
        <v>5713945</v>
      </c>
      <c r="D80" s="194">
        <f t="shared" si="1"/>
        <v>0</v>
      </c>
      <c r="E80" s="192"/>
      <c r="F80" s="191"/>
      <c r="G80" s="277"/>
    </row>
    <row r="81" spans="1:7" s="274" customFormat="1">
      <c r="A81" s="435" t="s">
        <v>1877</v>
      </c>
      <c r="B81" s="190">
        <f>'Sources and Uses Budget'!$C80</f>
        <v>384239</v>
      </c>
      <c r="C81" s="190">
        <f>'Sources and Uses Budget'!$C80</f>
        <v>384239</v>
      </c>
      <c r="D81" s="194">
        <f>C81-B81</f>
        <v>0</v>
      </c>
      <c r="E81" s="192"/>
      <c r="F81" s="191"/>
      <c r="G81" s="277"/>
    </row>
    <row r="82" spans="1:7" s="274" customFormat="1">
      <c r="A82" s="195" t="s">
        <v>1878</v>
      </c>
      <c r="B82" s="194">
        <f>SUM(B80:B81)</f>
        <v>6098184</v>
      </c>
      <c r="C82" s="194">
        <f>SUM(C80:C81)</f>
        <v>6098184</v>
      </c>
      <c r="D82" s="194">
        <f t="shared" si="1"/>
        <v>0</v>
      </c>
      <c r="E82" s="192"/>
      <c r="F82" s="191"/>
      <c r="G82" s="277"/>
    </row>
    <row r="83" spans="1:7" s="274" customFormat="1">
      <c r="A83" s="188" t="s">
        <v>1879</v>
      </c>
      <c r="B83" s="188"/>
      <c r="C83" s="188"/>
      <c r="D83" s="188"/>
      <c r="E83" s="207"/>
      <c r="F83" s="188"/>
      <c r="G83" s="277"/>
    </row>
    <row r="84" spans="1:7" s="274" customFormat="1" ht="13.7" customHeight="1">
      <c r="A84" s="193" t="s">
        <v>2748</v>
      </c>
      <c r="B84" s="190">
        <f>'Sources and Uses Budget'!$C83</f>
        <v>74948</v>
      </c>
      <c r="C84" s="190">
        <f>'Sources and Uses Budget'!$C83</f>
        <v>74948</v>
      </c>
      <c r="D84" s="194">
        <f t="shared" si="1"/>
        <v>0</v>
      </c>
      <c r="E84" s="192"/>
      <c r="F84" s="191"/>
      <c r="G84" s="277"/>
    </row>
    <row r="85" spans="1:7" s="274" customFormat="1">
      <c r="A85" s="193" t="s">
        <v>1881</v>
      </c>
      <c r="B85" s="190">
        <f>'Sources and Uses Budget'!$C84</f>
        <v>7500</v>
      </c>
      <c r="C85" s="190">
        <f>'Sources and Uses Budget'!$C84</f>
        <v>7500</v>
      </c>
      <c r="D85" s="194">
        <f t="shared" si="1"/>
        <v>0</v>
      </c>
      <c r="E85" s="192"/>
      <c r="F85" s="191"/>
      <c r="G85" s="277"/>
    </row>
    <row r="86" spans="1:7" s="274" customFormat="1">
      <c r="A86" s="193" t="s">
        <v>1882</v>
      </c>
      <c r="B86" s="190">
        <f>'Sources and Uses Budget'!$C85</f>
        <v>1093253</v>
      </c>
      <c r="C86" s="190">
        <f>'Sources and Uses Budget'!$C85</f>
        <v>1093253</v>
      </c>
      <c r="D86" s="194">
        <f t="shared" si="1"/>
        <v>0</v>
      </c>
      <c r="E86" s="192"/>
      <c r="F86" s="191"/>
      <c r="G86" s="277"/>
    </row>
    <row r="87" spans="1:7" s="274" customFormat="1">
      <c r="A87" s="193" t="s">
        <v>1883</v>
      </c>
      <c r="B87" s="190">
        <f>'Sources and Uses Budget'!$C86</f>
        <v>600000</v>
      </c>
      <c r="C87" s="190">
        <f>'Sources and Uses Budget'!$C86</f>
        <v>600000</v>
      </c>
      <c r="D87" s="194">
        <f t="shared" si="1"/>
        <v>0</v>
      </c>
      <c r="E87" s="192"/>
      <c r="F87" s="191"/>
      <c r="G87" s="277"/>
    </row>
    <row r="88" spans="1:7" s="274" customFormat="1">
      <c r="A88" s="193" t="s">
        <v>1884</v>
      </c>
      <c r="B88" s="190">
        <f>'Sources and Uses Budget'!$C87</f>
        <v>500000</v>
      </c>
      <c r="C88" s="190">
        <f>'Sources and Uses Budget'!$C87</f>
        <v>500000</v>
      </c>
      <c r="D88" s="194">
        <f t="shared" si="1"/>
        <v>0</v>
      </c>
      <c r="E88" s="192"/>
      <c r="F88" s="191"/>
      <c r="G88" s="277"/>
    </row>
    <row r="89" spans="1:7" s="274" customFormat="1">
      <c r="A89" s="193" t="s">
        <v>1885</v>
      </c>
      <c r="B89" s="190">
        <f>'Sources and Uses Budget'!$C88</f>
        <v>514397</v>
      </c>
      <c r="C89" s="190">
        <f>'Sources and Uses Budget'!$C88</f>
        <v>514397</v>
      </c>
      <c r="D89" s="194">
        <f t="shared" si="1"/>
        <v>0</v>
      </c>
      <c r="E89" s="192"/>
      <c r="F89" s="191"/>
      <c r="G89" s="277"/>
    </row>
    <row r="90" spans="1:7" s="274" customFormat="1">
      <c r="A90" s="193" t="s">
        <v>1886</v>
      </c>
      <c r="B90" s="190">
        <f>'Sources and Uses Budget'!$C89</f>
        <v>262500</v>
      </c>
      <c r="C90" s="190">
        <f>'Sources and Uses Budget'!$C89</f>
        <v>262500</v>
      </c>
      <c r="D90" s="194">
        <f t="shared" si="1"/>
        <v>0</v>
      </c>
      <c r="E90" s="192"/>
      <c r="F90" s="191"/>
      <c r="G90" s="277"/>
    </row>
    <row r="91" spans="1:7" s="274" customFormat="1">
      <c r="A91" s="193" t="s">
        <v>1887</v>
      </c>
      <c r="B91" s="190">
        <f>'Sources and Uses Budget'!$C90</f>
        <v>8500</v>
      </c>
      <c r="C91" s="190">
        <f>'Sources and Uses Budget'!$C90</f>
        <v>8500</v>
      </c>
      <c r="D91" s="194">
        <f t="shared" si="1"/>
        <v>0</v>
      </c>
      <c r="E91" s="192"/>
      <c r="F91" s="191"/>
      <c r="G91" s="277"/>
    </row>
    <row r="92" spans="1:7" s="274" customFormat="1">
      <c r="A92" s="193" t="s">
        <v>1888</v>
      </c>
      <c r="B92" s="190">
        <f>'Sources and Uses Budget'!$C91</f>
        <v>0</v>
      </c>
      <c r="C92" s="190">
        <f>'Sources and Uses Budget'!$C91</f>
        <v>0</v>
      </c>
      <c r="D92" s="194">
        <f t="shared" si="1"/>
        <v>0</v>
      </c>
      <c r="E92" s="192"/>
      <c r="F92" s="191"/>
      <c r="G92" s="277"/>
    </row>
    <row r="93" spans="1:7" s="274" customFormat="1">
      <c r="A93" s="435" t="s">
        <v>1889</v>
      </c>
      <c r="B93" s="190">
        <f>'Sources and Uses Budget'!$C92</f>
        <v>6500</v>
      </c>
      <c r="C93" s="190">
        <f>'Sources and Uses Budget'!$C92</f>
        <v>6500</v>
      </c>
      <c r="D93" s="194">
        <f t="shared" si="1"/>
        <v>0</v>
      </c>
      <c r="E93" s="192"/>
      <c r="F93" s="191"/>
      <c r="G93" s="277"/>
    </row>
    <row r="94" spans="1:7" s="274" customFormat="1">
      <c r="A94" s="196" t="s">
        <v>1837</v>
      </c>
      <c r="B94" s="190">
        <f>'Sources and Uses Budget'!$C93</f>
        <v>250000</v>
      </c>
      <c r="C94" s="190">
        <f>'Sources and Uses Budget'!$C93</f>
        <v>250000</v>
      </c>
      <c r="D94" s="194">
        <f t="shared" si="1"/>
        <v>0</v>
      </c>
      <c r="E94" s="192"/>
      <c r="F94" s="191"/>
      <c r="G94" s="277"/>
    </row>
    <row r="95" spans="1:7" s="274" customFormat="1">
      <c r="A95" s="196" t="s">
        <v>1837</v>
      </c>
      <c r="B95" s="190">
        <f>'Sources and Uses Budget'!$C94</f>
        <v>9000</v>
      </c>
      <c r="C95" s="190">
        <f>'Sources and Uses Budget'!$C94</f>
        <v>9000</v>
      </c>
      <c r="D95" s="194">
        <f t="shared" si="1"/>
        <v>0</v>
      </c>
      <c r="E95" s="192"/>
      <c r="F95" s="191"/>
      <c r="G95" s="277"/>
    </row>
    <row r="96" spans="1:7" s="274" customFormat="1">
      <c r="A96" s="196" t="s">
        <v>1837</v>
      </c>
      <c r="B96" s="190">
        <f>'Sources and Uses Budget'!$C95</f>
        <v>400000</v>
      </c>
      <c r="C96" s="190">
        <f>'Sources and Uses Budget'!$C95</f>
        <v>400000</v>
      </c>
      <c r="D96" s="194">
        <f t="shared" si="1"/>
        <v>0</v>
      </c>
      <c r="E96" s="192"/>
      <c r="F96" s="191"/>
      <c r="G96" s="277"/>
    </row>
    <row r="97" spans="1:7" s="274" customFormat="1">
      <c r="A97" s="195" t="s">
        <v>1893</v>
      </c>
      <c r="B97" s="194">
        <f>SUM(B84:B96)</f>
        <v>3726598</v>
      </c>
      <c r="C97" s="194">
        <f>SUM(C84:C96)</f>
        <v>3726598</v>
      </c>
      <c r="D97" s="194">
        <f t="shared" si="1"/>
        <v>0</v>
      </c>
      <c r="E97" s="192"/>
      <c r="F97" s="191"/>
      <c r="G97" s="277"/>
    </row>
    <row r="98" spans="1:7" s="274" customFormat="1">
      <c r="A98" s="195" t="s">
        <v>1894</v>
      </c>
      <c r="B98" s="194">
        <f>SUM(B64+B71+B78+B82+B97)</f>
        <v>82838072</v>
      </c>
      <c r="C98" s="194">
        <f>SUM(C64+C71+C78+C82+C97)</f>
        <v>82838072</v>
      </c>
      <c r="D98" s="194">
        <f t="shared" si="1"/>
        <v>0</v>
      </c>
      <c r="E98" s="192"/>
      <c r="F98" s="191"/>
      <c r="G98" s="277"/>
    </row>
    <row r="99" spans="1:7" s="274" customFormat="1">
      <c r="A99" s="188" t="s">
        <v>1895</v>
      </c>
      <c r="B99" s="188"/>
      <c r="C99" s="188"/>
      <c r="D99" s="188"/>
      <c r="E99" s="207"/>
      <c r="F99" s="188"/>
      <c r="G99" s="277"/>
    </row>
    <row r="100" spans="1:7" s="274" customFormat="1">
      <c r="A100" s="208" t="s">
        <v>1896</v>
      </c>
      <c r="B100" s="190">
        <f>'Sources and Uses Budget'!$C99</f>
        <v>9807100</v>
      </c>
      <c r="C100" s="190">
        <f>'Sources and Uses Budget'!$C99</f>
        <v>9807100</v>
      </c>
      <c r="D100" s="194">
        <f t="shared" si="1"/>
        <v>0</v>
      </c>
      <c r="E100" s="192"/>
      <c r="F100" s="191"/>
      <c r="G100" s="277"/>
    </row>
    <row r="101" spans="1:7" s="274" customFormat="1">
      <c r="A101" s="208" t="s">
        <v>1897</v>
      </c>
      <c r="B101" s="190">
        <f>'Sources and Uses Budget'!$C100</f>
        <v>0</v>
      </c>
      <c r="C101" s="190">
        <f>'Sources and Uses Budget'!$C100</f>
        <v>0</v>
      </c>
      <c r="D101" s="194">
        <f t="shared" si="1"/>
        <v>0</v>
      </c>
      <c r="E101" s="192"/>
      <c r="F101" s="191"/>
      <c r="G101" s="277"/>
    </row>
    <row r="102" spans="1:7" s="274" customFormat="1">
      <c r="A102" s="208" t="s">
        <v>1898</v>
      </c>
      <c r="B102" s="190">
        <f>'Sources and Uses Budget'!$C101</f>
        <v>0</v>
      </c>
      <c r="C102" s="190">
        <f>'Sources and Uses Budget'!$C101</f>
        <v>0</v>
      </c>
      <c r="D102" s="194">
        <f t="shared" si="1"/>
        <v>0</v>
      </c>
      <c r="E102" s="192"/>
      <c r="F102" s="191"/>
      <c r="G102" s="277"/>
    </row>
    <row r="103" spans="1:7" s="274" customFormat="1" ht="12" customHeight="1">
      <c r="A103" s="208" t="s">
        <v>1899</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1900</v>
      </c>
      <c r="B105" s="194">
        <f>SUM(B100:B104)</f>
        <v>9807100</v>
      </c>
      <c r="C105" s="194">
        <f>SUM(C100:C104)</f>
        <v>9807100</v>
      </c>
      <c r="D105" s="194">
        <f t="shared" si="1"/>
        <v>0</v>
      </c>
      <c r="E105" s="192"/>
      <c r="F105" s="191"/>
      <c r="G105" s="277"/>
    </row>
    <row r="106" spans="1:7" s="274" customFormat="1">
      <c r="A106" s="195" t="s">
        <v>1901</v>
      </c>
      <c r="B106" s="197">
        <f>SUM(B98+B105)</f>
        <v>92645172</v>
      </c>
      <c r="C106" s="197">
        <f>SUM(C98+C105)</f>
        <v>92645172</v>
      </c>
      <c r="D106" s="194">
        <f t="shared" si="1"/>
        <v>0</v>
      </c>
      <c r="E106" s="192"/>
      <c r="F106" s="191"/>
      <c r="G106" s="277"/>
    </row>
    <row r="107" spans="1:7" s="274" customFormat="1">
      <c r="A107" s="202" t="s">
        <v>2749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2" t="s">
        <v>292</v>
      </c>
      <c r="B2" s="1252"/>
      <c r="C2" s="1227"/>
      <c r="D2" s="1227"/>
      <c r="E2" s="1227"/>
      <c r="F2" s="1227"/>
      <c r="G2" s="1227"/>
    </row>
    <row r="3" spans="1:9" s="121" customFormat="1">
      <c r="A3" s="1252" t="s">
        <v>293</v>
      </c>
      <c r="B3" s="1252"/>
      <c r="C3" s="1227"/>
      <c r="D3" s="1227"/>
      <c r="E3" s="1227"/>
      <c r="F3" s="1227"/>
      <c r="G3" s="1227"/>
      <c r="I3" t="s">
        <v>294</v>
      </c>
    </row>
    <row r="4" spans="1:9">
      <c r="A4" s="279"/>
      <c r="B4" s="279"/>
      <c r="C4" s="279"/>
      <c r="D4" s="3"/>
      <c r="E4" s="3"/>
      <c r="F4" s="3"/>
      <c r="G4" s="3"/>
      <c r="I4" s="3" t="s">
        <v>295</v>
      </c>
    </row>
    <row r="5" spans="1:9">
      <c r="A5" s="1254" t="s">
        <v>296</v>
      </c>
      <c r="B5" s="1254"/>
      <c r="C5" s="1227"/>
      <c r="D5" s="1227"/>
      <c r="E5" s="1227"/>
      <c r="F5" s="1227"/>
      <c r="G5" s="1227"/>
      <c r="I5" s="3" t="s">
        <v>297</v>
      </c>
    </row>
    <row r="6" spans="1:9">
      <c r="A6" s="1254" t="s">
        <v>298</v>
      </c>
      <c r="B6" s="1254"/>
      <c r="C6" s="1227"/>
      <c r="D6" s="1227"/>
      <c r="E6" s="1227"/>
      <c r="F6" s="1227"/>
      <c r="G6" s="1227"/>
      <c r="I6" t="s">
        <v>299</v>
      </c>
    </row>
    <row r="7" spans="1:9" ht="12" customHeight="1">
      <c r="A7" s="279"/>
      <c r="B7" s="279"/>
      <c r="C7" s="279"/>
      <c r="D7" s="3"/>
      <c r="E7" s="3"/>
      <c r="F7" s="3"/>
      <c r="G7" s="3"/>
    </row>
    <row r="8" spans="1:9">
      <c r="A8" s="1252" t="s">
        <v>300</v>
      </c>
      <c r="B8" s="1252"/>
      <c r="C8" s="1253"/>
      <c r="D8" s="1253"/>
      <c r="E8" s="1253"/>
      <c r="F8" s="1253"/>
      <c r="G8" s="1253"/>
    </row>
    <row r="9" spans="1:9">
      <c r="A9" s="1252" t="s">
        <v>301</v>
      </c>
      <c r="B9" s="1252"/>
      <c r="C9" s="1253"/>
      <c r="D9" s="1253"/>
      <c r="E9" s="1253"/>
      <c r="F9" s="1253"/>
      <c r="G9" s="1253"/>
    </row>
    <row r="10" spans="1:9">
      <c r="A10" s="122"/>
      <c r="B10" s="122"/>
      <c r="C10" s="120"/>
      <c r="D10" s="120"/>
      <c r="E10" s="120"/>
      <c r="F10" s="120"/>
      <c r="G10" s="3"/>
    </row>
    <row r="11" spans="1:9">
      <c r="A11" s="1234" t="s">
        <v>302</v>
      </c>
      <c r="B11" s="1234"/>
      <c r="C11" s="1234"/>
      <c r="D11" s="1234"/>
      <c r="E11" s="1234"/>
      <c r="F11" s="1234"/>
      <c r="G11" s="1234"/>
    </row>
    <row r="12" spans="1:9">
      <c r="A12" s="120"/>
      <c r="B12" s="120"/>
      <c r="C12" s="279"/>
      <c r="D12" s="3"/>
      <c r="E12" s="2"/>
      <c r="F12" s="3"/>
      <c r="G12" s="3"/>
    </row>
    <row r="13" spans="1:9" ht="13.35" customHeight="1">
      <c r="A13" s="279"/>
      <c r="B13" s="279"/>
      <c r="C13" s="120"/>
      <c r="D13" s="1265" t="s">
        <v>303</v>
      </c>
      <c r="E13" s="1265"/>
      <c r="F13" s="1265"/>
      <c r="G13" s="3"/>
    </row>
    <row r="14" spans="1:9">
      <c r="A14" s="279"/>
      <c r="B14" s="279"/>
      <c r="C14" s="120"/>
      <c r="D14" s="1265"/>
      <c r="E14" s="1265"/>
      <c r="F14" s="1265"/>
      <c r="G14" s="3"/>
    </row>
    <row r="15" spans="1:9">
      <c r="A15" s="123"/>
      <c r="B15" s="123"/>
      <c r="C15" s="123"/>
      <c r="D15" s="1230" t="s">
        <v>304</v>
      </c>
      <c r="E15" s="1230"/>
      <c r="F15" s="1230"/>
      <c r="G15" s="3"/>
    </row>
    <row r="16" spans="1:9">
      <c r="A16" s="123"/>
      <c r="B16" s="123"/>
      <c r="C16" s="123"/>
      <c r="D16" s="143"/>
      <c r="E16" s="3"/>
      <c r="F16" s="3"/>
      <c r="G16" s="3"/>
    </row>
    <row r="17" spans="1:6" ht="14.25">
      <c r="A17" s="124"/>
      <c r="B17" s="362" t="s">
        <v>294</v>
      </c>
      <c r="C17" s="123"/>
      <c r="D17" s="1219" t="s">
        <v>305</v>
      </c>
      <c r="E17" s="1219"/>
      <c r="F17" s="1219"/>
    </row>
    <row r="18" spans="1:6">
      <c r="A18" s="123"/>
      <c r="B18" s="123"/>
      <c r="C18" s="123"/>
      <c r="D18" s="1219"/>
      <c r="E18" s="1219"/>
      <c r="F18" s="1219"/>
    </row>
    <row r="19" spans="1:6">
      <c r="A19" s="123"/>
      <c r="B19" s="123"/>
      <c r="C19" s="123"/>
      <c r="D19" s="1219"/>
      <c r="E19" s="1219"/>
      <c r="F19" s="1219"/>
    </row>
    <row r="20" spans="1:6">
      <c r="A20" s="123"/>
      <c r="B20" s="123"/>
      <c r="C20" s="123"/>
      <c r="D20" s="3"/>
      <c r="E20" s="3"/>
      <c r="F20" s="3"/>
    </row>
    <row r="21" spans="1:6" ht="14.25">
      <c r="A21" s="124"/>
      <c r="B21" s="362" t="s">
        <v>294</v>
      </c>
      <c r="C21" s="279"/>
      <c r="D21" s="1250" t="s">
        <v>306</v>
      </c>
      <c r="E21" s="1250"/>
      <c r="F21" s="1250"/>
    </row>
    <row r="22" spans="1:6" ht="14.25">
      <c r="A22" s="124"/>
      <c r="B22" s="124"/>
      <c r="C22" s="279"/>
      <c r="D22" s="85"/>
      <c r="E22" s="3"/>
      <c r="F22" s="3"/>
    </row>
    <row r="23" spans="1:6" ht="14.25">
      <c r="A23" s="124"/>
      <c r="B23" s="362" t="s">
        <v>294</v>
      </c>
      <c r="C23" s="279"/>
      <c r="D23" s="1219" t="s">
        <v>307</v>
      </c>
      <c r="E23" s="1219"/>
      <c r="F23" s="1219"/>
    </row>
    <row r="24" spans="1:6" ht="14.25">
      <c r="A24" s="124"/>
      <c r="B24" s="124"/>
      <c r="C24" s="279"/>
      <c r="D24" s="1219"/>
      <c r="E24" s="1219"/>
      <c r="F24" s="1219"/>
    </row>
    <row r="25" spans="1:6">
      <c r="A25" s="279"/>
      <c r="B25" s="279"/>
      <c r="C25" s="279"/>
      <c r="D25" s="3"/>
      <c r="E25" s="3"/>
      <c r="F25" s="3"/>
    </row>
    <row r="26" spans="1:6" ht="14.25">
      <c r="A26" s="124"/>
      <c r="B26" s="362" t="s">
        <v>294</v>
      </c>
      <c r="C26" s="279"/>
      <c r="D26" s="1219" t="s">
        <v>308</v>
      </c>
      <c r="E26" s="1219"/>
      <c r="F26" s="1219"/>
    </row>
    <row r="27" spans="1:6">
      <c r="A27" s="279"/>
      <c r="B27" s="279"/>
      <c r="C27" s="279"/>
      <c r="D27" s="1219"/>
      <c r="E27" s="1219"/>
      <c r="F27" s="1219"/>
    </row>
    <row r="28" spans="1:6">
      <c r="A28" s="279"/>
      <c r="B28" s="279"/>
      <c r="C28" s="279"/>
      <c r="D28" s="1219"/>
      <c r="E28" s="1219"/>
      <c r="F28" s="1219"/>
    </row>
    <row r="29" spans="1:6">
      <c r="A29" s="279"/>
      <c r="B29" s="279"/>
      <c r="C29" s="279"/>
      <c r="D29" s="1219"/>
      <c r="E29" s="1219"/>
      <c r="F29" s="1219"/>
    </row>
    <row r="30" spans="1:6">
      <c r="A30" s="279"/>
      <c r="B30" s="279"/>
      <c r="C30" s="279"/>
      <c r="D30" s="1219"/>
      <c r="E30" s="1219"/>
      <c r="F30" s="1219"/>
    </row>
    <row r="31" spans="1:6">
      <c r="A31" s="279"/>
      <c r="B31" s="279"/>
      <c r="C31" s="279"/>
      <c r="D31" s="145"/>
      <c r="E31" s="3"/>
      <c r="F31" s="3"/>
    </row>
    <row r="32" spans="1:6">
      <c r="A32" s="279"/>
      <c r="B32" s="362" t="s">
        <v>294</v>
      </c>
      <c r="C32" s="279"/>
      <c r="D32" s="1219" t="s">
        <v>309</v>
      </c>
      <c r="E32" s="1219"/>
      <c r="F32" s="1219"/>
    </row>
    <row r="33" spans="1:6">
      <c r="A33" s="279"/>
      <c r="B33" s="279"/>
      <c r="C33" s="279"/>
      <c r="D33" s="1219"/>
      <c r="E33" s="1219"/>
      <c r="F33" s="1219"/>
    </row>
    <row r="34" spans="1:6" ht="14.25">
      <c r="A34" s="124"/>
      <c r="B34" s="124"/>
      <c r="C34" s="279"/>
      <c r="D34" s="145"/>
      <c r="E34" s="3"/>
      <c r="F34" s="3"/>
    </row>
    <row r="35" spans="1:6" ht="14.45" customHeight="1">
      <c r="A35" s="124"/>
      <c r="B35" s="362" t="s">
        <v>294</v>
      </c>
      <c r="C35" s="279"/>
      <c r="D35" s="1219" t="s">
        <v>310</v>
      </c>
      <c r="E35" s="1219"/>
      <c r="F35" s="1219"/>
    </row>
    <row r="36" spans="1:6" ht="14.25">
      <c r="A36" s="124"/>
      <c r="B36" s="124"/>
      <c r="C36" s="279"/>
      <c r="D36" s="1219"/>
      <c r="E36" s="1219"/>
      <c r="F36" s="1219"/>
    </row>
    <row r="37" spans="1:6" ht="14.25">
      <c r="A37" s="124"/>
      <c r="B37" s="124"/>
      <c r="C37" s="279"/>
      <c r="D37" s="1219"/>
      <c r="E37" s="1219"/>
      <c r="F37" s="1219"/>
    </row>
    <row r="38" spans="1:6" ht="14.25">
      <c r="A38" s="124"/>
      <c r="B38" s="124"/>
      <c r="C38" s="279"/>
      <c r="D38"/>
      <c r="E38" s="3"/>
      <c r="F38" s="3"/>
    </row>
    <row r="39" spans="1:6" ht="14.25">
      <c r="A39" s="124"/>
      <c r="B39" s="362" t="s">
        <v>294</v>
      </c>
      <c r="C39" s="279"/>
      <c r="D39" s="1219" t="s">
        <v>311</v>
      </c>
      <c r="E39" s="1219"/>
      <c r="F39" s="1219"/>
    </row>
    <row r="40" spans="1:6" ht="14.25">
      <c r="A40" s="124"/>
      <c r="B40" s="124"/>
      <c r="C40" s="279"/>
      <c r="D40" s="1219"/>
      <c r="E40" s="1219"/>
      <c r="F40" s="1219"/>
    </row>
    <row r="41" spans="1:6" ht="14.25">
      <c r="A41" s="124"/>
      <c r="B41" s="124"/>
      <c r="C41" s="279"/>
      <c r="D41" s="1219"/>
      <c r="E41" s="1219"/>
      <c r="F41" s="1219"/>
    </row>
    <row r="42" spans="1:6" ht="14.25">
      <c r="A42" s="124"/>
      <c r="B42" s="124"/>
      <c r="C42" s="279"/>
      <c r="D42" s="1219"/>
      <c r="E42" s="1219"/>
      <c r="F42" s="1219"/>
    </row>
    <row r="43" spans="1:6" ht="14.25">
      <c r="A43" s="124"/>
      <c r="B43" s="124"/>
      <c r="C43" s="279"/>
      <c r="D43" s="1219"/>
      <c r="E43" s="1219"/>
      <c r="F43" s="1219"/>
    </row>
    <row r="44" spans="1:6" ht="14.25">
      <c r="A44" s="124"/>
      <c r="B44" s="124"/>
      <c r="C44" s="279"/>
      <c r="D44" s="368"/>
      <c r="E44" s="368"/>
      <c r="F44" s="368"/>
    </row>
    <row r="45" spans="1:6" ht="14.25">
      <c r="A45" s="124"/>
      <c r="B45" s="362" t="s">
        <v>294</v>
      </c>
      <c r="C45" s="279"/>
      <c r="D45" s="1219" t="s">
        <v>312</v>
      </c>
      <c r="E45" s="1219"/>
      <c r="F45" s="1219"/>
    </row>
    <row r="46" spans="1:6" ht="14.25">
      <c r="A46" s="124"/>
      <c r="B46" s="124"/>
      <c r="C46" s="279"/>
      <c r="D46" s="1219"/>
      <c r="E46" s="1219"/>
      <c r="F46" s="1219"/>
    </row>
    <row r="47" spans="1:6" ht="14.25">
      <c r="A47" s="124"/>
      <c r="B47" s="124"/>
      <c r="C47" s="279"/>
      <c r="D47" s="1219"/>
      <c r="E47" s="1219"/>
      <c r="F47" s="1219"/>
    </row>
    <row r="48" spans="1:6" ht="23.25" customHeight="1">
      <c r="A48" s="124"/>
      <c r="B48" s="124"/>
      <c r="C48" s="279"/>
      <c r="D48" s="1219"/>
      <c r="E48" s="1219"/>
      <c r="F48" s="1219"/>
    </row>
    <row r="49" spans="1:7" ht="14.25">
      <c r="A49" s="124"/>
      <c r="B49" s="124"/>
      <c r="C49" s="279"/>
      <c r="D49" s="85"/>
      <c r="E49" s="3"/>
      <c r="F49" s="3"/>
      <c r="G49" s="3"/>
    </row>
    <row r="50" spans="1:7" ht="14.45" customHeight="1">
      <c r="A50" s="124"/>
      <c r="B50" s="362" t="s">
        <v>294</v>
      </c>
      <c r="C50" s="279"/>
      <c r="D50" s="1219" t="s">
        <v>313</v>
      </c>
      <c r="E50" s="1219"/>
      <c r="F50" s="1219"/>
      <c r="G50" s="3"/>
    </row>
    <row r="51" spans="1:7" ht="14.25">
      <c r="A51" s="124"/>
      <c r="B51" s="124"/>
      <c r="C51" s="279"/>
      <c r="D51" s="1219"/>
      <c r="E51" s="1219"/>
      <c r="F51" s="1219"/>
      <c r="G51" s="3"/>
    </row>
    <row r="52" spans="1:7" ht="14.25">
      <c r="A52" s="124"/>
      <c r="B52" s="124"/>
      <c r="C52" s="279"/>
      <c r="D52" s="1219"/>
      <c r="E52" s="1219"/>
      <c r="F52" s="1219"/>
      <c r="G52" s="3"/>
    </row>
    <row r="53" spans="1:7" ht="14.25">
      <c r="A53" s="124"/>
      <c r="B53" s="124"/>
      <c r="C53" s="279"/>
      <c r="D53" s="3"/>
      <c r="E53" s="3"/>
      <c r="F53" s="3"/>
      <c r="G53" s="3"/>
    </row>
    <row r="54" spans="1:7" ht="14.25">
      <c r="A54" s="124"/>
      <c r="B54" s="362" t="s">
        <v>294</v>
      </c>
      <c r="C54" s="279"/>
      <c r="D54" s="1219" t="s">
        <v>314</v>
      </c>
      <c r="E54" s="1219"/>
      <c r="F54" s="1219"/>
      <c r="G54" s="3"/>
    </row>
    <row r="55" spans="1:7" ht="14.25">
      <c r="A55" s="124"/>
      <c r="B55" s="124"/>
      <c r="C55" s="279"/>
      <c r="D55" s="1219"/>
      <c r="E55" s="1219"/>
      <c r="F55" s="1219"/>
      <c r="G55" s="3"/>
    </row>
    <row r="56" spans="1:7">
      <c r="A56" s="279"/>
      <c r="B56" s="279"/>
      <c r="C56" s="279"/>
      <c r="D56" s="145"/>
      <c r="E56" s="3"/>
      <c r="F56" s="3"/>
      <c r="G56" s="3"/>
    </row>
    <row r="57" spans="1:7" ht="14.25">
      <c r="A57" s="124"/>
      <c r="B57" s="362" t="s">
        <v>294</v>
      </c>
      <c r="C57" s="279"/>
      <c r="D57" s="1219" t="s">
        <v>315</v>
      </c>
      <c r="E57" s="1219"/>
      <c r="F57" s="1219"/>
      <c r="G57" s="3"/>
    </row>
    <row r="58" spans="1:7">
      <c r="A58" s="279"/>
      <c r="B58" s="279"/>
      <c r="C58" s="279"/>
      <c r="D58" s="1219"/>
      <c r="E58" s="1219"/>
      <c r="F58" s="1219"/>
      <c r="G58" s="3"/>
    </row>
    <row r="59" spans="1:7">
      <c r="A59" s="279"/>
      <c r="B59" s="279"/>
      <c r="C59" s="279"/>
      <c r="D59" s="1219"/>
      <c r="E59" s="1219"/>
      <c r="F59" s="1219"/>
      <c r="G59" s="3"/>
    </row>
    <row r="60" spans="1:7">
      <c r="A60" s="279"/>
      <c r="B60" s="279"/>
      <c r="C60" s="279"/>
      <c r="D60" s="3"/>
      <c r="E60" s="3"/>
      <c r="F60" s="3"/>
      <c r="G60" s="3"/>
    </row>
    <row r="61" spans="1:7" ht="14.25">
      <c r="A61" s="124"/>
      <c r="B61" s="362" t="s">
        <v>294</v>
      </c>
      <c r="C61" s="279"/>
      <c r="D61" s="1219" t="s">
        <v>316</v>
      </c>
      <c r="E61" s="1219"/>
      <c r="F61" s="1219"/>
      <c r="G61" s="3"/>
    </row>
    <row r="62" spans="1:7">
      <c r="A62" s="279"/>
      <c r="B62" s="279"/>
      <c r="C62" s="279"/>
      <c r="D62" s="1219"/>
      <c r="E62" s="1219"/>
      <c r="F62" s="1219"/>
      <c r="G62" s="3"/>
    </row>
    <row r="63" spans="1:7">
      <c r="A63" s="279"/>
      <c r="B63" s="279"/>
      <c r="C63" s="279"/>
      <c r="D63" s="3"/>
      <c r="E63" s="3"/>
      <c r="F63" s="3"/>
      <c r="G63" s="3"/>
    </row>
    <row r="64" spans="1:7" ht="14.25">
      <c r="A64" s="124"/>
      <c r="B64" s="362" t="s">
        <v>294</v>
      </c>
      <c r="C64" s="279"/>
      <c r="D64" s="1219" t="s">
        <v>317</v>
      </c>
      <c r="E64" s="1219"/>
      <c r="F64" s="1219"/>
      <c r="G64" s="3"/>
    </row>
    <row r="65" spans="1:7">
      <c r="A65" s="279"/>
      <c r="B65" s="279"/>
      <c r="C65" s="279"/>
      <c r="D65" s="1219"/>
      <c r="E65" s="1219"/>
      <c r="F65" s="1219"/>
      <c r="G65" s="3"/>
    </row>
    <row r="66" spans="1:7">
      <c r="A66" s="279"/>
      <c r="B66" s="279"/>
      <c r="C66" s="279"/>
      <c r="D66" s="1219"/>
      <c r="E66" s="1219"/>
      <c r="F66" s="1219"/>
      <c r="G66" s="3"/>
    </row>
    <row r="67" spans="1:7">
      <c r="A67" s="279"/>
      <c r="B67" s="279"/>
      <c r="C67" s="279"/>
      <c r="D67"/>
      <c r="E67" s="3"/>
      <c r="F67" s="3"/>
      <c r="G67" s="3"/>
    </row>
    <row r="68" spans="1:7" ht="14.25">
      <c r="A68" s="124"/>
      <c r="B68" s="362" t="s">
        <v>294</v>
      </c>
      <c r="C68" s="279"/>
      <c r="D68" s="1219" t="s">
        <v>318</v>
      </c>
      <c r="E68" s="1219"/>
      <c r="F68" s="1219"/>
      <c r="G68" s="3"/>
    </row>
    <row r="69" spans="1:7">
      <c r="A69" s="279"/>
      <c r="B69" s="279"/>
      <c r="C69" s="279"/>
      <c r="D69" s="1219"/>
      <c r="E69" s="1219"/>
      <c r="F69" s="1219"/>
      <c r="G69" s="3"/>
    </row>
    <row r="70" spans="1:7" ht="14.25">
      <c r="A70" s="124"/>
      <c r="B70" s="124"/>
      <c r="C70" s="279"/>
      <c r="D70" s="85"/>
      <c r="E70" s="3"/>
      <c r="F70" s="3"/>
      <c r="G70" s="3"/>
    </row>
    <row r="71" spans="1:7">
      <c r="A71" s="1234" t="s">
        <v>319</v>
      </c>
      <c r="B71" s="1234"/>
      <c r="C71" s="1234"/>
      <c r="D71" s="1234"/>
      <c r="E71" s="1234"/>
      <c r="F71" s="1234"/>
      <c r="G71" s="1234"/>
    </row>
    <row r="72" spans="1:7">
      <c r="A72" s="279"/>
      <c r="B72" s="279"/>
      <c r="C72" s="279"/>
      <c r="D72" s="3"/>
      <c r="E72" s="3"/>
      <c r="F72" s="3"/>
      <c r="G72" s="3"/>
    </row>
    <row r="73" spans="1:7">
      <c r="A73" s="279"/>
      <c r="B73" s="279"/>
      <c r="C73" s="412"/>
      <c r="D73" s="1251" t="s">
        <v>320</v>
      </c>
      <c r="E73" s="1251"/>
      <c r="F73" s="1251"/>
      <c r="G73" s="3"/>
    </row>
    <row r="74" spans="1:7">
      <c r="A74" s="85"/>
      <c r="B74" s="85"/>
      <c r="C74" s="279"/>
      <c r="D74" s="1219" t="s">
        <v>321</v>
      </c>
      <c r="E74" s="1219"/>
      <c r="F74" s="1219"/>
      <c r="G74" s="3"/>
    </row>
    <row r="75" spans="1:7">
      <c r="A75" s="85"/>
      <c r="B75" s="85"/>
      <c r="C75" s="279"/>
      <c r="D75" s="3"/>
      <c r="E75" s="3"/>
      <c r="F75" s="3"/>
      <c r="G75" s="3"/>
    </row>
    <row r="76" spans="1:7" ht="14.25">
      <c r="A76" s="124"/>
      <c r="B76" s="362" t="s">
        <v>294</v>
      </c>
      <c r="C76" s="279"/>
      <c r="D76" s="1219" t="s">
        <v>322</v>
      </c>
      <c r="E76" s="1219"/>
      <c r="F76" s="1219"/>
      <c r="G76" s="3"/>
    </row>
    <row r="77" spans="1:7" ht="14.25">
      <c r="A77" s="124"/>
      <c r="B77" s="124"/>
      <c r="C77" s="279"/>
      <c r="D77" s="1219"/>
      <c r="E77" s="1219"/>
      <c r="F77" s="1219"/>
      <c r="G77" s="3"/>
    </row>
    <row r="78" spans="1:7" ht="14.25">
      <c r="A78" s="124"/>
      <c r="B78" s="124"/>
      <c r="C78" s="279"/>
      <c r="D78" s="1219"/>
      <c r="E78" s="1219"/>
      <c r="F78" s="1219"/>
      <c r="G78" s="3"/>
    </row>
    <row r="79" spans="1:7" ht="14.25">
      <c r="A79" s="124"/>
      <c r="B79" s="124"/>
      <c r="C79" s="279"/>
      <c r="D79" s="1219"/>
      <c r="E79" s="1219"/>
      <c r="F79" s="1219"/>
      <c r="G79" s="3"/>
    </row>
    <row r="80" spans="1:7" ht="14.25">
      <c r="A80" s="124"/>
      <c r="B80" s="124"/>
      <c r="C80" s="279"/>
      <c r="D80" s="1219"/>
      <c r="E80" s="1219"/>
      <c r="F80" s="1219"/>
      <c r="G80" s="3"/>
    </row>
    <row r="81" spans="1:6" ht="14.25">
      <c r="A81" s="124"/>
      <c r="B81" s="124"/>
      <c r="C81" s="279"/>
      <c r="D81" s="1219"/>
      <c r="E81" s="1219"/>
      <c r="F81" s="1219"/>
    </row>
    <row r="82" spans="1:6" ht="14.25">
      <c r="A82" s="124"/>
      <c r="B82" s="124"/>
      <c r="C82" s="279"/>
      <c r="D82" s="368"/>
      <c r="E82" s="368"/>
      <c r="F82" s="368"/>
    </row>
    <row r="83" spans="1:6" ht="14.45" customHeight="1">
      <c r="A83" s="124"/>
      <c r="B83" s="362" t="s">
        <v>294</v>
      </c>
      <c r="C83" s="279"/>
      <c r="D83" s="1228" t="s">
        <v>323</v>
      </c>
      <c r="E83" s="1228"/>
      <c r="F83" s="1228"/>
    </row>
    <row r="84" spans="1:6" ht="14.25">
      <c r="A84" s="124"/>
      <c r="B84" s="124"/>
      <c r="C84" s="279"/>
      <c r="D84" s="1228"/>
      <c r="E84" s="1228"/>
      <c r="F84" s="1228"/>
    </row>
    <row r="85" spans="1:6" ht="14.25">
      <c r="A85" s="124"/>
      <c r="B85" s="124"/>
      <c r="C85" s="279"/>
      <c r="D85" s="1228"/>
      <c r="E85" s="1228"/>
      <c r="F85" s="1228"/>
    </row>
    <row r="86" spans="1:6" ht="14.25">
      <c r="A86" s="124"/>
      <c r="B86" s="124"/>
      <c r="C86" s="279"/>
      <c r="D86" s="1228"/>
      <c r="E86" s="1228"/>
      <c r="F86" s="1228"/>
    </row>
    <row r="87" spans="1:6" ht="14.25">
      <c r="A87" s="124"/>
      <c r="B87" s="124"/>
      <c r="C87" s="279"/>
      <c r="D87" s="1228"/>
      <c r="E87" s="1228"/>
      <c r="F87" s="1228"/>
    </row>
    <row r="88" spans="1:6" ht="14.25">
      <c r="A88" s="124"/>
      <c r="B88" s="124"/>
      <c r="C88" s="279"/>
      <c r="D88" s="1228"/>
      <c r="E88" s="1228"/>
      <c r="F88" s="1228"/>
    </row>
    <row r="89" spans="1:6" ht="14.25">
      <c r="A89" s="124"/>
      <c r="B89" s="124"/>
      <c r="C89" s="279"/>
      <c r="D89" s="1228"/>
      <c r="E89" s="1228"/>
      <c r="F89" s="1228"/>
    </row>
    <row r="90" spans="1:6" ht="14.25">
      <c r="A90" s="124"/>
      <c r="B90" s="124"/>
      <c r="C90" s="279"/>
      <c r="D90" s="1228"/>
      <c r="E90" s="1228"/>
      <c r="F90" s="1228"/>
    </row>
    <row r="91" spans="1:6" ht="14.25">
      <c r="A91" s="124"/>
      <c r="B91" s="124"/>
      <c r="C91" s="279"/>
      <c r="D91" s="1228"/>
      <c r="E91" s="1228"/>
      <c r="F91" s="1228"/>
    </row>
    <row r="92" spans="1:6" ht="14.25">
      <c r="A92" s="124"/>
      <c r="B92" s="124"/>
      <c r="C92" s="279"/>
      <c r="D92" s="1228"/>
      <c r="E92" s="1228"/>
      <c r="F92" s="1228"/>
    </row>
    <row r="93" spans="1:6" ht="14.25">
      <c r="A93" s="124"/>
      <c r="B93" s="124"/>
      <c r="C93" s="279"/>
      <c r="D93" s="1228"/>
      <c r="E93" s="1228"/>
      <c r="F93" s="1228"/>
    </row>
    <row r="94" spans="1:6" ht="14.25">
      <c r="A94" s="124"/>
      <c r="B94" s="124"/>
      <c r="C94" s="279"/>
      <c r="D94" s="1228"/>
      <c r="E94" s="1228"/>
      <c r="F94" s="1228"/>
    </row>
    <row r="95" spans="1:6" ht="14.25">
      <c r="A95" s="124"/>
      <c r="B95" s="124"/>
      <c r="C95" s="279"/>
      <c r="D95" s="1228"/>
      <c r="E95" s="1228"/>
      <c r="F95" s="1228"/>
    </row>
    <row r="96" spans="1:6" ht="14.25">
      <c r="A96" s="124"/>
      <c r="B96" s="124"/>
      <c r="C96" s="279"/>
      <c r="D96" s="1228"/>
      <c r="E96" s="1228"/>
      <c r="F96" s="1228"/>
    </row>
    <row r="97" spans="1:11" ht="14.25">
      <c r="A97" s="124"/>
      <c r="B97" s="362" t="s">
        <v>294</v>
      </c>
      <c r="C97" s="279"/>
      <c r="D97" s="1219" t="s">
        <v>324</v>
      </c>
      <c r="E97" s="1219"/>
      <c r="F97" s="1219"/>
      <c r="G97" s="3"/>
    </row>
    <row r="98" spans="1:11" ht="14.25">
      <c r="A98" s="124"/>
      <c r="B98" s="124"/>
      <c r="C98" s="279"/>
      <c r="D98" s="1219"/>
      <c r="E98" s="1219"/>
      <c r="F98" s="1219"/>
      <c r="G98" s="3"/>
    </row>
    <row r="99" spans="1:11" ht="14.25">
      <c r="A99" s="124"/>
      <c r="B99" s="124"/>
      <c r="C99" s="279"/>
      <c r="D99" s="1219"/>
      <c r="E99" s="1219"/>
      <c r="F99" s="1219"/>
      <c r="G99" s="3"/>
    </row>
    <row r="100" spans="1:11" ht="14.25">
      <c r="A100" s="124"/>
      <c r="B100" s="124"/>
      <c r="C100" s="279"/>
      <c r="D100" s="1219"/>
      <c r="E100" s="1219"/>
      <c r="F100" s="1219"/>
      <c r="G100" s="3"/>
    </row>
    <row r="101" spans="1:11" ht="14.25">
      <c r="A101" s="124"/>
      <c r="B101" s="124"/>
      <c r="C101" s="279"/>
      <c r="D101" s="1219"/>
      <c r="E101" s="1219"/>
      <c r="F101" s="1219"/>
      <c r="G101" s="3"/>
    </row>
    <row r="102" spans="1:11" ht="14.25">
      <c r="A102" s="124"/>
      <c r="B102" s="124"/>
      <c r="C102" s="279"/>
      <c r="D102" s="1219"/>
      <c r="E102" s="1219"/>
      <c r="F102" s="1219"/>
      <c r="G102" s="3"/>
    </row>
    <row r="103" spans="1:11" ht="14.25">
      <c r="A103" s="124"/>
      <c r="B103" s="124"/>
      <c r="C103" s="279"/>
      <c r="D103" s="1219"/>
      <c r="E103" s="1219"/>
      <c r="F103" s="1219"/>
      <c r="G103" s="3"/>
    </row>
    <row r="104" spans="1:11" ht="14.25">
      <c r="A104" s="124"/>
      <c r="B104" s="124"/>
      <c r="C104" s="279"/>
      <c r="D104" s="1219"/>
      <c r="E104" s="1219"/>
      <c r="F104" s="1219"/>
      <c r="G104" s="3"/>
    </row>
    <row r="105" spans="1:11" ht="14.25">
      <c r="A105" s="124"/>
      <c r="B105" s="124"/>
      <c r="C105" s="279"/>
      <c r="D105" s="368"/>
      <c r="E105" s="368"/>
      <c r="F105" s="368"/>
      <c r="G105" s="3"/>
    </row>
    <row r="106" spans="1:11" ht="14.25">
      <c r="A106" s="124"/>
      <c r="B106" s="362" t="s">
        <v>294</v>
      </c>
      <c r="C106" s="910"/>
      <c r="D106" s="1255" t="s">
        <v>325</v>
      </c>
      <c r="E106" s="1255"/>
      <c r="F106" s="1255"/>
      <c r="G106" s="909"/>
      <c r="H106" s="126"/>
      <c r="I106" s="126"/>
      <c r="J106" s="126"/>
      <c r="K106" s="126"/>
    </row>
    <row r="107" spans="1:11" ht="14.25">
      <c r="A107" s="124"/>
      <c r="B107" s="124"/>
      <c r="C107" s="910"/>
      <c r="D107" s="1255"/>
      <c r="E107" s="1255"/>
      <c r="F107" s="1255"/>
      <c r="G107" s="909"/>
      <c r="H107" s="126"/>
      <c r="I107" s="126"/>
      <c r="J107" s="126"/>
      <c r="K107" s="126"/>
    </row>
    <row r="108" spans="1:11" ht="14.25">
      <c r="A108" s="124"/>
      <c r="B108" s="124"/>
      <c r="C108" s="910"/>
      <c r="D108" s="1255"/>
      <c r="E108" s="1255"/>
      <c r="F108" s="1255"/>
      <c r="G108" s="909"/>
      <c r="H108" s="126"/>
      <c r="I108" s="126"/>
      <c r="J108" s="126"/>
      <c r="K108" s="126"/>
    </row>
    <row r="109" spans="1:11" ht="14.25">
      <c r="A109" s="124"/>
      <c r="B109" s="124"/>
      <c r="C109" s="910"/>
      <c r="D109" s="1255"/>
      <c r="E109" s="1255"/>
      <c r="F109" s="1255"/>
      <c r="G109" s="909"/>
      <c r="H109" s="126"/>
      <c r="I109" s="126"/>
      <c r="J109" s="126"/>
      <c r="K109" s="126"/>
    </row>
    <row r="110" spans="1:11" ht="14.25">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ht="14.25">
      <c r="A114" s="124"/>
      <c r="B114" s="362" t="s">
        <v>294</v>
      </c>
      <c r="C114"/>
      <c r="D114" s="1256" t="s">
        <v>326</v>
      </c>
      <c r="E114" s="1256"/>
      <c r="F114" s="1256"/>
      <c r="G114"/>
    </row>
    <row r="115" spans="1:7" ht="14.25">
      <c r="A115" s="124"/>
      <c r="B115" s="124"/>
      <c r="C115"/>
      <c r="D115" s="1256"/>
      <c r="E115" s="1256"/>
      <c r="F115" s="1256"/>
      <c r="G115"/>
    </row>
    <row r="116" spans="1:7">
      <c r="A116" s="279"/>
      <c r="B116" s="279"/>
      <c r="C116" s="279"/>
      <c r="D116" s="3"/>
      <c r="E116" s="3"/>
      <c r="F116" s="3"/>
      <c r="G116" s="3"/>
    </row>
    <row r="117" spans="1:7" ht="14.25">
      <c r="A117" s="124"/>
      <c r="B117" s="362" t="s">
        <v>294</v>
      </c>
      <c r="C117" s="279"/>
      <c r="D117" s="1219" t="s">
        <v>327</v>
      </c>
      <c r="E117" s="1219"/>
      <c r="F117" s="1219"/>
      <c r="G117" s="3"/>
    </row>
    <row r="118" spans="1:7">
      <c r="A118" s="279"/>
      <c r="B118" s="279"/>
      <c r="C118" s="279"/>
      <c r="D118" s="1219"/>
      <c r="E118" s="1219"/>
      <c r="F118" s="1219"/>
      <c r="G118" s="3"/>
    </row>
    <row r="119" spans="1:7">
      <c r="A119" s="279"/>
      <c r="B119" s="279"/>
      <c r="C119" s="279"/>
      <c r="D119" s="1219"/>
      <c r="E119" s="1219"/>
      <c r="F119" s="1219"/>
      <c r="G119" s="3"/>
    </row>
    <row r="120" spans="1:7">
      <c r="A120" s="279"/>
      <c r="B120" s="279"/>
      <c r="C120" s="279"/>
      <c r="D120" s="1219"/>
      <c r="E120" s="1219"/>
      <c r="F120" s="1219"/>
      <c r="G120" s="3"/>
    </row>
    <row r="121" spans="1:7">
      <c r="A121" s="279"/>
      <c r="B121" s="279"/>
      <c r="C121" s="279"/>
      <c r="D121" s="1219"/>
      <c r="E121" s="1219"/>
      <c r="F121" s="1219"/>
      <c r="G121" s="3"/>
    </row>
    <row r="122" spans="1:7">
      <c r="A122" s="279"/>
      <c r="B122" s="279"/>
      <c r="C122" s="279"/>
      <c r="D122" s="3"/>
      <c r="E122" s="3"/>
      <c r="F122" s="3"/>
      <c r="G122" s="3"/>
    </row>
    <row r="123" spans="1:7" ht="14.25">
      <c r="A123" s="124"/>
      <c r="B123" s="362" t="s">
        <v>294</v>
      </c>
      <c r="C123" s="279"/>
      <c r="D123" s="1219" t="s">
        <v>328</v>
      </c>
      <c r="E123" s="1219"/>
      <c r="F123" s="1219"/>
      <c r="G123" s="3"/>
    </row>
    <row r="124" spans="1:7" s="134" customFormat="1" ht="13.7" customHeight="1">
      <c r="A124" s="1145"/>
      <c r="B124" s="1145"/>
      <c r="C124" s="1145"/>
      <c r="D124" s="1219"/>
      <c r="E124" s="1219"/>
      <c r="F124" s="1219"/>
      <c r="G124" s="452"/>
    </row>
    <row r="125" spans="1:7" ht="13.7" customHeight="1">
      <c r="A125" s="279"/>
      <c r="B125" s="279"/>
      <c r="C125" s="279"/>
      <c r="D125" s="1219"/>
      <c r="E125" s="1219"/>
      <c r="F125" s="1219"/>
      <c r="G125" s="3"/>
    </row>
    <row r="126" spans="1:7" ht="13.7" customHeight="1">
      <c r="A126" s="279"/>
      <c r="B126" s="279"/>
      <c r="C126" s="279"/>
      <c r="D126" s="1219"/>
      <c r="E126" s="1219"/>
      <c r="F126" s="1219"/>
      <c r="G126" s="3"/>
    </row>
    <row r="127" spans="1:7" ht="13.7" customHeight="1">
      <c r="A127" s="279"/>
      <c r="B127" s="279"/>
      <c r="C127" s="279"/>
      <c r="D127" s="1219"/>
      <c r="E127" s="1219"/>
      <c r="F127" s="1219"/>
      <c r="G127" s="3"/>
    </row>
    <row r="128" spans="1:7" ht="13.7" customHeight="1">
      <c r="A128" s="175"/>
      <c r="B128" s="175"/>
      <c r="C128" s="279"/>
      <c r="D128" s="1219"/>
      <c r="E128" s="1219"/>
      <c r="F128" s="1219"/>
      <c r="G128" s="3"/>
    </row>
    <row r="129" spans="2:6" ht="13.7" customHeight="1">
      <c r="B129" s="279"/>
      <c r="C129" s="279"/>
      <c r="D129" s="1219"/>
      <c r="E129" s="1219"/>
      <c r="F129" s="1219"/>
    </row>
    <row r="130" spans="2:6" ht="13.7" customHeight="1">
      <c r="B130" s="279"/>
      <c r="C130" s="279"/>
      <c r="D130" s="1219"/>
      <c r="E130" s="1219"/>
      <c r="F130" s="1219"/>
    </row>
    <row r="131" spans="2:6" ht="13.7" customHeight="1">
      <c r="B131" s="279"/>
      <c r="C131" s="279"/>
      <c r="D131" s="1219"/>
      <c r="E131" s="1219"/>
      <c r="F131" s="1219"/>
    </row>
    <row r="132" spans="2:6" ht="13.7" customHeight="1">
      <c r="B132" s="279"/>
      <c r="C132" s="279"/>
      <c r="D132" s="1219"/>
      <c r="E132" s="1219"/>
      <c r="F132" s="1219"/>
    </row>
    <row r="133" spans="2:6" ht="13.7" customHeight="1">
      <c r="B133" s="279"/>
      <c r="C133" s="279"/>
      <c r="D133" s="1219"/>
      <c r="E133" s="1219"/>
      <c r="F133" s="1219"/>
    </row>
    <row r="134" spans="2:6" ht="13.7" customHeight="1">
      <c r="B134" s="279"/>
      <c r="C134" s="279"/>
      <c r="D134" s="1219"/>
      <c r="E134" s="1219"/>
      <c r="F134" s="1219"/>
    </row>
    <row r="135" spans="2:6" ht="13.7" customHeight="1">
      <c r="B135" s="279"/>
      <c r="C135" s="279"/>
      <c r="D135" s="143"/>
      <c r="E135" s="85"/>
      <c r="F135" s="85"/>
    </row>
    <row r="136" spans="2:6" ht="13.7" customHeight="1">
      <c r="B136" s="362" t="s">
        <v>294</v>
      </c>
      <c r="C136" s="279"/>
      <c r="D136" s="1219" t="s">
        <v>329</v>
      </c>
      <c r="E136" s="1219"/>
      <c r="F136" s="1219"/>
    </row>
    <row r="137" spans="2:6" ht="13.7" customHeight="1">
      <c r="B137" s="279"/>
      <c r="C137" s="279"/>
      <c r="D137" s="1219"/>
      <c r="E137" s="1219"/>
      <c r="F137" s="1219"/>
    </row>
    <row r="138" spans="2:6" ht="13.7" customHeight="1">
      <c r="B138" s="279"/>
      <c r="C138" s="279"/>
      <c r="D138" s="1219"/>
      <c r="E138" s="1219"/>
      <c r="F138" s="1219"/>
    </row>
    <row r="139" spans="2:6" ht="13.7" customHeight="1">
      <c r="B139" s="279"/>
      <c r="C139" s="279"/>
      <c r="D139" s="1219"/>
      <c r="E139" s="1219"/>
      <c r="F139" s="1219"/>
    </row>
    <row r="140" spans="2:6" ht="13.7" customHeight="1">
      <c r="B140" s="279"/>
      <c r="C140" s="279"/>
      <c r="D140" s="1219"/>
      <c r="E140" s="1219"/>
      <c r="F140" s="1219"/>
    </row>
    <row r="141" spans="2:6" ht="13.7" customHeight="1">
      <c r="B141" s="279"/>
      <c r="C141" s="279"/>
      <c r="D141" s="1219"/>
      <c r="E141" s="1219"/>
      <c r="F141" s="1219"/>
    </row>
    <row r="142" spans="2:6" ht="13.7" customHeight="1">
      <c r="B142" s="279"/>
      <c r="C142" s="279"/>
      <c r="D142" s="1219"/>
      <c r="E142" s="1219"/>
      <c r="F142" s="1219"/>
    </row>
    <row r="143" spans="2:6" ht="13.7" customHeight="1">
      <c r="B143" s="279"/>
      <c r="C143" s="279"/>
      <c r="D143" s="1219"/>
      <c r="E143" s="1219"/>
      <c r="F143" s="1219"/>
    </row>
    <row r="144" spans="2:6" ht="13.7" customHeight="1">
      <c r="B144" s="279"/>
      <c r="C144" s="279"/>
      <c r="D144" s="1219"/>
      <c r="E144" s="1219"/>
      <c r="F144" s="1219"/>
    </row>
    <row r="145" spans="1:7" ht="13.7" customHeight="1">
      <c r="A145" s="279"/>
      <c r="B145" s="279"/>
      <c r="C145" s="279"/>
      <c r="D145" s="1219"/>
      <c r="E145" s="1219"/>
      <c r="F145" s="1219"/>
      <c r="G145" s="3"/>
    </row>
    <row r="146" spans="1:7" ht="13.7" customHeight="1">
      <c r="A146" s="279"/>
      <c r="B146" s="279"/>
      <c r="C146" s="279"/>
      <c r="D146" s="1219"/>
      <c r="E146" s="1219"/>
      <c r="F146" s="1219"/>
      <c r="G146" s="3"/>
    </row>
    <row r="147" spans="1:7" ht="13.7" customHeight="1">
      <c r="A147" s="279"/>
      <c r="B147" s="279"/>
      <c r="C147" s="279"/>
      <c r="D147" s="1219"/>
      <c r="E147" s="1219"/>
      <c r="F147" s="1219"/>
      <c r="G147" s="3"/>
    </row>
    <row r="148" spans="1:7" ht="13.7" customHeight="1">
      <c r="A148" s="279"/>
      <c r="B148" s="279"/>
      <c r="C148" s="279"/>
      <c r="D148" s="1219"/>
      <c r="E148" s="1219"/>
      <c r="F148" s="1219"/>
      <c r="G148" s="3"/>
    </row>
    <row r="149" spans="1:7" ht="13.7" customHeight="1">
      <c r="A149" s="279"/>
      <c r="B149" s="279"/>
      <c r="C149" s="279"/>
      <c r="D149" s="1219"/>
      <c r="E149" s="1219"/>
      <c r="F149" s="1219"/>
      <c r="G149" s="3"/>
    </row>
    <row r="150" spans="1:7" ht="13.7" customHeight="1">
      <c r="A150" s="279"/>
      <c r="B150" s="279"/>
      <c r="C150" s="279"/>
      <c r="D150" s="1219"/>
      <c r="E150" s="1219"/>
      <c r="F150" s="1219"/>
      <c r="G150" s="3"/>
    </row>
    <row r="151" spans="1:7" ht="13.7" customHeight="1">
      <c r="A151" s="279"/>
      <c r="B151" s="279"/>
      <c r="C151" s="279"/>
      <c r="D151" s="1219"/>
      <c r="E151" s="1219"/>
      <c r="F151" s="1219"/>
      <c r="G151" s="3"/>
    </row>
    <row r="152" spans="1:7" ht="13.7" customHeight="1">
      <c r="A152" s="279"/>
      <c r="B152" s="279"/>
      <c r="C152" s="279"/>
      <c r="D152" s="1219"/>
      <c r="E152" s="1219"/>
      <c r="F152" s="1219"/>
      <c r="G152" s="3"/>
    </row>
    <row r="153" spans="1:7" ht="13.7" customHeight="1">
      <c r="A153" s="279"/>
      <c r="B153" s="279"/>
      <c r="C153" s="279"/>
      <c r="D153" s="1219"/>
      <c r="E153" s="1219"/>
      <c r="F153" s="1219"/>
      <c r="G153" s="3"/>
    </row>
    <row r="154" spans="1:7" ht="13.7" customHeight="1">
      <c r="A154" s="279"/>
      <c r="B154" s="279"/>
      <c r="C154" s="279"/>
      <c r="D154" s="1219"/>
      <c r="E154" s="1219"/>
      <c r="F154" s="1219"/>
      <c r="G154" s="3"/>
    </row>
    <row r="155" spans="1:7" ht="13.7" customHeight="1">
      <c r="A155" s="279"/>
      <c r="B155" s="279"/>
      <c r="C155" s="279"/>
      <c r="D155" s="143"/>
      <c r="E155" s="85"/>
      <c r="F155" s="85"/>
      <c r="G155" s="3"/>
    </row>
    <row r="156" spans="1:7" ht="13.7" customHeight="1">
      <c r="A156" s="175"/>
      <c r="B156" s="362" t="s">
        <v>294</v>
      </c>
      <c r="C156" s="143"/>
      <c r="D156" s="1228" t="s">
        <v>330</v>
      </c>
      <c r="E156" s="1228"/>
      <c r="F156" s="1228"/>
      <c r="G156" s="143"/>
    </row>
    <row r="157" spans="1:7" ht="13.7" customHeight="1">
      <c r="A157" s="175"/>
      <c r="B157" s="175"/>
      <c r="C157" s="143"/>
      <c r="D157" s="1228"/>
      <c r="E157" s="1228"/>
      <c r="F157" s="1228"/>
      <c r="G157" s="143"/>
    </row>
    <row r="158" spans="1:7" ht="13.7" customHeight="1">
      <c r="A158" s="175"/>
      <c r="B158" s="175"/>
      <c r="C158" s="143"/>
      <c r="D158" s="143"/>
      <c r="E158" s="143"/>
      <c r="F158" s="143"/>
      <c r="G158" s="143"/>
    </row>
    <row r="159" spans="1:7" ht="13.7" customHeight="1">
      <c r="A159" s="175"/>
      <c r="B159" s="362" t="s">
        <v>294</v>
      </c>
      <c r="C159" s="143"/>
      <c r="D159" s="1228" t="s">
        <v>331</v>
      </c>
      <c r="E159" s="1228"/>
      <c r="F159" s="1228"/>
      <c r="G159" s="143"/>
    </row>
    <row r="160" spans="1:7" ht="13.7" customHeight="1">
      <c r="A160" s="175"/>
      <c r="B160" s="175"/>
      <c r="C160" s="143"/>
      <c r="D160" s="1228"/>
      <c r="E160" s="1228"/>
      <c r="F160" s="1228"/>
      <c r="G160" s="143"/>
    </row>
    <row r="161" spans="1:7" ht="13.7" customHeight="1">
      <c r="A161" s="175"/>
      <c r="B161" s="175"/>
      <c r="C161" s="143"/>
      <c r="D161" s="1228"/>
      <c r="E161" s="1228"/>
      <c r="F161" s="1228"/>
      <c r="G161" s="143"/>
    </row>
    <row r="162" spans="1:7" ht="13.7" customHeight="1">
      <c r="A162" s="175"/>
      <c r="B162" s="175"/>
      <c r="C162" s="143"/>
      <c r="D162" s="1228"/>
      <c r="E162" s="1228"/>
      <c r="F162" s="1228"/>
      <c r="G162" s="143"/>
    </row>
    <row r="163" spans="1:7" ht="13.7" customHeight="1">
      <c r="A163" s="279"/>
      <c r="B163" s="279"/>
      <c r="C163" s="279"/>
      <c r="D163" s="85"/>
      <c r="E163" s="85"/>
      <c r="F163" s="85"/>
      <c r="G163" s="3"/>
    </row>
    <row r="164" spans="1:7" ht="13.7" customHeight="1">
      <c r="A164" s="279"/>
      <c r="B164" s="362" t="s">
        <v>294</v>
      </c>
      <c r="C164" s="279"/>
      <c r="D164" s="1233" t="s">
        <v>332</v>
      </c>
      <c r="E164" s="1233"/>
      <c r="F164" s="1233"/>
      <c r="G164" s="3"/>
    </row>
    <row r="165" spans="1:7" ht="13.7" customHeight="1">
      <c r="A165" s="279"/>
      <c r="B165" s="279"/>
      <c r="C165" s="279"/>
      <c r="D165" s="1233"/>
      <c r="E165" s="1233"/>
      <c r="F165" s="1233"/>
      <c r="G165" s="3"/>
    </row>
    <row r="166" spans="1:7" ht="13.7" customHeight="1">
      <c r="A166" s="279"/>
      <c r="B166" s="279"/>
      <c r="C166" s="279"/>
      <c r="D166" s="1233"/>
      <c r="E166" s="1233"/>
      <c r="F166" s="1233"/>
      <c r="G166" s="3"/>
    </row>
    <row r="167" spans="1:7" ht="13.7" customHeight="1">
      <c r="A167" s="13"/>
      <c r="B167" s="13"/>
      <c r="C167" s="279"/>
      <c r="D167" s="3"/>
      <c r="E167" s="85"/>
      <c r="F167" s="85"/>
      <c r="G167" s="3"/>
    </row>
    <row r="168" spans="1:7">
      <c r="A168" s="1234" t="s">
        <v>333</v>
      </c>
      <c r="B168" s="1234"/>
      <c r="C168" s="1234"/>
      <c r="D168" s="1234"/>
      <c r="E168" s="1234"/>
      <c r="F168" s="1234"/>
      <c r="G168" s="1234"/>
    </row>
    <row r="169" spans="1:7" ht="12" customHeight="1">
      <c r="A169" s="279"/>
      <c r="B169" s="279"/>
      <c r="C169" s="279"/>
      <c r="D169" s="85"/>
      <c r="E169" s="85"/>
      <c r="F169" s="85"/>
      <c r="G169" s="3"/>
    </row>
    <row r="170" spans="1:7">
      <c r="A170" s="279"/>
      <c r="B170" s="1250" t="s">
        <v>334</v>
      </c>
      <c r="C170" s="1250"/>
      <c r="D170" s="1250"/>
      <c r="E170" s="1250"/>
      <c r="F170" s="1250"/>
      <c r="G170" s="3"/>
    </row>
    <row r="171" spans="1:7" ht="12" customHeight="1">
      <c r="A171" s="120"/>
      <c r="B171" s="120"/>
      <c r="C171" s="120"/>
      <c r="D171" s="3"/>
      <c r="E171" s="3"/>
      <c r="F171" s="3"/>
      <c r="G171" s="3"/>
    </row>
    <row r="172" spans="1:7">
      <c r="A172" s="1234" t="s">
        <v>335</v>
      </c>
      <c r="B172" s="1234"/>
      <c r="C172" s="1234"/>
      <c r="D172" s="1234"/>
      <c r="E172" s="1234"/>
      <c r="F172" s="1234"/>
      <c r="G172" s="1234"/>
    </row>
    <row r="173" spans="1:7" ht="12" customHeight="1">
      <c r="A173" s="2"/>
      <c r="B173" s="2"/>
      <c r="C173" s="279"/>
      <c r="D173" s="3"/>
      <c r="E173" s="2"/>
      <c r="F173" s="3"/>
      <c r="G173" s="3"/>
    </row>
    <row r="174" spans="1:7" ht="13.35" customHeight="1">
      <c r="A174" s="2"/>
      <c r="B174" s="2"/>
      <c r="C174" s="279"/>
      <c r="D174" s="1247" t="s">
        <v>336</v>
      </c>
      <c r="E174" s="1247"/>
      <c r="F174" s="1247"/>
      <c r="G174" s="3"/>
    </row>
    <row r="175" spans="1:7">
      <c r="A175" s="2"/>
      <c r="B175" s="2"/>
      <c r="C175" s="279"/>
      <c r="D175" s="1247"/>
      <c r="E175" s="1247"/>
      <c r="F175" s="1247"/>
      <c r="G175" s="3"/>
    </row>
    <row r="176" spans="1:7">
      <c r="A176" s="2"/>
      <c r="B176" s="2"/>
      <c r="C176" s="279"/>
      <c r="D176" s="1248" t="s">
        <v>337</v>
      </c>
      <c r="E176" s="1248"/>
      <c r="F176" s="1248"/>
      <c r="G176" s="3"/>
    </row>
    <row r="177" spans="1:7" ht="12" customHeight="1">
      <c r="A177" s="2"/>
      <c r="B177" s="2"/>
      <c r="C177" s="279"/>
      <c r="D177" s="3"/>
      <c r="E177" s="2"/>
      <c r="F177" s="3"/>
      <c r="G177" s="3"/>
    </row>
    <row r="178" spans="1:7" ht="14.25">
      <c r="A178" s="124"/>
      <c r="B178" s="362" t="s">
        <v>294</v>
      </c>
      <c r="C178" s="279"/>
      <c r="D178" s="1245" t="s">
        <v>338</v>
      </c>
      <c r="E178" s="1245"/>
      <c r="F178" s="1245"/>
      <c r="G178" s="3"/>
    </row>
    <row r="179" spans="1:7" ht="14.25">
      <c r="A179" s="124"/>
      <c r="B179" s="124"/>
      <c r="C179" s="279"/>
      <c r="D179" s="1245"/>
      <c r="E179" s="1245"/>
      <c r="F179" s="1245"/>
      <c r="G179" s="3"/>
    </row>
    <row r="180" spans="1:7" ht="14.25">
      <c r="A180" s="124"/>
      <c r="B180" s="124"/>
      <c r="C180" s="279"/>
      <c r="D180" s="1245"/>
      <c r="E180" s="1245"/>
      <c r="F180" s="1245"/>
      <c r="G180" s="3"/>
    </row>
    <row r="181" spans="1:7">
      <c r="A181" s="279"/>
      <c r="B181" s="279"/>
      <c r="C181" s="279"/>
      <c r="D181" s="1245"/>
      <c r="E181" s="1245"/>
      <c r="F181" s="1245"/>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ht="14.25">
      <c r="A186" s="124"/>
      <c r="B186" s="362" t="s">
        <v>294</v>
      </c>
      <c r="C186" s="279"/>
      <c r="D186" s="1219" t="s">
        <v>340</v>
      </c>
      <c r="E186" s="1219"/>
      <c r="F186" s="1219"/>
      <c r="G186" s="3"/>
    </row>
    <row r="187" spans="1:7" ht="14.45" customHeight="1">
      <c r="A187" s="124"/>
      <c r="B187"/>
      <c r="C187" s="279"/>
      <c r="D187" s="1219"/>
      <c r="E187" s="1219"/>
      <c r="F187" s="1219"/>
      <c r="G187" s="3"/>
    </row>
    <row r="188" spans="1:7" ht="14.25">
      <c r="A188" s="124"/>
      <c r="B188" s="279"/>
      <c r="C188" s="279"/>
      <c r="D188" s="1219"/>
      <c r="E188" s="1219"/>
      <c r="F188" s="1219"/>
      <c r="G188" s="3"/>
    </row>
    <row r="189" spans="1:7" ht="14.25">
      <c r="A189" s="124"/>
      <c r="B189" s="279"/>
      <c r="C189" s="279"/>
      <c r="D189" s="1219"/>
      <c r="E189" s="1219"/>
      <c r="F189" s="1219"/>
      <c r="G189" s="3"/>
    </row>
    <row r="190" spans="1:7">
      <c r="A190" s="279"/>
      <c r="B190" s="279"/>
      <c r="C190" s="279"/>
      <c r="D190" s="369"/>
      <c r="E190" s="369"/>
      <c r="F190" s="369"/>
      <c r="G190" s="3"/>
    </row>
    <row r="191" spans="1:7">
      <c r="A191" s="1234" t="s">
        <v>341</v>
      </c>
      <c r="B191" s="1234"/>
      <c r="C191" s="1234"/>
      <c r="D191" s="1234"/>
      <c r="E191" s="1234"/>
      <c r="F191" s="1234"/>
      <c r="G191" s="1234"/>
    </row>
    <row r="192" spans="1:7" ht="12" customHeight="1">
      <c r="A192" s="279"/>
      <c r="B192" s="279"/>
      <c r="C192" s="279"/>
      <c r="D192" s="85"/>
      <c r="E192" s="85"/>
      <c r="F192" s="85"/>
      <c r="G192" s="3"/>
    </row>
    <row r="193" spans="1:6">
      <c r="A193" s="279"/>
      <c r="B193" s="279"/>
      <c r="C193" s="412"/>
      <c r="D193" s="1235" t="s">
        <v>342</v>
      </c>
      <c r="E193" s="1235"/>
      <c r="F193" s="1235"/>
    </row>
    <row r="194" spans="1:6">
      <c r="A194" s="120"/>
      <c r="B194" s="120"/>
      <c r="C194" s="120"/>
      <c r="D194" s="1230" t="s">
        <v>343</v>
      </c>
      <c r="E194" s="1230"/>
      <c r="F194" s="1230"/>
    </row>
    <row r="195" spans="1:6" ht="12" customHeight="1">
      <c r="A195" s="13"/>
      <c r="B195" s="13"/>
      <c r="C195" s="13"/>
      <c r="D195" s="3"/>
      <c r="E195" s="3"/>
      <c r="F195" s="3"/>
    </row>
    <row r="196" spans="1:6" ht="13.35" customHeight="1">
      <c r="A196" s="13"/>
      <c r="B196" s="279"/>
      <c r="C196" s="13"/>
      <c r="D196" s="1235" t="s">
        <v>344</v>
      </c>
      <c r="E196" s="1235"/>
      <c r="F196" s="1235"/>
    </row>
    <row r="197" spans="1:6" ht="14.25">
      <c r="A197" s="124"/>
      <c r="B197" s="362" t="s">
        <v>294</v>
      </c>
      <c r="C197" s="279"/>
      <c r="D197" s="1219" t="s">
        <v>345</v>
      </c>
      <c r="E197" s="1219"/>
      <c r="F197" s="1219"/>
    </row>
    <row r="198" spans="1:6" ht="14.25">
      <c r="A198" s="124"/>
      <c r="B198" s="124"/>
      <c r="C198" s="279"/>
      <c r="D198" s="1219"/>
      <c r="E198" s="1219"/>
      <c r="F198" s="1219"/>
    </row>
    <row r="199" spans="1:6">
      <c r="A199" s="279"/>
      <c r="B199" s="279"/>
      <c r="C199" s="279"/>
      <c r="D199" s="3"/>
      <c r="E199" s="3"/>
      <c r="F199" s="3"/>
    </row>
    <row r="200" spans="1:6" ht="14.25">
      <c r="A200" s="124"/>
      <c r="B200" s="362" t="s">
        <v>294</v>
      </c>
      <c r="C200" s="279"/>
      <c r="D200" s="1219" t="s">
        <v>346</v>
      </c>
      <c r="E200" s="1219"/>
      <c r="F200" s="1219"/>
    </row>
    <row r="201" spans="1:6" ht="14.25">
      <c r="A201" s="124"/>
      <c r="B201" s="124"/>
      <c r="C201" s="279"/>
      <c r="D201" s="1219"/>
      <c r="E201" s="1219"/>
      <c r="F201" s="1219"/>
    </row>
    <row r="202" spans="1:6" ht="14.25">
      <c r="A202" s="124"/>
      <c r="B202" s="124"/>
      <c r="C202" s="279"/>
      <c r="D202" s="1219"/>
      <c r="E202" s="1219"/>
      <c r="F202" s="1219"/>
    </row>
    <row r="203" spans="1:6" ht="5.25" customHeight="1">
      <c r="A203" s="124"/>
      <c r="B203" s="124"/>
      <c r="C203" s="279"/>
      <c r="D203" s="85"/>
      <c r="E203" s="85"/>
      <c r="F203" s="85"/>
    </row>
    <row r="204" spans="1:6" ht="14.25">
      <c r="A204" s="124"/>
      <c r="B204" s="124"/>
      <c r="C204" s="279"/>
      <c r="D204" s="1219" t="s">
        <v>347</v>
      </c>
      <c r="E204" s="1219"/>
      <c r="F204" s="1219"/>
    </row>
    <row r="205" spans="1:6" ht="14.25">
      <c r="A205" s="124"/>
      <c r="B205" s="124"/>
      <c r="C205" s="279"/>
      <c r="D205" s="1219"/>
      <c r="E205" s="1219"/>
      <c r="F205" s="1219"/>
    </row>
    <row r="206" spans="1:6" ht="14.25">
      <c r="A206" s="124"/>
      <c r="B206" s="124"/>
      <c r="C206" s="279"/>
      <c r="D206" s="1219"/>
      <c r="E206" s="1219"/>
      <c r="F206" s="1219"/>
    </row>
    <row r="207" spans="1:6" ht="14.25">
      <c r="A207" s="124"/>
      <c r="B207" s="124"/>
      <c r="C207" s="279"/>
      <c r="D207" s="1219"/>
      <c r="E207" s="1219"/>
      <c r="F207" s="1219"/>
    </row>
    <row r="208" spans="1:6" ht="14.25">
      <c r="A208" s="124"/>
      <c r="B208" s="124"/>
      <c r="C208" s="279"/>
      <c r="D208" s="1219"/>
      <c r="E208" s="1219"/>
      <c r="F208" s="1219"/>
    </row>
    <row r="209" spans="1:7" ht="14.25">
      <c r="A209" s="124"/>
      <c r="B209" s="124"/>
      <c r="C209" s="279"/>
      <c r="D209" s="85"/>
      <c r="E209" s="85"/>
      <c r="F209" s="85"/>
      <c r="G209" s="3"/>
    </row>
    <row r="210" spans="1:7" ht="14.25">
      <c r="A210" s="124"/>
      <c r="B210" s="362" t="s">
        <v>294</v>
      </c>
      <c r="C210" s="279"/>
      <c r="D210" s="1219" t="s">
        <v>348</v>
      </c>
      <c r="E210" s="1219"/>
      <c r="F210" s="1219"/>
      <c r="G210" s="3"/>
    </row>
    <row r="211" spans="1:7" ht="14.25">
      <c r="A211" s="124"/>
      <c r="B211" s="124"/>
      <c r="C211" s="279"/>
      <c r="D211" s="1219"/>
      <c r="E211" s="1219"/>
      <c r="F211" s="1219"/>
      <c r="G211" s="3"/>
    </row>
    <row r="212" spans="1:7" ht="14.25">
      <c r="A212" s="124"/>
      <c r="B212" s="124"/>
      <c r="C212" s="279"/>
      <c r="D212" s="1250" t="s">
        <v>349</v>
      </c>
      <c r="E212" s="1250"/>
      <c r="F212" s="1250"/>
      <c r="G212" s="3"/>
    </row>
    <row r="213" spans="1:7" ht="14.25">
      <c r="A213" s="124"/>
      <c r="B213" s="124"/>
      <c r="C213" s="279"/>
      <c r="D213" s="85"/>
      <c r="E213" s="85"/>
      <c r="F213" s="85"/>
      <c r="G213" s="3"/>
    </row>
    <row r="214" spans="1:7" ht="14.45" customHeight="1">
      <c r="A214" s="124"/>
      <c r="B214" s="362" t="s">
        <v>294</v>
      </c>
      <c r="C214" s="279"/>
      <c r="D214" s="1219" t="s">
        <v>350</v>
      </c>
      <c r="E214" s="1219"/>
      <c r="F214" s="1219"/>
      <c r="G214" s="3"/>
    </row>
    <row r="215" spans="1:7" ht="14.25">
      <c r="A215" s="124"/>
      <c r="B215" s="124"/>
      <c r="C215" s="279"/>
      <c r="D215" s="1219"/>
      <c r="E215" s="1219"/>
      <c r="F215" s="1219"/>
      <c r="G215" s="3"/>
    </row>
    <row r="216" spans="1:7" ht="14.25">
      <c r="A216" s="124"/>
      <c r="B216" s="124"/>
      <c r="C216" s="279"/>
      <c r="D216" s="1219"/>
      <c r="E216" s="1219"/>
      <c r="F216" s="1219"/>
      <c r="G216" s="3"/>
    </row>
    <row r="217" spans="1:7" ht="14.25">
      <c r="A217" s="124"/>
      <c r="B217" s="124"/>
      <c r="C217" s="279"/>
      <c r="D217" s="1219"/>
      <c r="E217" s="1219"/>
      <c r="F217" s="1219"/>
      <c r="G217" s="3"/>
    </row>
    <row r="218" spans="1:7" ht="14.25">
      <c r="A218" s="124"/>
      <c r="B218" s="124"/>
      <c r="C218" s="279"/>
      <c r="D218" s="1219"/>
      <c r="E218" s="1219"/>
      <c r="F218" s="1219"/>
      <c r="G218" s="3"/>
    </row>
    <row r="219" spans="1:7">
      <c r="A219" s="279"/>
      <c r="B219" s="279"/>
      <c r="C219" s="279"/>
      <c r="D219" s="85"/>
      <c r="E219" s="85"/>
      <c r="F219" s="85"/>
      <c r="G219" s="3"/>
    </row>
    <row r="220" spans="1:7" ht="14.25">
      <c r="A220" s="124"/>
      <c r="B220" s="362" t="s">
        <v>294</v>
      </c>
      <c r="C220" s="279"/>
      <c r="D220" s="1219" t="s">
        <v>351</v>
      </c>
      <c r="E220" s="1219"/>
      <c r="F220" s="1219"/>
      <c r="G220" s="3"/>
    </row>
    <row r="221" spans="1:7" ht="14.25">
      <c r="A221" s="124"/>
      <c r="B221" s="124"/>
      <c r="C221" s="279"/>
      <c r="D221" s="1219"/>
      <c r="E221" s="1219"/>
      <c r="F221" s="1219"/>
      <c r="G221" s="3"/>
    </row>
    <row r="222" spans="1:7">
      <c r="A222" s="279"/>
      <c r="B222" s="279"/>
      <c r="C222" s="279"/>
      <c r="D222" s="1146"/>
      <c r="E222" s="3"/>
      <c r="F222" s="3"/>
      <c r="G222" s="3"/>
    </row>
    <row r="223" spans="1:7">
      <c r="A223" s="1234" t="s">
        <v>352</v>
      </c>
      <c r="B223" s="1234"/>
      <c r="C223" s="1234"/>
      <c r="D223" s="1234"/>
      <c r="E223" s="1234"/>
      <c r="F223" s="1234"/>
      <c r="G223" s="1234"/>
    </row>
    <row r="224" spans="1:7">
      <c r="A224" s="279"/>
      <c r="B224" s="279"/>
      <c r="C224" s="279"/>
      <c r="D224" s="1146"/>
      <c r="E224" s="3"/>
      <c r="F224" s="3"/>
      <c r="G224" s="3"/>
    </row>
    <row r="225" spans="1:6">
      <c r="A225" s="279"/>
      <c r="B225" s="279"/>
      <c r="C225" s="412"/>
      <c r="D225" s="1235" t="s">
        <v>353</v>
      </c>
      <c r="E225" s="1235"/>
      <c r="F225" s="1235"/>
    </row>
    <row r="226" spans="1:6">
      <c r="A226" s="120"/>
      <c r="B226" s="120"/>
      <c r="C226" s="120"/>
      <c r="D226" s="85"/>
      <c r="E226" s="85"/>
      <c r="F226" s="85"/>
    </row>
    <row r="227" spans="1:6">
      <c r="A227" s="123"/>
      <c r="B227" s="123"/>
      <c r="C227" s="123"/>
      <c r="D227" s="1235" t="s">
        <v>354</v>
      </c>
      <c r="E227" s="1235"/>
      <c r="F227" s="1235"/>
    </row>
    <row r="228" spans="1:6" ht="14.25">
      <c r="A228" s="124"/>
      <c r="B228" s="362" t="s">
        <v>294</v>
      </c>
      <c r="C228" s="279"/>
      <c r="D228" s="1237" t="s">
        <v>355</v>
      </c>
      <c r="E228" s="1237"/>
      <c r="F228" s="1237"/>
    </row>
    <row r="229" spans="1:6" ht="14.25">
      <c r="A229" s="124"/>
      <c r="B229" s="124"/>
      <c r="C229" s="279"/>
      <c r="D229" s="1237"/>
      <c r="E229" s="1237"/>
      <c r="F229" s="1237"/>
    </row>
    <row r="230" spans="1:6">
      <c r="A230" s="279"/>
      <c r="B230" s="279"/>
      <c r="C230" s="279"/>
      <c r="D230" s="85"/>
      <c r="E230" s="85"/>
      <c r="F230" s="85"/>
    </row>
    <row r="231" spans="1:6" ht="14.45" customHeight="1">
      <c r="A231" s="124"/>
      <c r="B231" s="362" t="s">
        <v>294</v>
      </c>
      <c r="C231" s="279"/>
      <c r="D231" s="1219" t="s">
        <v>356</v>
      </c>
      <c r="E231" s="1219"/>
      <c r="F231" s="1219"/>
    </row>
    <row r="232" spans="1:6">
      <c r="A232" s="279"/>
      <c r="B232" s="279"/>
      <c r="C232" s="279"/>
      <c r="D232" s="1219"/>
      <c r="E232" s="1219"/>
      <c r="F232" s="1219"/>
    </row>
    <row r="233" spans="1:6">
      <c r="A233" s="279"/>
      <c r="B233" s="279"/>
      <c r="C233" s="279"/>
      <c r="D233" s="1230" t="s">
        <v>357</v>
      </c>
      <c r="E233" s="1230"/>
      <c r="F233" s="1230"/>
    </row>
    <row r="234" spans="1:6">
      <c r="A234" s="279"/>
      <c r="B234" s="279"/>
      <c r="C234" s="279"/>
      <c r="D234" s="85"/>
      <c r="E234" s="85"/>
      <c r="F234" s="85"/>
    </row>
    <row r="235" spans="1:6" ht="14.45" customHeight="1">
      <c r="A235" s="124"/>
      <c r="B235" s="362" t="s">
        <v>294</v>
      </c>
      <c r="C235" s="279"/>
      <c r="D235" s="1219" t="s">
        <v>358</v>
      </c>
      <c r="E235" s="1219"/>
      <c r="F235" s="1219"/>
    </row>
    <row r="236" spans="1:6">
      <c r="A236" s="279"/>
      <c r="B236" s="279"/>
      <c r="C236" s="279"/>
      <c r="D236" s="1219"/>
      <c r="E236" s="1219"/>
      <c r="F236" s="1219"/>
    </row>
    <row r="237" spans="1:6">
      <c r="A237" s="279"/>
      <c r="B237" s="279"/>
      <c r="C237" s="279"/>
      <c r="D237" s="1219"/>
      <c r="E237" s="1219"/>
      <c r="F237" s="1219"/>
    </row>
    <row r="238" spans="1:6">
      <c r="A238" s="279"/>
      <c r="B238" s="279"/>
      <c r="C238" s="279"/>
      <c r="D238" s="1219"/>
      <c r="E238" s="1219"/>
      <c r="F238" s="1219"/>
    </row>
    <row r="239" spans="1:6">
      <c r="A239" s="279"/>
      <c r="B239" s="279"/>
      <c r="C239" s="279"/>
      <c r="D239" s="1219"/>
      <c r="E239" s="1219"/>
      <c r="F239" s="1219"/>
    </row>
    <row r="240" spans="1:6">
      <c r="A240" s="279"/>
      <c r="B240" s="279"/>
      <c r="C240" s="279"/>
      <c r="D240" s="85"/>
      <c r="E240" s="85"/>
      <c r="F240" s="85"/>
    </row>
    <row r="241" spans="1:7" ht="14.25">
      <c r="A241" s="124"/>
      <c r="B241" s="362" t="s">
        <v>294</v>
      </c>
      <c r="C241" s="279"/>
      <c r="D241" s="1219" t="s">
        <v>359</v>
      </c>
      <c r="E241" s="1219"/>
      <c r="F241" s="1219"/>
      <c r="G241" s="3"/>
    </row>
    <row r="242" spans="1:7">
      <c r="A242" s="279"/>
      <c r="B242" s="279"/>
      <c r="C242" s="279"/>
      <c r="D242" s="1219"/>
      <c r="E242" s="1219"/>
      <c r="F242" s="1219"/>
      <c r="G242" s="3"/>
    </row>
    <row r="243" spans="1:7">
      <c r="A243" s="279"/>
      <c r="B243" s="279"/>
      <c r="C243" s="279"/>
      <c r="D243" s="1219"/>
      <c r="E243" s="1219"/>
      <c r="F243" s="1219"/>
      <c r="G243" s="3"/>
    </row>
    <row r="244" spans="1:7">
      <c r="A244" s="279"/>
      <c r="B244" s="279"/>
      <c r="C244" s="279"/>
      <c r="D244" s="915"/>
      <c r="E244" s="85"/>
      <c r="F244" s="85"/>
      <c r="G244" s="3"/>
    </row>
    <row r="245" spans="1:7">
      <c r="A245" s="1234" t="s">
        <v>360</v>
      </c>
      <c r="B245" s="1234"/>
      <c r="C245" s="1234"/>
      <c r="D245" s="1234"/>
      <c r="E245" s="1234"/>
      <c r="F245" s="1234"/>
      <c r="G245" s="1234"/>
    </row>
    <row r="246" spans="1:7">
      <c r="A246" s="279"/>
      <c r="B246" s="279"/>
      <c r="C246" s="279"/>
      <c r="D246" s="915"/>
      <c r="E246" s="85"/>
      <c r="F246" s="85"/>
      <c r="G246" s="3"/>
    </row>
    <row r="247" spans="1:7">
      <c r="A247" s="279"/>
      <c r="B247" s="279"/>
      <c r="C247" s="120"/>
      <c r="D247" s="1251" t="s">
        <v>361</v>
      </c>
      <c r="E247" s="1251"/>
      <c r="F247" s="1251"/>
      <c r="G247" s="3"/>
    </row>
    <row r="248" spans="1:7">
      <c r="A248" s="279"/>
      <c r="B248" s="279"/>
      <c r="C248" s="120"/>
      <c r="D248" s="1251"/>
      <c r="E248" s="1251"/>
      <c r="F248" s="1251"/>
      <c r="G248" s="3"/>
    </row>
    <row r="249" spans="1:7">
      <c r="A249" s="123"/>
      <c r="B249" s="123"/>
      <c r="C249" s="123"/>
      <c r="D249" s="2"/>
      <c r="E249" s="3"/>
      <c r="F249" s="3"/>
      <c r="G249" s="3"/>
    </row>
    <row r="250" spans="1:7">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ht="14.25">
      <c r="A253" s="124"/>
      <c r="B253" s="362" t="s">
        <v>294</v>
      </c>
      <c r="C253" s="279"/>
      <c r="D253" s="1219" t="s">
        <v>364</v>
      </c>
      <c r="E253" s="1219"/>
      <c r="F253" s="1219"/>
      <c r="G253" s="3"/>
    </row>
    <row r="254" spans="1:7" ht="14.25">
      <c r="A254" s="124"/>
      <c r="B254" s="124"/>
      <c r="C254" s="279"/>
      <c r="D254" s="1219"/>
      <c r="E254" s="1219"/>
      <c r="F254" s="1219"/>
      <c r="G254" s="3"/>
    </row>
    <row r="255" spans="1:7">
      <c r="A255" s="279"/>
      <c r="B255" s="279"/>
      <c r="C255" s="279"/>
      <c r="D255" s="85"/>
      <c r="E255" s="85"/>
      <c r="F255" s="85"/>
      <c r="G255" s="3"/>
    </row>
    <row r="256" spans="1:7" ht="14.25">
      <c r="A256" s="124"/>
      <c r="B256" s="362" t="s">
        <v>294</v>
      </c>
      <c r="C256" s="279"/>
      <c r="D256" s="1219" t="s">
        <v>365</v>
      </c>
      <c r="E256" s="1219"/>
      <c r="F256" s="1219"/>
      <c r="G256" s="3"/>
    </row>
    <row r="257" spans="1:7" ht="14.25">
      <c r="A257" s="124"/>
      <c r="B257" s="124"/>
      <c r="C257" s="279"/>
      <c r="D257" s="1219"/>
      <c r="E257" s="1219"/>
      <c r="F257" s="1219"/>
      <c r="G257" s="3"/>
    </row>
    <row r="258" spans="1:7" ht="14.25">
      <c r="A258" s="124"/>
      <c r="B258" s="124"/>
      <c r="C258" s="279"/>
      <c r="D258" s="1219"/>
      <c r="E258" s="1219"/>
      <c r="F258" s="1219"/>
      <c r="G258" s="3"/>
    </row>
    <row r="259" spans="1:7">
      <c r="A259" s="279"/>
      <c r="B259" s="279"/>
      <c r="C259" s="279"/>
      <c r="D259" s="85"/>
      <c r="E259" s="85"/>
      <c r="F259" s="85"/>
      <c r="G259" s="3"/>
    </row>
    <row r="260" spans="1:7" ht="14.25">
      <c r="A260" s="124"/>
      <c r="B260" s="362" t="s">
        <v>294</v>
      </c>
      <c r="C260" s="279"/>
      <c r="D260" s="1219" t="s">
        <v>366</v>
      </c>
      <c r="E260" s="1219"/>
      <c r="F260" s="1219"/>
      <c r="G260" s="3"/>
    </row>
    <row r="261" spans="1:7" ht="14.25">
      <c r="A261" s="124"/>
      <c r="B261" s="124"/>
      <c r="C261" s="279"/>
      <c r="D261" s="1219"/>
      <c r="E261" s="1219"/>
      <c r="F261" s="1219"/>
      <c r="G261" s="3"/>
    </row>
    <row r="262" spans="1:7">
      <c r="A262" s="13"/>
      <c r="B262" s="13"/>
      <c r="C262" s="279"/>
      <c r="D262" s="3"/>
      <c r="E262" s="85"/>
      <c r="F262" s="85"/>
      <c r="G262" s="3"/>
    </row>
    <row r="263" spans="1:7">
      <c r="A263" s="1234" t="s">
        <v>367</v>
      </c>
      <c r="B263" s="1234"/>
      <c r="C263" s="1234"/>
      <c r="D263" s="1234"/>
      <c r="E263" s="1234"/>
      <c r="F263" s="1234"/>
      <c r="G263" s="1234"/>
    </row>
    <row r="264" spans="1:7">
      <c r="A264" s="13"/>
      <c r="B264" s="13"/>
      <c r="C264" s="279"/>
      <c r="D264" s="85"/>
      <c r="E264" s="85"/>
      <c r="F264" s="85"/>
      <c r="G264" s="3"/>
    </row>
    <row r="265" spans="1:7">
      <c r="A265" s="279"/>
      <c r="B265" s="279"/>
      <c r="C265" s="13"/>
      <c r="D265" s="1235" t="s">
        <v>368</v>
      </c>
      <c r="E265" s="1235"/>
      <c r="F265" s="1235"/>
      <c r="G265" s="3"/>
    </row>
    <row r="266" spans="1:7">
      <c r="A266" s="279"/>
      <c r="B266" s="279"/>
      <c r="C266" s="13"/>
      <c r="D266" s="1230" t="s">
        <v>369</v>
      </c>
      <c r="E266" s="1230"/>
      <c r="F266" s="1230"/>
      <c r="G266" s="3"/>
    </row>
    <row r="267" spans="1:7">
      <c r="A267" s="279"/>
      <c r="B267" s="279"/>
      <c r="C267" s="13"/>
      <c r="D267" s="121"/>
      <c r="E267" s="3"/>
      <c r="F267" s="3"/>
      <c r="G267" s="3"/>
    </row>
    <row r="268" spans="1:7">
      <c r="A268" s="279"/>
      <c r="B268" s="362" t="s">
        <v>294</v>
      </c>
      <c r="C268" s="279"/>
      <c r="D268" s="1230" t="s">
        <v>370</v>
      </c>
      <c r="E268" s="1230"/>
      <c r="F268" s="1230"/>
      <c r="G268" s="3"/>
    </row>
    <row r="269" spans="1:7" ht="14.25">
      <c r="A269" s="124"/>
      <c r="B269" s="124"/>
      <c r="C269" s="279"/>
      <c r="D269" s="239"/>
      <c r="E269" s="1141"/>
      <c r="F269" s="1141"/>
      <c r="G269" s="3"/>
    </row>
    <row r="270" spans="1:7" ht="13.35" customHeight="1">
      <c r="A270" s="279"/>
      <c r="B270" s="362" t="s">
        <v>294</v>
      </c>
      <c r="C270" s="279"/>
      <c r="D270" s="1238" t="s">
        <v>371</v>
      </c>
      <c r="E270" s="1238"/>
      <c r="F270" s="1238"/>
      <c r="G270" s="3"/>
    </row>
    <row r="271" spans="1:7" ht="14.25">
      <c r="A271" s="124"/>
      <c r="B271" s="124"/>
      <c r="C271" s="279"/>
      <c r="D271" s="1238"/>
      <c r="E271" s="1238"/>
      <c r="F271" s="1238"/>
      <c r="G271" s="3"/>
    </row>
    <row r="272" spans="1:7" ht="14.25">
      <c r="A272" s="124"/>
      <c r="B272" s="124"/>
      <c r="C272" s="279"/>
      <c r="D272" s="1238"/>
      <c r="E272" s="1238"/>
      <c r="F272" s="1238"/>
      <c r="G272" s="3"/>
    </row>
    <row r="273" spans="1:6" ht="14.25">
      <c r="A273" s="124"/>
      <c r="B273" s="124"/>
      <c r="C273" s="279"/>
      <c r="D273" s="1238"/>
      <c r="E273" s="1238"/>
      <c r="F273" s="1238"/>
    </row>
    <row r="274" spans="1:6" ht="14.25">
      <c r="A274" s="124"/>
      <c r="B274" s="124"/>
      <c r="C274" s="279"/>
      <c r="D274" s="1238"/>
      <c r="E274" s="1238"/>
      <c r="F274" s="1238"/>
    </row>
    <row r="275" spans="1:6" ht="14.25">
      <c r="A275" s="124"/>
      <c r="B275" s="124"/>
      <c r="C275" s="279"/>
      <c r="D275" s="239"/>
      <c r="E275" s="1141"/>
      <c r="F275" s="1141"/>
    </row>
    <row r="276" spans="1:6" ht="13.35" customHeight="1">
      <c r="A276" s="279"/>
      <c r="B276" s="362" t="s">
        <v>294</v>
      </c>
      <c r="C276" s="279"/>
      <c r="D276" s="1238" t="s">
        <v>372</v>
      </c>
      <c r="E276" s="1238"/>
      <c r="F276" s="1238"/>
    </row>
    <row r="277" spans="1:6">
      <c r="A277" s="279"/>
      <c r="B277" s="279"/>
      <c r="C277" s="279"/>
      <c r="D277" s="1238"/>
      <c r="E277" s="1238"/>
      <c r="F277" s="1238"/>
    </row>
    <row r="278" spans="1:6" ht="14.25">
      <c r="A278" s="124"/>
      <c r="B278" s="124"/>
      <c r="C278" s="279"/>
      <c r="D278" s="239"/>
      <c r="E278" s="1141"/>
      <c r="F278" s="1141"/>
    </row>
    <row r="279" spans="1:6">
      <c r="A279" s="279"/>
      <c r="B279" s="362" t="s">
        <v>294</v>
      </c>
      <c r="C279" s="279"/>
      <c r="D279" s="1230" t="s">
        <v>373</v>
      </c>
      <c r="E279" s="1230"/>
      <c r="F279" s="1230"/>
    </row>
    <row r="280" spans="1:6">
      <c r="A280" s="279"/>
      <c r="B280" s="279"/>
      <c r="C280" s="279"/>
      <c r="D280" s="3"/>
      <c r="E280" s="85"/>
      <c r="F280" s="85"/>
    </row>
    <row r="281" spans="1:6" ht="14.25">
      <c r="A281" s="124"/>
      <c r="B281" s="362" t="s">
        <v>294</v>
      </c>
      <c r="C281" s="279"/>
      <c r="D281" s="1219" t="s">
        <v>374</v>
      </c>
      <c r="E281" s="1219"/>
      <c r="F281" s="1219"/>
    </row>
    <row r="282" spans="1:6" ht="14.25">
      <c r="A282" s="124"/>
      <c r="B282" s="124"/>
      <c r="C282" s="279"/>
      <c r="D282" s="1219"/>
      <c r="E282" s="1219"/>
      <c r="F282" s="1219"/>
    </row>
    <row r="283" spans="1:6" ht="14.25">
      <c r="A283" s="124"/>
      <c r="B283" s="124"/>
      <c r="C283" s="279"/>
      <c r="D283" s="1219"/>
      <c r="E283" s="1219"/>
      <c r="F283" s="1219"/>
    </row>
    <row r="284" spans="1:6" ht="14.25">
      <c r="A284" s="124"/>
      <c r="B284" s="124"/>
      <c r="C284" s="279"/>
      <c r="D284" s="1219"/>
      <c r="E284" s="1219"/>
      <c r="F284" s="1219"/>
    </row>
    <row r="285" spans="1:6" ht="14.25">
      <c r="A285" s="124"/>
      <c r="B285" s="124"/>
      <c r="C285" s="279"/>
      <c r="D285" s="1219"/>
      <c r="E285" s="1219"/>
      <c r="F285" s="1219"/>
    </row>
    <row r="286" spans="1:6" ht="14.25">
      <c r="A286" s="124"/>
      <c r="B286" s="124"/>
      <c r="C286" s="279"/>
      <c r="D286" s="1219"/>
      <c r="E286" s="1219"/>
      <c r="F286" s="1219"/>
    </row>
    <row r="287" spans="1:6" ht="14.25">
      <c r="A287" s="124"/>
      <c r="B287" s="124"/>
      <c r="C287" s="279"/>
      <c r="D287" s="1219"/>
      <c r="E287" s="1219"/>
      <c r="F287" s="1219"/>
    </row>
    <row r="288" spans="1:6" ht="14.25">
      <c r="A288" s="124"/>
      <c r="B288" s="124"/>
      <c r="C288" s="279"/>
      <c r="D288" s="1219"/>
      <c r="E288" s="1219"/>
      <c r="F288" s="1219"/>
    </row>
    <row r="289" spans="1:6" ht="14.25">
      <c r="A289" s="124"/>
      <c r="B289" s="124"/>
      <c r="C289" s="279"/>
      <c r="D289" s="1219"/>
      <c r="E289" s="1219"/>
      <c r="F289" s="1219"/>
    </row>
    <row r="290" spans="1:6" ht="14.25">
      <c r="A290" s="124"/>
      <c r="B290" s="124"/>
      <c r="C290" s="279"/>
      <c r="D290" s="1219"/>
      <c r="E290" s="1219"/>
      <c r="F290" s="1219"/>
    </row>
    <row r="291" spans="1:6" ht="14.25">
      <c r="A291" s="124"/>
      <c r="B291" s="124"/>
      <c r="C291" s="279"/>
      <c r="D291" s="1219"/>
      <c r="E291" s="1219"/>
      <c r="F291" s="1219"/>
    </row>
    <row r="292" spans="1:6" ht="14.25">
      <c r="A292" s="124"/>
      <c r="B292" s="124"/>
      <c r="C292" s="279"/>
      <c r="D292" s="1219"/>
      <c r="E292" s="1219"/>
      <c r="F292" s="1219"/>
    </row>
    <row r="293" spans="1:6" ht="14.25">
      <c r="A293" s="124"/>
      <c r="B293" s="124"/>
      <c r="C293" s="279"/>
      <c r="D293" s="1219"/>
      <c r="E293" s="1219"/>
      <c r="F293" s="1219"/>
    </row>
    <row r="294" spans="1:6" ht="14.25">
      <c r="A294" s="124"/>
      <c r="B294" s="124"/>
      <c r="C294" s="279"/>
      <c r="D294" s="1219"/>
      <c r="E294" s="1219"/>
      <c r="F294" s="1219"/>
    </row>
    <row r="295" spans="1:6" ht="14.25">
      <c r="A295" s="124"/>
      <c r="B295" s="124"/>
      <c r="C295" s="279"/>
      <c r="D295" s="1219"/>
      <c r="E295" s="1219"/>
      <c r="F295" s="1219"/>
    </row>
    <row r="296" spans="1:6">
      <c r="A296" s="279"/>
      <c r="B296" s="279"/>
      <c r="C296" s="279"/>
      <c r="D296" s="85"/>
      <c r="E296" s="85"/>
      <c r="F296" s="85"/>
    </row>
    <row r="297" spans="1:6" ht="14.25">
      <c r="A297" s="124"/>
      <c r="B297" s="362" t="s">
        <v>294</v>
      </c>
      <c r="C297" s="279"/>
      <c r="D297" s="1219" t="s">
        <v>375</v>
      </c>
      <c r="E297" s="1219"/>
      <c r="F297" s="1219"/>
    </row>
    <row r="298" spans="1:6">
      <c r="A298" s="279"/>
      <c r="B298" s="279"/>
      <c r="C298" s="279"/>
      <c r="D298" s="1219"/>
      <c r="E298" s="1219"/>
      <c r="F298" s="1219"/>
    </row>
    <row r="299" spans="1:6">
      <c r="A299" s="279"/>
      <c r="B299" s="279"/>
      <c r="C299" s="279"/>
      <c r="D299" s="1219"/>
      <c r="E299" s="1219"/>
      <c r="F299" s="1219"/>
    </row>
    <row r="300" spans="1:6">
      <c r="A300" s="279"/>
      <c r="B300" s="279"/>
      <c r="C300" s="279"/>
      <c r="D300" s="1219"/>
      <c r="E300" s="1219"/>
      <c r="F300" s="1219"/>
    </row>
    <row r="301" spans="1:6">
      <c r="A301" s="279"/>
      <c r="B301" s="279"/>
      <c r="C301" s="279"/>
      <c r="D301" s="1219"/>
      <c r="E301" s="1219"/>
      <c r="F301" s="1219"/>
    </row>
    <row r="302" spans="1:6">
      <c r="A302" s="279"/>
      <c r="B302" s="279"/>
      <c r="C302" s="279"/>
      <c r="D302" s="1219"/>
      <c r="E302" s="1219"/>
      <c r="F302" s="1219"/>
    </row>
    <row r="303" spans="1:6">
      <c r="A303" s="279"/>
      <c r="B303" s="279"/>
      <c r="C303" s="279"/>
      <c r="D303" s="1219"/>
      <c r="E303" s="1219"/>
      <c r="F303" s="1219"/>
    </row>
    <row r="304" spans="1:6">
      <c r="A304" s="279"/>
      <c r="B304" s="279"/>
      <c r="C304" s="279"/>
      <c r="D304" s="1219"/>
      <c r="E304" s="1219"/>
      <c r="F304" s="1219"/>
    </row>
    <row r="305" spans="1:7">
      <c r="A305" s="279"/>
      <c r="B305" s="279"/>
      <c r="C305" s="279"/>
      <c r="D305" s="1219"/>
      <c r="E305" s="1219"/>
      <c r="F305" s="1219"/>
      <c r="G305" s="3"/>
    </row>
    <row r="306" spans="1:7">
      <c r="A306" s="279"/>
      <c r="B306" s="279"/>
      <c r="C306" s="279"/>
      <c r="D306" s="85"/>
      <c r="E306" s="85"/>
      <c r="F306" s="85"/>
      <c r="G306" s="3"/>
    </row>
    <row r="307" spans="1:7" ht="14.25">
      <c r="A307" s="124"/>
      <c r="B307" s="362" t="s">
        <v>294</v>
      </c>
      <c r="C307" s="279"/>
      <c r="D307" s="1219" t="s">
        <v>376</v>
      </c>
      <c r="E307" s="1219"/>
      <c r="F307" s="1219"/>
      <c r="G307" s="3"/>
    </row>
    <row r="308" spans="1:7">
      <c r="A308" s="279"/>
      <c r="B308" s="279"/>
      <c r="C308" s="279"/>
      <c r="D308" s="1219"/>
      <c r="E308" s="1219"/>
      <c r="F308" s="1219"/>
      <c r="G308"/>
    </row>
    <row r="309" spans="1:7">
      <c r="A309" s="279"/>
      <c r="B309" s="279"/>
      <c r="C309" s="279"/>
      <c r="D309" s="1219"/>
      <c r="E309" s="1219"/>
      <c r="F309" s="1219"/>
      <c r="G309"/>
    </row>
    <row r="310" spans="1:7">
      <c r="A310" s="279"/>
      <c r="B310" s="279"/>
      <c r="C310" s="279"/>
      <c r="D310" s="1219"/>
      <c r="E310" s="1219"/>
      <c r="F310" s="1219"/>
      <c r="G310"/>
    </row>
    <row r="311" spans="1:7">
      <c r="A311" s="279"/>
      <c r="B311" s="279"/>
      <c r="C311" s="279"/>
      <c r="D311" s="1219"/>
      <c r="E311" s="1219"/>
      <c r="F311" s="1219"/>
      <c r="G311"/>
    </row>
    <row r="312" spans="1:7">
      <c r="A312" s="279"/>
      <c r="B312" s="279"/>
      <c r="C312" s="279"/>
      <c r="D312" s="1219"/>
      <c r="E312" s="1219"/>
      <c r="F312" s="1219"/>
      <c r="G312"/>
    </row>
    <row r="313" spans="1:7">
      <c r="A313" s="279"/>
      <c r="B313" s="279"/>
      <c r="C313" s="279"/>
      <c r="D313" s="368"/>
      <c r="E313" s="368"/>
      <c r="F313" s="368"/>
      <c r="G313"/>
    </row>
    <row r="314" spans="1:7" ht="13.5" thickBot="1">
      <c r="A314" s="279"/>
      <c r="B314" s="279"/>
      <c r="C314" s="279"/>
      <c r="D314" s="1241" t="s">
        <v>377</v>
      </c>
      <c r="E314" s="1241"/>
      <c r="F314" s="1241"/>
      <c r="G314"/>
    </row>
    <row r="315" spans="1:7" ht="13.5" thickTop="1">
      <c r="A315" s="279"/>
      <c r="B315" s="279"/>
      <c r="C315" s="279"/>
      <c r="D315" s="1242" t="s">
        <v>378</v>
      </c>
      <c r="E315" s="1242"/>
      <c r="F315" s="1242"/>
      <c r="G315"/>
    </row>
    <row r="316" spans="1:7">
      <c r="A316" s="143"/>
      <c r="B316" s="143"/>
      <c r="C316" s="143"/>
      <c r="D316" s="145"/>
      <c r="E316" s="145"/>
      <c r="F316" s="85"/>
      <c r="G316"/>
    </row>
    <row r="317" spans="1:7" ht="14.25">
      <c r="A317" s="124"/>
      <c r="B317" s="362" t="s">
        <v>294</v>
      </c>
      <c r="C317" s="143"/>
      <c r="D317" s="1232" t="s">
        <v>379</v>
      </c>
      <c r="E317" s="1232"/>
      <c r="F317" s="1232"/>
      <c r="G317"/>
    </row>
    <row r="318" spans="1:7">
      <c r="A318" s="143"/>
      <c r="B318" s="143"/>
      <c r="C318" s="143"/>
      <c r="D318" s="145"/>
      <c r="E318" s="145"/>
      <c r="F318" s="85"/>
      <c r="G318"/>
    </row>
    <row r="319" spans="1:7">
      <c r="A319" s="143"/>
      <c r="B319" s="362" t="s">
        <v>294</v>
      </c>
      <c r="C319" s="143"/>
      <c r="D319" s="1228" t="s">
        <v>380</v>
      </c>
      <c r="E319" s="1228"/>
      <c r="F319" s="1228"/>
      <c r="G319"/>
    </row>
    <row r="320" spans="1:7">
      <c r="A320" s="143"/>
      <c r="B320" s="143"/>
      <c r="C320" s="143"/>
      <c r="D320" s="1228"/>
      <c r="E320" s="1228"/>
      <c r="F320" s="1228"/>
      <c r="G320"/>
    </row>
    <row r="321" spans="1:7">
      <c r="A321" s="143"/>
      <c r="B321" s="143"/>
      <c r="C321" s="143"/>
      <c r="D321" s="1228"/>
      <c r="E321" s="1228"/>
      <c r="F321" s="1228"/>
      <c r="G321"/>
    </row>
    <row r="322" spans="1:7">
      <c r="A322" s="143"/>
      <c r="B322" s="143"/>
      <c r="C322" s="143"/>
      <c r="D322" s="1228"/>
      <c r="E322" s="1228"/>
      <c r="F322" s="1228"/>
      <c r="G322"/>
    </row>
    <row r="323" spans="1:7">
      <c r="A323" s="143"/>
      <c r="B323" s="143"/>
      <c r="C323" s="143"/>
      <c r="D323" s="1228"/>
      <c r="E323" s="1228"/>
      <c r="F323" s="1228"/>
      <c r="G323"/>
    </row>
    <row r="324" spans="1:7">
      <c r="A324" s="143"/>
      <c r="B324" s="143"/>
      <c r="C324" s="143"/>
      <c r="D324" s="1228"/>
      <c r="E324" s="1228"/>
      <c r="F324" s="1228"/>
      <c r="G324"/>
    </row>
    <row r="325" spans="1:7">
      <c r="A325" s="143"/>
      <c r="B325" s="143"/>
      <c r="C325" s="143"/>
      <c r="D325" s="1228"/>
      <c r="E325" s="1228"/>
      <c r="F325" s="1228"/>
      <c r="G325"/>
    </row>
    <row r="326" spans="1:7">
      <c r="A326" s="143"/>
      <c r="B326" s="143"/>
      <c r="C326" s="143"/>
      <c r="D326" s="1228"/>
      <c r="E326" s="1228"/>
      <c r="F326" s="1228"/>
      <c r="G326"/>
    </row>
    <row r="327" spans="1:7">
      <c r="A327" s="143"/>
      <c r="B327" s="143"/>
      <c r="C327" s="143"/>
      <c r="D327" s="1228"/>
      <c r="E327" s="1228"/>
      <c r="F327" s="1228"/>
      <c r="G327"/>
    </row>
    <row r="328" spans="1:7">
      <c r="A328" s="143"/>
      <c r="B328" s="143"/>
      <c r="C328" s="143"/>
      <c r="D328" s="1228"/>
      <c r="E328" s="1228"/>
      <c r="F328" s="1228"/>
      <c r="G328"/>
    </row>
    <row r="329" spans="1:7">
      <c r="A329" s="143"/>
      <c r="B329" s="143"/>
      <c r="C329" s="143"/>
      <c r="D329" s="1228"/>
      <c r="E329" s="1228"/>
      <c r="F329" s="1228"/>
      <c r="G329"/>
    </row>
    <row r="330" spans="1:7">
      <c r="A330" s="143"/>
      <c r="B330" s="143"/>
      <c r="C330" s="143"/>
      <c r="D330"/>
      <c r="E330" s="145"/>
      <c r="F330" s="85"/>
      <c r="G330"/>
    </row>
    <row r="331" spans="1:7" ht="14.25">
      <c r="A331" s="124"/>
      <c r="B331" s="362" t="s">
        <v>294</v>
      </c>
      <c r="C331" s="143"/>
      <c r="D331" s="1228" t="s">
        <v>381</v>
      </c>
      <c r="E331" s="1228"/>
      <c r="F331" s="1228"/>
      <c r="G331"/>
    </row>
    <row r="332" spans="1:7">
      <c r="A332" s="143"/>
      <c r="B332" s="143"/>
      <c r="C332" s="143"/>
      <c r="D332" s="1228"/>
      <c r="E332" s="1228"/>
      <c r="F332" s="1228"/>
      <c r="G332"/>
    </row>
    <row r="333" spans="1:7">
      <c r="A333" s="143"/>
      <c r="B333" s="143"/>
      <c r="C333" s="143"/>
      <c r="D333" s="1228"/>
      <c r="E333" s="1228"/>
      <c r="F333" s="1228"/>
      <c r="G333"/>
    </row>
    <row r="334" spans="1:7">
      <c r="A334" s="143"/>
      <c r="B334" s="143"/>
      <c r="C334" s="143"/>
      <c r="D334" s="1228"/>
      <c r="E334" s="1228"/>
      <c r="F334" s="1228"/>
      <c r="G334"/>
    </row>
    <row r="335" spans="1:7">
      <c r="A335" s="143"/>
      <c r="B335" s="143"/>
      <c r="C335" s="143"/>
      <c r="D335" s="145"/>
      <c r="E335" s="145"/>
      <c r="F335" s="85"/>
      <c r="G335"/>
    </row>
    <row r="336" spans="1:7">
      <c r="A336" s="143"/>
      <c r="B336" s="143"/>
      <c r="C336" s="143"/>
      <c r="D336" s="1228" t="s">
        <v>382</v>
      </c>
      <c r="E336" s="1228"/>
      <c r="F336" s="1228"/>
      <c r="G336"/>
    </row>
    <row r="337" spans="1:7">
      <c r="A337" s="143"/>
      <c r="B337" s="143"/>
      <c r="C337" s="143"/>
      <c r="D337" s="1228"/>
      <c r="E337" s="1228"/>
      <c r="F337" s="1228"/>
      <c r="G337"/>
    </row>
    <row r="338" spans="1:7">
      <c r="A338" s="143"/>
      <c r="B338" s="143"/>
      <c r="C338" s="143"/>
      <c r="D338" s="1228"/>
      <c r="E338" s="1228"/>
      <c r="F338" s="1228"/>
      <c r="G338"/>
    </row>
    <row r="339" spans="1:7">
      <c r="A339" s="143"/>
      <c r="B339" s="143"/>
      <c r="C339" s="143"/>
      <c r="D339" s="1228"/>
      <c r="E339" s="1228"/>
      <c r="F339" s="1228"/>
      <c r="G339"/>
    </row>
    <row r="340" spans="1:7" ht="18" customHeight="1">
      <c r="A340" s="143"/>
      <c r="B340" s="143"/>
      <c r="C340" s="143"/>
      <c r="D340" s="1228"/>
      <c r="E340" s="1228"/>
      <c r="F340" s="1228"/>
      <c r="G340"/>
    </row>
    <row r="341" spans="1:7">
      <c r="A341" s="143"/>
      <c r="B341" s="143"/>
      <c r="C341" s="143"/>
      <c r="D341" s="1228"/>
      <c r="E341" s="1228"/>
      <c r="F341" s="1228"/>
      <c r="G341"/>
    </row>
    <row r="342" spans="1:7">
      <c r="A342" s="143"/>
      <c r="B342" s="143"/>
      <c r="C342" s="143"/>
      <c r="D342" s="1228"/>
      <c r="E342" s="1228"/>
      <c r="F342" s="1228"/>
      <c r="G342"/>
    </row>
    <row r="343" spans="1:7">
      <c r="A343" s="143"/>
      <c r="B343" s="143"/>
      <c r="C343" s="143"/>
      <c r="D343" s="1228"/>
      <c r="E343" s="1228"/>
      <c r="F343" s="1228"/>
      <c r="G343"/>
    </row>
    <row r="344" spans="1:7" ht="8.25" customHeight="1">
      <c r="A344" s="143"/>
      <c r="B344" s="143"/>
      <c r="C344" s="143"/>
      <c r="D344" s="1228"/>
      <c r="E344" s="1228"/>
      <c r="F344" s="1228"/>
      <c r="G344"/>
    </row>
    <row r="345" spans="1:7" ht="13.35" customHeight="1">
      <c r="A345" s="143"/>
      <c r="B345" s="143"/>
      <c r="C345" s="143"/>
      <c r="D345" s="1228" t="s">
        <v>383</v>
      </c>
      <c r="E345" s="1228"/>
      <c r="F345" s="1228"/>
      <c r="G345"/>
    </row>
    <row r="346" spans="1:7">
      <c r="A346" s="143"/>
      <c r="B346" s="143"/>
      <c r="C346" s="143"/>
      <c r="D346" s="1228"/>
      <c r="E346" s="1228"/>
      <c r="F346" s="1228"/>
      <c r="G346"/>
    </row>
    <row r="347" spans="1:7">
      <c r="A347" s="143"/>
      <c r="B347" s="143"/>
      <c r="C347" s="143"/>
      <c r="D347" s="1228"/>
      <c r="E347" s="1228"/>
      <c r="F347" s="1228"/>
      <c r="G347"/>
    </row>
    <row r="348" spans="1:7">
      <c r="A348" s="143"/>
      <c r="B348" s="143"/>
      <c r="C348" s="143"/>
      <c r="D348" s="1228"/>
      <c r="E348" s="1228"/>
      <c r="F348" s="1228"/>
      <c r="G348"/>
    </row>
    <row r="349" spans="1:7">
      <c r="A349" s="143"/>
      <c r="B349" s="143"/>
      <c r="C349" s="143"/>
      <c r="D349" s="1228"/>
      <c r="E349" s="1228"/>
      <c r="F349" s="1228"/>
      <c r="G349"/>
    </row>
    <row r="350" spans="1:7">
      <c r="A350" s="143"/>
      <c r="B350" s="143"/>
      <c r="C350" s="143"/>
      <c r="D350" s="1228"/>
      <c r="E350" s="1228"/>
      <c r="F350" s="1228"/>
      <c r="G350"/>
    </row>
    <row r="351" spans="1:7">
      <c r="A351" s="143"/>
      <c r="B351" s="143"/>
      <c r="C351" s="143"/>
      <c r="D351" s="1228"/>
      <c r="E351" s="1228"/>
      <c r="F351" s="1228"/>
      <c r="G351"/>
    </row>
    <row r="352" spans="1:7">
      <c r="A352" s="143"/>
      <c r="B352" s="143"/>
      <c r="C352" s="143"/>
      <c r="D352" s="1228"/>
      <c r="E352" s="1228"/>
      <c r="F352" s="1228"/>
      <c r="G352"/>
    </row>
    <row r="353" spans="1:7">
      <c r="A353" s="143"/>
      <c r="B353" s="143"/>
      <c r="C353" s="143"/>
      <c r="D353" s="1228"/>
      <c r="E353" s="1228"/>
      <c r="F353" s="1228"/>
      <c r="G353"/>
    </row>
    <row r="354" spans="1:7">
      <c r="A354" s="143"/>
      <c r="B354" s="143"/>
      <c r="C354" s="143"/>
      <c r="D354" s="1228"/>
      <c r="E354" s="1228"/>
      <c r="F354" s="1228"/>
      <c r="G354"/>
    </row>
    <row r="355" spans="1:7">
      <c r="A355" s="143"/>
      <c r="B355" s="143"/>
      <c r="C355" s="143"/>
      <c r="D355" s="1228"/>
      <c r="E355" s="1228"/>
      <c r="F355" s="1228"/>
      <c r="G355"/>
    </row>
    <row r="356" spans="1:7">
      <c r="A356" s="143"/>
      <c r="B356" s="143"/>
      <c r="C356" s="143"/>
      <c r="D356" s="1228"/>
      <c r="E356" s="1228"/>
      <c r="F356" s="1228"/>
      <c r="G356"/>
    </row>
    <row r="357" spans="1:7">
      <c r="A357" s="143"/>
      <c r="B357" s="143"/>
      <c r="C357" s="243"/>
      <c r="D357" s="1228"/>
      <c r="E357" s="1228"/>
      <c r="F357" s="1228"/>
      <c r="G357"/>
    </row>
    <row r="358" spans="1:7">
      <c r="A358" s="143"/>
      <c r="B358" s="143"/>
      <c r="C358" s="243"/>
      <c r="D358" s="1228"/>
      <c r="E358" s="1228"/>
      <c r="F358" s="1228"/>
      <c r="G358"/>
    </row>
    <row r="359" spans="1:7">
      <c r="A359" s="143"/>
      <c r="B359" s="143"/>
      <c r="C359" s="143"/>
      <c r="D359" s="1228"/>
      <c r="E359" s="1228"/>
      <c r="F359" s="1228"/>
      <c r="G359"/>
    </row>
    <row r="360" spans="1:7">
      <c r="A360" s="143"/>
      <c r="B360" s="143"/>
      <c r="C360" s="243"/>
      <c r="D360" s="1228"/>
      <c r="E360" s="1228"/>
      <c r="F360" s="1228"/>
      <c r="G360"/>
    </row>
    <row r="361" spans="1:7">
      <c r="A361" s="143"/>
      <c r="B361" s="143"/>
      <c r="C361" s="243"/>
      <c r="D361" s="1228"/>
      <c r="E361" s="1228"/>
      <c r="F361" s="1228"/>
      <c r="G361"/>
    </row>
    <row r="362" spans="1:7">
      <c r="A362" s="143"/>
      <c r="B362" s="143"/>
      <c r="C362" s="243"/>
      <c r="D362" s="1228"/>
      <c r="E362" s="1228"/>
      <c r="F362" s="1228"/>
      <c r="G362"/>
    </row>
    <row r="363" spans="1:7">
      <c r="A363" s="143"/>
      <c r="B363" s="143"/>
      <c r="C363" s="143"/>
      <c r="D363" s="145"/>
      <c r="E363" s="145"/>
      <c r="F363" s="85"/>
      <c r="G363"/>
    </row>
    <row r="364" spans="1:7">
      <c r="A364" s="143"/>
      <c r="B364" s="362" t="s">
        <v>294</v>
      </c>
      <c r="C364" s="143"/>
      <c r="D364" s="1228" t="s">
        <v>384</v>
      </c>
      <c r="E364" s="1228"/>
      <c r="F364" s="1228"/>
      <c r="G364"/>
    </row>
    <row r="365" spans="1:7">
      <c r="A365" s="143"/>
      <c r="B365" s="143"/>
      <c r="C365" s="143"/>
      <c r="D365" s="1228"/>
      <c r="E365" s="1228"/>
      <c r="F365" s="1228"/>
      <c r="G365"/>
    </row>
    <row r="366" spans="1:7">
      <c r="A366" s="143"/>
      <c r="B366" s="143"/>
      <c r="C366" s="143"/>
      <c r="D366" s="145"/>
      <c r="E366" s="145"/>
      <c r="F366" s="85"/>
      <c r="G366"/>
    </row>
    <row r="367" spans="1:7" ht="14.25">
      <c r="A367" s="124"/>
      <c r="B367" s="362" t="s">
        <v>294</v>
      </c>
      <c r="C367" s="143"/>
      <c r="D367" s="1228" t="s">
        <v>385</v>
      </c>
      <c r="E367" s="1228"/>
      <c r="F367" s="1228"/>
      <c r="G367"/>
    </row>
    <row r="368" spans="1:7" ht="14.25">
      <c r="A368" s="242"/>
      <c r="B368" s="242"/>
      <c r="C368" s="143"/>
      <c r="D368" s="1228"/>
      <c r="E368" s="1228"/>
      <c r="F368" s="1228"/>
      <c r="G368"/>
    </row>
    <row r="369" spans="1:7" ht="14.25">
      <c r="A369" s="242"/>
      <c r="B369" s="242"/>
      <c r="C369" s="143"/>
      <c r="D369" s="1228"/>
      <c r="E369" s="1228"/>
      <c r="F369" s="1228"/>
      <c r="G369"/>
    </row>
    <row r="370" spans="1:7" ht="14.25">
      <c r="A370" s="242"/>
      <c r="B370" s="242"/>
      <c r="C370" s="143"/>
      <c r="D370" s="1228"/>
      <c r="E370" s="1228"/>
      <c r="F370" s="1228"/>
      <c r="G370"/>
    </row>
    <row r="371" spans="1:7" ht="14.25">
      <c r="A371" s="242"/>
      <c r="B371" s="242"/>
      <c r="C371" s="143"/>
      <c r="D371" s="1228"/>
      <c r="E371" s="1228"/>
      <c r="F371" s="1228"/>
      <c r="G371"/>
    </row>
    <row r="372" spans="1:7">
      <c r="A372" s="279"/>
      <c r="B372" s="279"/>
      <c r="C372" s="279"/>
      <c r="D372" s="85"/>
      <c r="E372" s="85"/>
      <c r="F372" s="85"/>
      <c r="G372"/>
    </row>
    <row r="373" spans="1:7" ht="14.25">
      <c r="A373" s="124"/>
      <c r="B373" s="362" t="s">
        <v>294</v>
      </c>
      <c r="C373" s="910"/>
      <c r="D373" s="1219" t="s">
        <v>386</v>
      </c>
      <c r="E373" s="1219"/>
      <c r="F373" s="1219"/>
      <c r="G373"/>
    </row>
    <row r="374" spans="1:7" ht="14.25">
      <c r="A374" s="124"/>
      <c r="B374" s="124"/>
      <c r="C374" s="279"/>
      <c r="D374" s="1219"/>
      <c r="E374" s="1219"/>
      <c r="F374" s="1219"/>
      <c r="G374"/>
    </row>
    <row r="375" spans="1:7">
      <c r="A375" s="279"/>
      <c r="B375" s="279"/>
      <c r="C375" s="279"/>
      <c r="D375" s="1219"/>
      <c r="E375" s="1219"/>
      <c r="F375" s="1219"/>
      <c r="G375"/>
    </row>
    <row r="376" spans="1:7">
      <c r="A376" s="279"/>
      <c r="B376" s="279"/>
      <c r="C376" s="279"/>
      <c r="D376" s="1219"/>
      <c r="E376" s="1219"/>
      <c r="F376" s="1219"/>
      <c r="G376"/>
    </row>
    <row r="377" spans="1:7">
      <c r="A377" s="279"/>
      <c r="B377" s="279"/>
      <c r="C377" s="279"/>
      <c r="D377" s="1219"/>
      <c r="E377" s="1219"/>
      <c r="F377" s="1219"/>
      <c r="G377"/>
    </row>
    <row r="378" spans="1:7">
      <c r="A378" s="279"/>
      <c r="B378" s="279"/>
      <c r="C378" s="279"/>
      <c r="D378" s="1219"/>
      <c r="E378" s="1219"/>
      <c r="F378" s="1219"/>
      <c r="G378"/>
    </row>
    <row r="379" spans="1:7">
      <c r="A379" s="279"/>
      <c r="B379" s="279"/>
      <c r="C379" s="279"/>
      <c r="D379" s="1219"/>
      <c r="E379" s="1219"/>
      <c r="F379" s="1219"/>
      <c r="G379"/>
    </row>
    <row r="380" spans="1:7">
      <c r="A380" s="279"/>
      <c r="B380" s="279"/>
      <c r="C380" s="279"/>
      <c r="D380" s="1219"/>
      <c r="E380" s="1219"/>
      <c r="F380" s="1219"/>
      <c r="G380"/>
    </row>
    <row r="381" spans="1:7">
      <c r="A381" s="279"/>
      <c r="B381" s="279"/>
      <c r="C381" s="279"/>
      <c r="D381" s="1219"/>
      <c r="E381" s="1219"/>
      <c r="F381" s="1219"/>
      <c r="G381"/>
    </row>
    <row r="382" spans="1:7">
      <c r="A382" s="279"/>
      <c r="B382" s="279"/>
      <c r="C382" s="279"/>
      <c r="D382" s="1219"/>
      <c r="E382" s="1219"/>
      <c r="F382" s="1219"/>
      <c r="G382"/>
    </row>
    <row r="383" spans="1:7">
      <c r="A383" s="279"/>
      <c r="B383" s="279"/>
      <c r="C383" s="279"/>
      <c r="D383" s="1219"/>
      <c r="E383" s="1219"/>
      <c r="F383" s="1219"/>
      <c r="G383"/>
    </row>
    <row r="384" spans="1:7">
      <c r="A384" s="279"/>
      <c r="B384" s="279"/>
      <c r="C384" s="279"/>
      <c r="D384" s="1219"/>
      <c r="E384" s="1219"/>
      <c r="F384" s="1219"/>
      <c r="G384"/>
    </row>
    <row r="385" spans="1:7">
      <c r="A385" s="279"/>
      <c r="B385" s="279"/>
      <c r="C385" s="279"/>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9"/>
      <c r="B402" s="279"/>
      <c r="C402" s="279"/>
      <c r="D402" s="1219"/>
      <c r="E402" s="1219"/>
      <c r="F402" s="1219"/>
      <c r="G402" s="3"/>
    </row>
    <row r="403" spans="1:7" ht="40.700000000000003" customHeight="1">
      <c r="A403" s="279"/>
      <c r="B403" s="279"/>
      <c r="C403" s="279"/>
      <c r="D403" s="1219"/>
      <c r="E403" s="1219"/>
      <c r="F403" s="1219"/>
      <c r="G403" s="3"/>
    </row>
    <row r="404" spans="1:7">
      <c r="A404" s="279"/>
      <c r="B404" s="279"/>
      <c r="C404" s="279"/>
      <c r="D404" s="85"/>
      <c r="E404" s="85"/>
      <c r="F404" s="85"/>
      <c r="G404" s="3"/>
    </row>
    <row r="405" spans="1:7" ht="14.25">
      <c r="A405" s="124"/>
      <c r="B405" s="362" t="s">
        <v>294</v>
      </c>
      <c r="C405" s="910"/>
      <c r="D405" s="1230" t="s">
        <v>387</v>
      </c>
      <c r="E405" s="1230"/>
      <c r="F405" s="1230"/>
      <c r="G405" s="3"/>
    </row>
    <row r="406" spans="1:7">
      <c r="A406" s="279"/>
      <c r="B406" s="279"/>
      <c r="C406" s="279"/>
      <c r="D406" s="1239" t="s">
        <v>388</v>
      </c>
      <c r="E406" s="1239"/>
      <c r="F406" s="1239"/>
      <c r="G406" s="3"/>
    </row>
    <row r="407" spans="1:7">
      <c r="A407" s="279"/>
      <c r="B407" s="279"/>
      <c r="C407" s="279"/>
      <c r="D407" s="1219" t="s">
        <v>389</v>
      </c>
      <c r="E407" s="1219"/>
      <c r="F407" s="1219"/>
      <c r="G407" s="3"/>
    </row>
    <row r="408" spans="1:7">
      <c r="A408" s="279"/>
      <c r="B408" s="279"/>
      <c r="C408" s="279"/>
      <c r="D408" s="1219"/>
      <c r="E408" s="1219"/>
      <c r="F408" s="1219"/>
      <c r="G408" s="3"/>
    </row>
    <row r="409" spans="1:7">
      <c r="A409" s="279"/>
      <c r="B409" s="279"/>
      <c r="C409" s="279"/>
      <c r="D409" s="1219"/>
      <c r="E409" s="1219"/>
      <c r="F409" s="1219"/>
      <c r="G409" s="3"/>
    </row>
    <row r="410" spans="1:7">
      <c r="A410" s="279"/>
      <c r="B410" s="279"/>
      <c r="C410" s="279"/>
      <c r="D410" s="1219"/>
      <c r="E410" s="1219"/>
      <c r="F410" s="1219"/>
      <c r="G410" s="3"/>
    </row>
    <row r="411" spans="1:7">
      <c r="A411" s="279"/>
      <c r="B411" s="279"/>
      <c r="C411" s="279"/>
      <c r="D411" s="85"/>
      <c r="E411" s="85"/>
      <c r="F411" s="85"/>
      <c r="G411"/>
    </row>
    <row r="412" spans="1:7" ht="14.25">
      <c r="A412" s="124"/>
      <c r="B412" s="362" t="s">
        <v>294</v>
      </c>
      <c r="C412" s="910"/>
      <c r="D412" s="1219" t="s">
        <v>390</v>
      </c>
      <c r="E412" s="1219"/>
      <c r="F412" s="1219"/>
      <c r="G412"/>
    </row>
    <row r="413" spans="1:7">
      <c r="A413" s="279"/>
      <c r="B413" s="279"/>
      <c r="C413" s="279"/>
      <c r="D413" s="1219"/>
      <c r="E413" s="1219"/>
      <c r="F413" s="1219"/>
      <c r="G413"/>
    </row>
    <row r="414" spans="1:7">
      <c r="A414" s="279"/>
      <c r="B414" s="279"/>
      <c r="C414" s="279"/>
      <c r="D414" s="1219"/>
      <c r="E414" s="1219"/>
      <c r="F414" s="1219"/>
      <c r="G414"/>
    </row>
    <row r="415" spans="1:7">
      <c r="A415" s="279"/>
      <c r="B415" s="279"/>
      <c r="C415" s="279"/>
      <c r="D415" s="368"/>
      <c r="E415" s="368"/>
      <c r="F415" s="368"/>
      <c r="G415"/>
    </row>
    <row r="416" spans="1:7" ht="14.25">
      <c r="A416" s="279"/>
      <c r="B416" s="362" t="s">
        <v>294</v>
      </c>
      <c r="C416" s="124"/>
      <c r="D416" s="1219" t="s">
        <v>391</v>
      </c>
      <c r="E416" s="1219"/>
      <c r="F416" s="1219"/>
      <c r="G416"/>
    </row>
    <row r="417" spans="1:7">
      <c r="A417" s="279"/>
      <c r="B417" s="279"/>
      <c r="C417" s="279"/>
      <c r="D417" s="1219"/>
      <c r="E417" s="1219"/>
      <c r="F417" s="1219"/>
      <c r="G417"/>
    </row>
    <row r="418" spans="1:7">
      <c r="A418" s="279"/>
      <c r="B418" s="279"/>
      <c r="C418" s="279"/>
      <c r="D418" s="85"/>
      <c r="E418" s="85"/>
      <c r="F418" s="85"/>
      <c r="G418"/>
    </row>
    <row r="419" spans="1:7" ht="14.25">
      <c r="A419" s="279"/>
      <c r="B419" s="362" t="s">
        <v>294</v>
      </c>
      <c r="C419" s="124"/>
      <c r="D419" s="1219" t="s">
        <v>392</v>
      </c>
      <c r="E419" s="1219"/>
      <c r="F419" s="1219"/>
      <c r="G419"/>
    </row>
    <row r="420" spans="1:7">
      <c r="A420" s="279"/>
      <c r="B420" s="279"/>
      <c r="C420" s="279"/>
      <c r="D420" s="1219"/>
      <c r="E420" s="1219"/>
      <c r="F420" s="1219"/>
      <c r="G420"/>
    </row>
    <row r="421" spans="1:7">
      <c r="A421" s="279"/>
      <c r="B421" s="279"/>
      <c r="C421" s="279"/>
      <c r="D421" s="1219"/>
      <c r="E421" s="1219"/>
      <c r="F421" s="1219"/>
      <c r="G421"/>
    </row>
    <row r="422" spans="1:7">
      <c r="A422" s="279"/>
      <c r="B422" s="279"/>
      <c r="C422" s="279"/>
      <c r="D422" s="1219"/>
      <c r="E422" s="1219"/>
      <c r="F422" s="1219"/>
      <c r="G422"/>
    </row>
    <row r="423" spans="1:7">
      <c r="A423" s="279"/>
      <c r="B423" s="362" t="s">
        <v>294</v>
      </c>
      <c r="C423" s="279"/>
      <c r="D423" s="1219"/>
      <c r="E423" s="1219"/>
      <c r="F423" s="1219"/>
      <c r="G423"/>
    </row>
    <row r="424" spans="1:7">
      <c r="A424"/>
      <c r="B424"/>
      <c r="C424"/>
      <c r="D424" s="1219"/>
      <c r="E424" s="1219"/>
      <c r="F424" s="1219"/>
      <c r="G424"/>
    </row>
    <row r="425" spans="1:7">
      <c r="A425"/>
      <c r="B425" s="279"/>
      <c r="C425"/>
      <c r="D425" s="1219"/>
      <c r="E425" s="1219"/>
      <c r="F425" s="1219"/>
      <c r="G425"/>
    </row>
    <row r="426" spans="1:7">
      <c r="A426"/>
      <c r="B426" s="362" t="s">
        <v>294</v>
      </c>
      <c r="C426"/>
      <c r="D426" s="1219"/>
      <c r="E426" s="1219"/>
      <c r="F426" s="1219"/>
      <c r="G426"/>
    </row>
    <row r="427" spans="1:7">
      <c r="A427"/>
      <c r="B427"/>
      <c r="C427"/>
      <c r="D427" s="1219"/>
      <c r="E427" s="1219"/>
      <c r="F427" s="1219"/>
      <c r="G427"/>
    </row>
    <row r="428" spans="1:7">
      <c r="A428"/>
      <c r="B428" s="279"/>
      <c r="C428"/>
      <c r="D428" s="1219"/>
      <c r="E428" s="1219"/>
      <c r="F428" s="1219"/>
      <c r="G428"/>
    </row>
    <row r="429" spans="1:7">
      <c r="A429"/>
      <c r="B429" s="279"/>
      <c r="C429"/>
      <c r="D429" s="1219"/>
      <c r="E429" s="1219"/>
      <c r="F429" s="1219"/>
      <c r="G429"/>
    </row>
    <row r="430" spans="1:7">
      <c r="A430"/>
      <c r="B430" s="362" t="s">
        <v>294</v>
      </c>
      <c r="C430"/>
      <c r="D430" s="1219"/>
      <c r="E430" s="1219"/>
      <c r="F430" s="1219"/>
      <c r="G430"/>
    </row>
    <row r="431" spans="1:7">
      <c r="A431"/>
      <c r="B431"/>
      <c r="C431"/>
      <c r="D431" s="1219"/>
      <c r="E431" s="1219"/>
      <c r="F431" s="1219"/>
      <c r="G431"/>
    </row>
    <row r="432" spans="1:7">
      <c r="A432"/>
      <c r="B432" s="362" t="s">
        <v>294</v>
      </c>
      <c r="C432"/>
      <c r="D432" s="1219"/>
      <c r="E432" s="1219"/>
      <c r="F432" s="1219"/>
      <c r="G432"/>
    </row>
    <row r="433" spans="1:7">
      <c r="A433"/>
      <c r="B433"/>
      <c r="C433"/>
      <c r="D433" s="368"/>
      <c r="E433" s="368"/>
      <c r="F433" s="368"/>
      <c r="G433"/>
    </row>
    <row r="434" spans="1:7">
      <c r="A434"/>
      <c r="B434" s="362"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9"/>
      <c r="B438" s="279"/>
      <c r="C438" s="279"/>
      <c r="D438" s="1219"/>
      <c r="E438" s="1219"/>
      <c r="F438" s="1219"/>
      <c r="G438" s="3"/>
    </row>
    <row r="439" spans="1:7">
      <c r="A439" s="279"/>
      <c r="B439" s="279"/>
      <c r="C439" s="279"/>
      <c r="D439" s="85"/>
      <c r="E439" s="85"/>
      <c r="F439" s="85"/>
      <c r="G439" s="3"/>
    </row>
    <row r="440" spans="1:7">
      <c r="A440" s="279"/>
      <c r="B440" s="362" t="s">
        <v>294</v>
      </c>
      <c r="C440" s="279"/>
      <c r="D440" s="1230" t="s">
        <v>394</v>
      </c>
      <c r="E440" s="1230"/>
      <c r="F440" s="1230"/>
      <c r="G440" s="3"/>
    </row>
    <row r="441" spans="1:7">
      <c r="A441" s="85"/>
      <c r="B441" s="85"/>
      <c r="C441" s="279"/>
      <c r="D441" s="3"/>
      <c r="E441" s="3"/>
      <c r="F441" s="3"/>
      <c r="G441" s="3"/>
    </row>
    <row r="442" spans="1:7">
      <c r="A442" s="1234" t="s">
        <v>395</v>
      </c>
      <c r="B442" s="1234"/>
      <c r="C442" s="1234"/>
      <c r="D442" s="1234"/>
      <c r="E442" s="1234"/>
      <c r="F442" s="1234"/>
      <c r="G442" s="1234"/>
    </row>
    <row r="443" spans="1:7">
      <c r="A443" s="85"/>
      <c r="B443" s="85"/>
      <c r="C443" s="279"/>
      <c r="D443" s="3"/>
      <c r="E443" s="3"/>
      <c r="F443" s="3"/>
      <c r="G443" s="3"/>
    </row>
    <row r="444" spans="1:7">
      <c r="A444" s="279"/>
      <c r="B444" s="279"/>
      <c r="C444" s="279"/>
      <c r="D444" s="1231" t="s">
        <v>396</v>
      </c>
      <c r="E444" s="1231"/>
      <c r="F444" s="1231"/>
      <c r="G444" s="3"/>
    </row>
    <row r="445" spans="1:7" ht="14.25">
      <c r="A445" s="124"/>
      <c r="B445" s="124"/>
      <c r="C445" s="279"/>
      <c r="D445" s="1232" t="s">
        <v>397</v>
      </c>
      <c r="E445" s="1232"/>
      <c r="F445" s="1232"/>
      <c r="G445" s="3"/>
    </row>
    <row r="446" spans="1:7" ht="14.25">
      <c r="A446" s="124"/>
      <c r="B446" s="124"/>
      <c r="C446" s="279"/>
      <c r="D446" s="374"/>
      <c r="E446" s="3"/>
      <c r="F446" s="3"/>
      <c r="G446" s="3"/>
    </row>
    <row r="447" spans="1:7" ht="14.25">
      <c r="A447" s="124"/>
      <c r="B447" s="362" t="s">
        <v>294</v>
      </c>
      <c r="C447" s="279"/>
      <c r="D447" s="1228" t="s">
        <v>398</v>
      </c>
      <c r="E447" s="1228"/>
      <c r="F447" s="1228"/>
      <c r="G447" s="3"/>
    </row>
    <row r="448" spans="1:7" ht="14.25">
      <c r="A448" s="124"/>
      <c r="B448" s="124"/>
      <c r="C448" s="279"/>
      <c r="D448" s="1228"/>
      <c r="E448" s="1228"/>
      <c r="F448" s="1228"/>
      <c r="G448" s="3"/>
    </row>
    <row r="449" spans="1:7" ht="14.25">
      <c r="A449" s="124"/>
      <c r="B449" s="124"/>
      <c r="C449" s="279"/>
      <c r="D449" s="85"/>
      <c r="E449" s="3"/>
      <c r="F449" s="3"/>
      <c r="G449" s="3"/>
    </row>
    <row r="450" spans="1:7">
      <c r="A450" s="279"/>
      <c r="B450" s="362" t="s">
        <v>294</v>
      </c>
      <c r="C450" s="279"/>
      <c r="D450" s="1233" t="s">
        <v>399</v>
      </c>
      <c r="E450" s="1233"/>
      <c r="F450" s="1233"/>
      <c r="G450" s="3"/>
    </row>
    <row r="451" spans="1:7" ht="14.25">
      <c r="A451" s="124"/>
      <c r="B451" s="279"/>
      <c r="C451" s="279"/>
      <c r="D451" s="1233"/>
      <c r="E451" s="1233"/>
      <c r="F451" s="1233"/>
      <c r="G451" s="3"/>
    </row>
    <row r="452" spans="1:7" ht="14.25">
      <c r="A452" s="124"/>
      <c r="B452" s="124"/>
      <c r="C452" s="279"/>
      <c r="D452" s="1233"/>
      <c r="E452" s="1233"/>
      <c r="F452" s="1233"/>
      <c r="G452" s="3"/>
    </row>
    <row r="453" spans="1:7" ht="14.25">
      <c r="A453" s="124"/>
      <c r="B453" s="124"/>
      <c r="C453" s="279"/>
      <c r="D453" s="1233"/>
      <c r="E453" s="1233"/>
      <c r="F453" s="1233"/>
      <c r="G453" s="3"/>
    </row>
    <row r="454" spans="1:7">
      <c r="A454" s="279"/>
      <c r="B454" s="279"/>
      <c r="C454" s="279"/>
      <c r="D454" s="3"/>
      <c r="E454" s="3"/>
      <c r="F454" s="3"/>
      <c r="G454"/>
    </row>
    <row r="455" spans="1:7" ht="14.25">
      <c r="A455" s="124"/>
      <c r="B455" s="362" t="s">
        <v>294</v>
      </c>
      <c r="C455" s="279"/>
      <c r="D455" s="1219" t="s">
        <v>400</v>
      </c>
      <c r="E455" s="1219"/>
      <c r="F455" s="1219"/>
      <c r="G455"/>
    </row>
    <row r="456" spans="1:7" ht="14.25">
      <c r="A456" s="124"/>
      <c r="B456" s="124"/>
      <c r="C456" s="279"/>
      <c r="D456" s="1219"/>
      <c r="E456" s="1219"/>
      <c r="F456" s="1219"/>
      <c r="G456"/>
    </row>
    <row r="457" spans="1:7" ht="14.25">
      <c r="A457" s="124"/>
      <c r="B457" s="279"/>
      <c r="C457" s="279"/>
      <c r="D457" s="1219"/>
      <c r="E457" s="1219"/>
      <c r="F457" s="1219"/>
      <c r="G457"/>
    </row>
    <row r="458" spans="1:7" ht="14.25">
      <c r="A458" s="124"/>
      <c r="B458" s="124"/>
      <c r="C458" s="279"/>
      <c r="D458" s="3"/>
      <c r="E458" s="3"/>
      <c r="F458" s="3"/>
      <c r="G458"/>
    </row>
    <row r="459" spans="1:7" ht="14.25">
      <c r="A459" s="124"/>
      <c r="B459" s="362" t="s">
        <v>294</v>
      </c>
      <c r="C459" s="279"/>
      <c r="D459" s="1230" t="s">
        <v>401</v>
      </c>
      <c r="E459" s="1230"/>
      <c r="F459" s="1230"/>
      <c r="G459"/>
    </row>
    <row r="460" spans="1:7" ht="14.25">
      <c r="A460" s="124"/>
      <c r="B460" s="124"/>
      <c r="C460" s="279"/>
      <c r="D460" s="85"/>
      <c r="E460" s="3"/>
      <c r="F460" s="3"/>
      <c r="G460"/>
    </row>
    <row r="461" spans="1:7" ht="14.25">
      <c r="A461" s="124"/>
      <c r="B461" s="362" t="s">
        <v>294</v>
      </c>
      <c r="C461" s="279"/>
      <c r="D461" s="1219" t="s">
        <v>402</v>
      </c>
      <c r="E461" s="1219"/>
      <c r="F461" s="1219"/>
      <c r="G461"/>
    </row>
    <row r="462" spans="1:7" ht="14.25">
      <c r="A462" s="124"/>
      <c r="B462" s="279"/>
      <c r="C462" s="279"/>
      <c r="D462" s="1219"/>
      <c r="E462" s="1219"/>
      <c r="F462" s="1219"/>
      <c r="G462"/>
    </row>
    <row r="463" spans="1:7">
      <c r="A463" s="13"/>
      <c r="B463" s="13"/>
      <c r="C463" s="279"/>
      <c r="D463" s="374"/>
      <c r="E463" s="3"/>
      <c r="F463" s="3"/>
      <c r="G463"/>
    </row>
    <row r="464" spans="1:7">
      <c r="A464" s="13"/>
      <c r="B464" s="362" t="s">
        <v>294</v>
      </c>
      <c r="C464" s="279"/>
      <c r="D464" s="1230" t="s">
        <v>403</v>
      </c>
      <c r="E464" s="1230"/>
      <c r="F464" s="1230"/>
      <c r="G464"/>
    </row>
    <row r="465" spans="1:7" ht="14.25">
      <c r="A465" s="124"/>
      <c r="B465" s="124"/>
      <c r="C465" s="279"/>
      <c r="D465" s="85"/>
      <c r="E465" s="3"/>
      <c r="F465" s="3"/>
      <c r="G465" s="3"/>
    </row>
    <row r="466" spans="1:7">
      <c r="A466" s="1234" t="s">
        <v>404</v>
      </c>
      <c r="B466" s="1234"/>
      <c r="C466" s="1234"/>
      <c r="D466" s="1234"/>
      <c r="E466" s="1234"/>
      <c r="F466" s="1234"/>
      <c r="G466" s="1234"/>
    </row>
    <row r="467" spans="1:7" ht="12" customHeight="1">
      <c r="A467" s="124"/>
      <c r="B467" s="124"/>
      <c r="C467" s="279"/>
      <c r="D467" s="85"/>
      <c r="E467" s="3"/>
      <c r="F467" s="3"/>
      <c r="G467" s="3"/>
    </row>
    <row r="468" spans="1:7">
      <c r="A468" s="279"/>
      <c r="B468" s="279"/>
      <c r="C468" s="120"/>
      <c r="D468" s="1235" t="s">
        <v>405</v>
      </c>
      <c r="E468" s="1235"/>
      <c r="F468" s="1235"/>
      <c r="G468" s="3"/>
    </row>
    <row r="469" spans="1:7" ht="13.35" customHeight="1">
      <c r="A469" s="123"/>
      <c r="B469" s="123"/>
      <c r="C469" s="123"/>
      <c r="D469" s="1236" t="s">
        <v>406</v>
      </c>
      <c r="E469" s="1236"/>
      <c r="F469" s="1236"/>
      <c r="G469" s="3"/>
    </row>
    <row r="470" spans="1:7">
      <c r="A470" s="123"/>
      <c r="B470" s="123"/>
      <c r="C470" s="123"/>
      <c r="D470" s="1236"/>
      <c r="E470" s="1236"/>
      <c r="F470" s="1236"/>
      <c r="G470" s="3"/>
    </row>
    <row r="471" spans="1:7">
      <c r="A471" s="123"/>
      <c r="B471" s="123"/>
      <c r="C471" s="123"/>
      <c r="D471" s="1236"/>
      <c r="E471" s="1236"/>
      <c r="F471" s="1236"/>
      <c r="G471" s="3"/>
    </row>
    <row r="472" spans="1:7">
      <c r="A472" s="123"/>
      <c r="B472" s="123"/>
      <c r="C472" s="123"/>
      <c r="D472" s="1236"/>
      <c r="E472" s="1236"/>
      <c r="F472" s="1236"/>
      <c r="G472" s="3"/>
    </row>
    <row r="473" spans="1:7">
      <c r="A473" s="123"/>
      <c r="B473" s="123"/>
      <c r="C473" s="123"/>
      <c r="D473" s="1236"/>
      <c r="E473" s="1236"/>
      <c r="F473" s="1236"/>
      <c r="G473" s="3"/>
    </row>
    <row r="474" spans="1:7">
      <c r="A474" s="123"/>
      <c r="B474" s="123"/>
      <c r="C474" s="123"/>
      <c r="D474" s="225"/>
      <c r="E474" s="3"/>
      <c r="F474" s="85"/>
      <c r="G474" s="3"/>
    </row>
    <row r="475" spans="1:7" ht="14.45" customHeight="1">
      <c r="A475" s="124"/>
      <c r="B475" s="362" t="s">
        <v>294</v>
      </c>
      <c r="C475" s="123"/>
      <c r="D475" s="1249" t="s">
        <v>407</v>
      </c>
      <c r="E475" s="1249"/>
      <c r="F475" s="1249"/>
      <c r="G475" s="3"/>
    </row>
    <row r="476" spans="1:7">
      <c r="A476" s="123"/>
      <c r="B476" s="123"/>
      <c r="C476" s="123"/>
      <c r="D476" s="1249"/>
      <c r="E476" s="1249"/>
      <c r="F476" s="1249"/>
      <c r="G476" s="3"/>
    </row>
    <row r="477" spans="1:7">
      <c r="A477" s="123"/>
      <c r="B477" s="123"/>
      <c r="C477" s="123"/>
      <c r="D477" s="1249"/>
      <c r="E477" s="1249"/>
      <c r="F477" s="1249"/>
      <c r="G477" s="3"/>
    </row>
    <row r="478" spans="1:7">
      <c r="A478" s="123"/>
      <c r="B478" s="123"/>
      <c r="C478" s="123"/>
      <c r="D478" s="1249"/>
      <c r="E478" s="1249"/>
      <c r="F478" s="1249"/>
      <c r="G478" s="3"/>
    </row>
    <row r="479" spans="1:7">
      <c r="A479" s="123"/>
      <c r="B479" s="123"/>
      <c r="C479" s="123"/>
      <c r="D479" s="1249"/>
      <c r="E479" s="1249"/>
      <c r="F479" s="1249"/>
      <c r="G479" s="3"/>
    </row>
    <row r="480" spans="1:7">
      <c r="A480" s="123"/>
      <c r="B480" s="123"/>
      <c r="C480" s="123"/>
      <c r="D480" s="145"/>
      <c r="E480" s="3"/>
      <c r="F480" s="85"/>
      <c r="G480" s="3"/>
    </row>
    <row r="481" spans="1:6" ht="14.45" customHeight="1">
      <c r="A481" s="124"/>
      <c r="B481" s="362" t="s">
        <v>294</v>
      </c>
      <c r="C481" s="123"/>
      <c r="D481" s="1249" t="s">
        <v>408</v>
      </c>
      <c r="E481" s="1249"/>
      <c r="F481" s="1249"/>
    </row>
    <row r="482" spans="1:6">
      <c r="A482" s="123"/>
      <c r="B482" s="123"/>
      <c r="C482" s="123"/>
      <c r="D482" s="1249"/>
      <c r="E482" s="1249"/>
      <c r="F482" s="1249"/>
    </row>
    <row r="483" spans="1:6">
      <c r="A483" s="123"/>
      <c r="B483" s="123"/>
      <c r="C483" s="123"/>
      <c r="D483" s="1249"/>
      <c r="E483" s="1249"/>
      <c r="F483" s="1249"/>
    </row>
    <row r="484" spans="1:6">
      <c r="A484" s="123"/>
      <c r="B484" s="123"/>
      <c r="C484" s="123"/>
      <c r="D484" s="1249"/>
      <c r="E484" s="1249"/>
      <c r="F484" s="1249"/>
    </row>
    <row r="485" spans="1:6" ht="9.9499999999999993" customHeight="1">
      <c r="A485" s="123"/>
      <c r="B485" s="123"/>
      <c r="C485" s="123"/>
      <c r="D485" s="145"/>
      <c r="E485" s="3"/>
      <c r="F485" s="85"/>
    </row>
    <row r="486" spans="1:6" ht="14.45" customHeight="1">
      <c r="A486" s="124"/>
      <c r="B486" s="362" t="s">
        <v>294</v>
      </c>
      <c r="C486" s="123"/>
      <c r="D486" s="1249" t="s">
        <v>409</v>
      </c>
      <c r="E486" s="1249"/>
      <c r="F486" s="1249"/>
    </row>
    <row r="487" spans="1:6">
      <c r="A487" s="123"/>
      <c r="B487" s="123"/>
      <c r="C487" s="123"/>
      <c r="D487" s="1249"/>
      <c r="E487" s="1249"/>
      <c r="F487" s="1249"/>
    </row>
    <row r="488" spans="1:6">
      <c r="A488" s="123"/>
      <c r="B488" s="123"/>
      <c r="C488" s="123"/>
      <c r="D488" s="1249"/>
      <c r="E488" s="1249"/>
      <c r="F488" s="1249"/>
    </row>
    <row r="489" spans="1:6">
      <c r="A489" s="123"/>
      <c r="B489" s="123"/>
      <c r="C489" s="123"/>
      <c r="D489" s="369"/>
      <c r="E489" s="369"/>
      <c r="F489" s="369"/>
    </row>
    <row r="490" spans="1:6" ht="14.45" customHeight="1">
      <c r="A490" s="124"/>
      <c r="B490" s="362" t="s">
        <v>294</v>
      </c>
      <c r="C490" s="123"/>
      <c r="D490" s="1249" t="s">
        <v>410</v>
      </c>
      <c r="E490" s="1249"/>
      <c r="F490" s="1249"/>
    </row>
    <row r="491" spans="1:6">
      <c r="A491" s="123"/>
      <c r="B491" s="123"/>
      <c r="C491" s="123"/>
      <c r="D491" s="1249"/>
      <c r="E491" s="1249"/>
      <c r="F491" s="1249"/>
    </row>
    <row r="492" spans="1:6">
      <c r="A492" s="123"/>
      <c r="B492" s="123"/>
      <c r="C492" s="123"/>
      <c r="D492" s="1249"/>
      <c r="E492" s="1249"/>
      <c r="F492" s="1249"/>
    </row>
    <row r="493" spans="1:6">
      <c r="A493" s="123"/>
      <c r="B493" s="123"/>
      <c r="C493" s="123"/>
      <c r="D493" s="1249"/>
      <c r="E493" s="1249"/>
      <c r="F493" s="1249"/>
    </row>
    <row r="494" spans="1:6">
      <c r="A494" s="123"/>
      <c r="B494" s="123"/>
      <c r="C494" s="123"/>
      <c r="D494" s="1249"/>
      <c r="E494" s="1249"/>
      <c r="F494" s="1249"/>
    </row>
    <row r="495" spans="1:6">
      <c r="A495" s="123"/>
      <c r="B495" s="123"/>
      <c r="C495" s="123"/>
      <c r="D495" s="1249"/>
      <c r="E495" s="1249"/>
      <c r="F495" s="1249"/>
    </row>
    <row r="496" spans="1:6">
      <c r="A496" s="123"/>
      <c r="B496" s="123"/>
      <c r="C496" s="123"/>
      <c r="D496" s="1249"/>
      <c r="E496" s="1249"/>
      <c r="F496" s="1249"/>
    </row>
    <row r="497" spans="1:7">
      <c r="A497" s="123"/>
      <c r="B497" s="123"/>
      <c r="C497" s="123"/>
      <c r="D497" s="1249"/>
      <c r="E497" s="1249"/>
      <c r="F497" s="1249"/>
      <c r="G497" s="3"/>
    </row>
    <row r="498" spans="1:7">
      <c r="A498" s="123"/>
      <c r="B498" s="123"/>
      <c r="C498" s="123"/>
      <c r="D498" s="1249"/>
      <c r="E498" s="1249"/>
      <c r="F498" s="1249"/>
      <c r="G498" s="3"/>
    </row>
    <row r="499" spans="1:7">
      <c r="A499" s="123"/>
      <c r="B499" s="123"/>
      <c r="C499" s="123"/>
      <c r="D499" s="145"/>
      <c r="E499" s="3"/>
      <c r="F499" s="85"/>
      <c r="G499" s="3"/>
    </row>
    <row r="500" spans="1:7" ht="13.35" customHeight="1">
      <c r="A500" s="123"/>
      <c r="B500" s="362" t="s">
        <v>294</v>
      </c>
      <c r="C500" s="123"/>
      <c r="D500" s="1228" t="s">
        <v>411</v>
      </c>
      <c r="E500" s="1228"/>
      <c r="F500" s="1228"/>
      <c r="G500" s="3"/>
    </row>
    <row r="501" spans="1:7">
      <c r="A501" s="123"/>
      <c r="B501" s="123"/>
      <c r="C501" s="123"/>
      <c r="D501" s="1228"/>
      <c r="E501" s="1228"/>
      <c r="F501" s="1228"/>
      <c r="G501" s="3"/>
    </row>
    <row r="502" spans="1:7">
      <c r="A502" s="123"/>
      <c r="B502" s="123"/>
      <c r="C502" s="123"/>
      <c r="D502" s="1228"/>
      <c r="E502" s="1228"/>
      <c r="F502" s="1228"/>
      <c r="G502" s="3"/>
    </row>
    <row r="503" spans="1:7">
      <c r="A503" s="123"/>
      <c r="B503" s="123"/>
      <c r="C503" s="123"/>
      <c r="D503" s="1228"/>
      <c r="E503" s="1228"/>
      <c r="F503" s="1228"/>
      <c r="G503" s="3"/>
    </row>
    <row r="504" spans="1:7">
      <c r="A504" s="123"/>
      <c r="B504" s="123"/>
      <c r="C504" s="123"/>
      <c r="D504" s="1228"/>
      <c r="E504" s="1228"/>
      <c r="F504" s="1228"/>
      <c r="G504" s="3"/>
    </row>
    <row r="505" spans="1:7">
      <c r="A505" s="123"/>
      <c r="B505" s="123"/>
      <c r="C505" s="123"/>
      <c r="D505" s="378"/>
      <c r="E505" s="378"/>
      <c r="F505" s="378"/>
      <c r="G505" s="3"/>
    </row>
    <row r="506" spans="1:7" ht="14.45"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c r="A510" s="1234" t="s">
        <v>413</v>
      </c>
      <c r="B510" s="1234"/>
      <c r="C510" s="1234"/>
      <c r="D510" s="1234"/>
      <c r="E510" s="1234"/>
      <c r="F510" s="1234"/>
      <c r="G510" s="1234"/>
    </row>
    <row r="511" spans="1:7">
      <c r="A511" s="85"/>
      <c r="B511" s="85"/>
      <c r="C511" s="910"/>
      <c r="D511" s="3"/>
      <c r="E511" s="3"/>
      <c r="F511" s="50"/>
      <c r="G511" s="3"/>
    </row>
    <row r="512" spans="1:7">
      <c r="A512" s="279"/>
      <c r="B512" s="1250" t="s">
        <v>334</v>
      </c>
      <c r="C512" s="1250"/>
      <c r="D512" s="1250"/>
      <c r="E512" s="1250"/>
      <c r="F512" s="1250"/>
      <c r="G512" s="3"/>
    </row>
    <row r="513" spans="1:7">
      <c r="A513" s="85"/>
      <c r="B513" s="85"/>
      <c r="C513" s="910"/>
      <c r="D513" s="85"/>
      <c r="E513" s="3"/>
      <c r="F513" s="85"/>
      <c r="G513" s="3"/>
    </row>
    <row r="514" spans="1:7">
      <c r="A514" s="1263" t="s">
        <v>414</v>
      </c>
      <c r="B514" s="1263"/>
      <c r="C514" s="1263"/>
      <c r="D514" s="1263"/>
      <c r="E514" s="1263"/>
      <c r="F514" s="1263"/>
      <c r="G514" s="1263"/>
    </row>
    <row r="515" spans="1:7">
      <c r="A515" s="85"/>
      <c r="B515" s="85"/>
      <c r="C515" s="910"/>
      <c r="D515" s="85"/>
      <c r="E515" s="3"/>
      <c r="F515" s="85"/>
      <c r="G515" s="3"/>
    </row>
    <row r="516" spans="1:7">
      <c r="A516" s="279"/>
      <c r="B516" s="279"/>
      <c r="C516" s="910"/>
      <c r="D516" s="1235" t="s">
        <v>415</v>
      </c>
      <c r="E516" s="1235"/>
      <c r="F516" s="1235"/>
      <c r="G516" s="3"/>
    </row>
    <row r="517" spans="1:7">
      <c r="A517" s="279"/>
      <c r="B517" s="279"/>
      <c r="C517" s="910"/>
      <c r="D517" s="1230" t="s">
        <v>416</v>
      </c>
      <c r="E517" s="1230"/>
      <c r="F517" s="1230"/>
      <c r="G517" s="3"/>
    </row>
    <row r="518" spans="1:7">
      <c r="A518" s="279"/>
      <c r="B518" s="279"/>
      <c r="C518" s="910"/>
      <c r="D518" s="85"/>
      <c r="E518" s="85"/>
      <c r="F518" s="85"/>
      <c r="G518" s="3"/>
    </row>
    <row r="519" spans="1:7" ht="13.35" customHeight="1">
      <c r="A519" s="124"/>
      <c r="B519" s="362" t="s">
        <v>294</v>
      </c>
      <c r="C519" s="910"/>
      <c r="D519" s="1230" t="s">
        <v>417</v>
      </c>
      <c r="E519" s="1230"/>
      <c r="F519" s="1230"/>
      <c r="G519"/>
    </row>
    <row r="520" spans="1:7" ht="13.35" customHeight="1">
      <c r="A520" s="910"/>
      <c r="B520" s="910"/>
      <c r="C520" s="910"/>
      <c r="D520" s="85"/>
      <c r="E520"/>
      <c r="F520"/>
      <c r="G520"/>
    </row>
    <row r="521" spans="1:7" ht="14.25">
      <c r="A521" s="124"/>
      <c r="B521" s="362" t="s">
        <v>294</v>
      </c>
      <c r="C521" s="910"/>
      <c r="D521" s="1219" t="s">
        <v>418</v>
      </c>
      <c r="E521" s="1219"/>
      <c r="F521" s="1219"/>
      <c r="G521"/>
    </row>
    <row r="522" spans="1:7">
      <c r="A522" s="910"/>
      <c r="B522" s="910"/>
      <c r="C522" s="910"/>
      <c r="D522" s="1219"/>
      <c r="E522" s="1219"/>
      <c r="F522" s="1219"/>
      <c r="G522"/>
    </row>
    <row r="523" spans="1:7">
      <c r="A523" s="910"/>
      <c r="B523" s="910"/>
      <c r="C523" s="910"/>
      <c r="D523" s="85"/>
      <c r="E523" s="85"/>
      <c r="F523" s="85"/>
      <c r="G523"/>
    </row>
    <row r="524" spans="1:7" ht="14.25">
      <c r="A524" s="124"/>
      <c r="B524" s="362" t="s">
        <v>294</v>
      </c>
      <c r="C524" s="910"/>
      <c r="D524" s="1219" t="s">
        <v>419</v>
      </c>
      <c r="E524" s="1219"/>
      <c r="F524" s="1219"/>
      <c r="G524"/>
    </row>
    <row r="525" spans="1:7">
      <c r="A525" s="910"/>
      <c r="B525" s="910"/>
      <c r="C525" s="910"/>
      <c r="D525" s="1219"/>
      <c r="E525" s="1219"/>
      <c r="F525" s="1219"/>
      <c r="G525"/>
    </row>
    <row r="526" spans="1:7">
      <c r="A526" s="910"/>
      <c r="B526" s="910"/>
      <c r="C526" s="910"/>
      <c r="D526" s="85"/>
      <c r="E526" s="85"/>
      <c r="F526" s="85"/>
      <c r="G526"/>
    </row>
    <row r="527" spans="1:7" ht="14.25">
      <c r="A527" s="124"/>
      <c r="B527" s="362" t="s">
        <v>294</v>
      </c>
      <c r="C527" s="910"/>
      <c r="D527" s="1219" t="s">
        <v>420</v>
      </c>
      <c r="E527" s="1219"/>
      <c r="F527" s="1219"/>
      <c r="G527"/>
    </row>
    <row r="528" spans="1:7">
      <c r="A528" s="910"/>
      <c r="B528" s="910"/>
      <c r="C528" s="910"/>
      <c r="D528" s="1219"/>
      <c r="E528" s="1219"/>
      <c r="F528" s="1219"/>
      <c r="G528"/>
    </row>
    <row r="529" spans="1:7">
      <c r="A529" s="910"/>
      <c r="B529" s="910"/>
      <c r="C529" s="910"/>
      <c r="D529" s="85"/>
      <c r="E529" s="85"/>
      <c r="F529" s="85"/>
      <c r="G529"/>
    </row>
    <row r="530" spans="1:7" ht="14.25">
      <c r="A530" s="124"/>
      <c r="B530" s="362" t="s">
        <v>294</v>
      </c>
      <c r="C530" s="910"/>
      <c r="D530" s="1219" t="s">
        <v>421</v>
      </c>
      <c r="E530" s="1219"/>
      <c r="F530" s="1219"/>
      <c r="G530"/>
    </row>
    <row r="531" spans="1:7">
      <c r="A531" s="910"/>
      <c r="B531" s="910"/>
      <c r="C531" s="910"/>
      <c r="D531" s="1219"/>
      <c r="E531" s="1219"/>
      <c r="F531" s="1219"/>
      <c r="G531"/>
    </row>
    <row r="532" spans="1:7">
      <c r="A532" s="910"/>
      <c r="B532" s="910"/>
      <c r="C532" s="910"/>
      <c r="D532" s="1219"/>
      <c r="E532" s="1219"/>
      <c r="F532" s="1219"/>
      <c r="G532"/>
    </row>
    <row r="533" spans="1:7">
      <c r="A533" s="910"/>
      <c r="B533" s="910"/>
      <c r="C533" s="910"/>
      <c r="D533" s="85"/>
      <c r="E533" s="85"/>
      <c r="F533" s="85"/>
      <c r="G533" s="3"/>
    </row>
    <row r="534" spans="1:7" ht="14.25">
      <c r="A534" s="124"/>
      <c r="B534" s="362" t="s">
        <v>294</v>
      </c>
      <c r="C534" s="910"/>
      <c r="D534" s="1219" t="s">
        <v>422</v>
      </c>
      <c r="E534" s="1219"/>
      <c r="F534" s="1219"/>
      <c r="G534" s="3"/>
    </row>
    <row r="535" spans="1:7">
      <c r="A535" s="910"/>
      <c r="B535" s="910"/>
      <c r="C535" s="910"/>
      <c r="D535" s="1219"/>
      <c r="E535" s="1219"/>
      <c r="F535" s="1219"/>
      <c r="G535" s="3"/>
    </row>
    <row r="536" spans="1:7">
      <c r="A536" s="910"/>
      <c r="B536" s="910"/>
      <c r="C536" s="910"/>
      <c r="D536" s="85"/>
      <c r="E536" s="85"/>
      <c r="F536" s="85"/>
      <c r="G536" s="3"/>
    </row>
    <row r="537" spans="1:7" ht="14.25">
      <c r="A537" s="124"/>
      <c r="B537" s="362" t="s">
        <v>294</v>
      </c>
      <c r="C537" s="910"/>
      <c r="D537" s="1219" t="s">
        <v>423</v>
      </c>
      <c r="E537" s="1219"/>
      <c r="F537" s="1219"/>
      <c r="G537" s="3"/>
    </row>
    <row r="538" spans="1:7">
      <c r="A538" s="910"/>
      <c r="B538" s="910"/>
      <c r="C538" s="910"/>
      <c r="D538" s="1219"/>
      <c r="E538" s="1219"/>
      <c r="F538" s="1219"/>
      <c r="G538" s="3"/>
    </row>
    <row r="539" spans="1:7">
      <c r="A539" s="910"/>
      <c r="B539" s="910"/>
      <c r="C539" s="910"/>
      <c r="D539" s="85"/>
      <c r="E539" s="85"/>
      <c r="F539" s="85"/>
      <c r="G539" s="3"/>
    </row>
    <row r="540" spans="1:7" ht="14.25">
      <c r="A540" s="124"/>
      <c r="B540" s="362" t="s">
        <v>294</v>
      </c>
      <c r="C540" s="910"/>
      <c r="D540" s="1219" t="s">
        <v>424</v>
      </c>
      <c r="E540" s="1219"/>
      <c r="F540" s="1219"/>
      <c r="G540" s="3"/>
    </row>
    <row r="541" spans="1:7">
      <c r="A541" s="910"/>
      <c r="B541" s="910"/>
      <c r="C541" s="910"/>
      <c r="D541" s="1219"/>
      <c r="E541" s="1219"/>
      <c r="F541" s="1219"/>
      <c r="G541" s="3"/>
    </row>
    <row r="542" spans="1:7">
      <c r="A542" s="910"/>
      <c r="B542" s="910"/>
      <c r="C542" s="910"/>
      <c r="D542" s="85"/>
      <c r="E542" s="85"/>
      <c r="F542" s="85"/>
      <c r="G542" s="3"/>
    </row>
    <row r="543" spans="1:7" ht="14.25">
      <c r="A543" s="124"/>
      <c r="B543" s="362" t="s">
        <v>294</v>
      </c>
      <c r="C543" s="910"/>
      <c r="D543" s="1230" t="s">
        <v>425</v>
      </c>
      <c r="E543" s="1230"/>
      <c r="F543" s="1230"/>
      <c r="G543" s="3"/>
    </row>
    <row r="544" spans="1:7">
      <c r="A544" s="13"/>
      <c r="B544" s="13"/>
      <c r="C544" s="910"/>
      <c r="D544" s="1230" t="s">
        <v>426</v>
      </c>
      <c r="E544" s="1230"/>
      <c r="F544" s="1230"/>
      <c r="G544" s="3"/>
    </row>
    <row r="545" spans="1:7">
      <c r="A545" s="13"/>
      <c r="B545" s="13"/>
      <c r="C545" s="910"/>
      <c r="D545" s="3"/>
      <c r="E545" s="1240" t="s">
        <v>427</v>
      </c>
      <c r="F545" s="1240"/>
      <c r="G545" s="3"/>
    </row>
    <row r="546" spans="1:7" ht="14.25">
      <c r="A546" s="124"/>
      <c r="B546" s="124"/>
      <c r="C546" s="910"/>
      <c r="D546" s="3"/>
      <c r="E546" s="85"/>
      <c r="F546" s="85"/>
      <c r="G546" s="3"/>
    </row>
    <row r="547" spans="1:7" ht="14.25">
      <c r="A547" s="124"/>
      <c r="B547" s="362" t="s">
        <v>294</v>
      </c>
      <c r="C547" s="910"/>
      <c r="D547" s="1230" t="s">
        <v>428</v>
      </c>
      <c r="E547" s="1230"/>
      <c r="F547" s="1230"/>
      <c r="G547" s="3"/>
    </row>
    <row r="548" spans="1:7">
      <c r="A548" s="279"/>
      <c r="B548" s="279"/>
      <c r="C548" s="910"/>
      <c r="D548" s="1219" t="s">
        <v>429</v>
      </c>
      <c r="E548" s="1219"/>
      <c r="F548" s="1219"/>
      <c r="G548" s="3"/>
    </row>
    <row r="549" spans="1:7">
      <c r="A549" s="910"/>
      <c r="B549" s="910"/>
      <c r="C549" s="910"/>
      <c r="D549" s="1219"/>
      <c r="E549" s="1219"/>
      <c r="F549" s="1219"/>
      <c r="G549" s="3"/>
    </row>
    <row r="550" spans="1:7">
      <c r="A550" s="910"/>
      <c r="B550" s="910"/>
      <c r="C550" s="910"/>
      <c r="D550" s="1219"/>
      <c r="E550" s="1219"/>
      <c r="F550" s="1219"/>
      <c r="G550" s="3"/>
    </row>
    <row r="551" spans="1:7">
      <c r="A551" s="910"/>
      <c r="B551" s="910"/>
      <c r="C551" s="910"/>
      <c r="D551" s="85"/>
      <c r="E551" s="85"/>
      <c r="F551" s="85"/>
      <c r="G551" s="3"/>
    </row>
    <row r="552" spans="1:7" ht="14.25">
      <c r="A552" s="124"/>
      <c r="B552" s="362" t="s">
        <v>294</v>
      </c>
      <c r="C552" s="910"/>
      <c r="D552" s="1219" t="s">
        <v>430</v>
      </c>
      <c r="E552" s="1219"/>
      <c r="F552" s="1219"/>
      <c r="G552" s="3"/>
    </row>
    <row r="553" spans="1:7" ht="14.25">
      <c r="A553" s="124"/>
      <c r="B553" s="124"/>
      <c r="C553" s="910"/>
      <c r="D553" s="1219"/>
      <c r="E553" s="1219"/>
      <c r="F553" s="1219"/>
      <c r="G553" s="3"/>
    </row>
    <row r="554" spans="1:7" ht="14.25">
      <c r="A554" s="124"/>
      <c r="B554" s="124"/>
      <c r="C554" s="910"/>
      <c r="D554" s="1219"/>
      <c r="E554" s="1219"/>
      <c r="F554" s="1219"/>
      <c r="G554" s="3"/>
    </row>
    <row r="555" spans="1:7" ht="14.25">
      <c r="A555" s="124"/>
      <c r="B555" s="124"/>
      <c r="C555" s="910"/>
      <c r="D555" s="1219"/>
      <c r="E555" s="1219"/>
      <c r="F555" s="1219"/>
      <c r="G555" s="3"/>
    </row>
    <row r="556" spans="1:7" ht="14.25">
      <c r="A556" s="124"/>
      <c r="B556" s="124"/>
      <c r="C556" s="910"/>
      <c r="D556" s="85"/>
      <c r="E556" s="85"/>
      <c r="F556" s="85"/>
      <c r="G556" s="3"/>
    </row>
    <row r="557" spans="1:7">
      <c r="A557" s="1234" t="s">
        <v>431</v>
      </c>
      <c r="B557" s="1234"/>
      <c r="C557" s="1234"/>
      <c r="D557" s="1234"/>
      <c r="E557" s="1234"/>
      <c r="F557" s="1234"/>
      <c r="G557" s="1234"/>
    </row>
    <row r="558" spans="1:7">
      <c r="A558" s="910"/>
      <c r="B558" s="910"/>
      <c r="C558" s="910"/>
      <c r="D558" s="3"/>
      <c r="E558" s="85"/>
      <c r="F558" s="85"/>
      <c r="G558" s="3"/>
    </row>
    <row r="559" spans="1:7" ht="12.75" customHeight="1">
      <c r="A559" s="279"/>
      <c r="B559" s="279"/>
      <c r="C559" s="120"/>
      <c r="D559" s="1251" t="s">
        <v>432</v>
      </c>
      <c r="E559" s="1251"/>
      <c r="F559" s="1251"/>
      <c r="G559" s="3"/>
    </row>
    <row r="560" spans="1:7">
      <c r="A560" s="123"/>
      <c r="B560" s="123"/>
      <c r="C560" s="123"/>
      <c r="D560" s="1233" t="s">
        <v>433</v>
      </c>
      <c r="E560" s="1233"/>
      <c r="F560" s="1233"/>
      <c r="G560" s="3"/>
    </row>
    <row r="561" spans="1:6">
      <c r="A561"/>
      <c r="B561"/>
      <c r="C561" s="123"/>
      <c r="D561" s="174"/>
      <c r="E561" s="3"/>
      <c r="F561" s="3"/>
    </row>
    <row r="562" spans="1:6">
      <c r="A562" s="123"/>
      <c r="B562" s="362" t="s">
        <v>294</v>
      </c>
      <c r="C562" s="279"/>
      <c r="D562" s="1233" t="s">
        <v>434</v>
      </c>
      <c r="E562" s="1233"/>
      <c r="F562" s="1233"/>
    </row>
    <row r="563" spans="1:6">
      <c r="A563" s="13"/>
      <c r="B563" s="13"/>
      <c r="C563" s="279"/>
      <c r="D563" s="143"/>
      <c r="E563" s="3"/>
      <c r="F563" s="3"/>
    </row>
    <row r="564" spans="1:6">
      <c r="A564" s="13"/>
      <c r="B564" s="362" t="s">
        <v>294</v>
      </c>
      <c r="C564" s="279"/>
      <c r="D564" s="1233" t="s">
        <v>435</v>
      </c>
      <c r="E564" s="1233"/>
      <c r="F564" s="1233"/>
    </row>
    <row r="565" spans="1:6">
      <c r="A565" s="13"/>
      <c r="B565" s="13"/>
      <c r="C565" s="279"/>
      <c r="D565" s="1233"/>
      <c r="E565" s="1233"/>
      <c r="F565" s="1233"/>
    </row>
    <row r="566" spans="1:6">
      <c r="A566" s="13"/>
      <c r="B566" s="13"/>
      <c r="C566" s="279"/>
      <c r="D566" s="1233"/>
      <c r="E566" s="1233"/>
      <c r="F566" s="1233"/>
    </row>
    <row r="567" spans="1:6">
      <c r="A567" s="13"/>
      <c r="B567" s="13"/>
      <c r="C567" s="279"/>
      <c r="D567" s="174"/>
      <c r="E567" s="3"/>
      <c r="F567" s="3"/>
    </row>
    <row r="568" spans="1:6">
      <c r="A568" s="13"/>
      <c r="B568" s="362" t="s">
        <v>294</v>
      </c>
      <c r="C568" s="279"/>
      <c r="D568" s="1233" t="s">
        <v>436</v>
      </c>
      <c r="E568" s="1233"/>
      <c r="F568" s="1233"/>
    </row>
    <row r="569" spans="1:6">
      <c r="A569" s="13"/>
      <c r="B569" s="13"/>
      <c r="C569" s="279"/>
      <c r="D569" s="1233"/>
      <c r="E569" s="1233"/>
      <c r="F569" s="1233"/>
    </row>
    <row r="570" spans="1:6">
      <c r="A570" s="13"/>
      <c r="B570" s="13"/>
      <c r="C570" s="279"/>
      <c r="D570" s="1233"/>
      <c r="E570" s="1233"/>
      <c r="F570" s="1233"/>
    </row>
    <row r="571" spans="1:6">
      <c r="A571" s="13"/>
      <c r="B571" s="13"/>
      <c r="C571" s="279"/>
      <c r="D571" s="1233"/>
      <c r="E571" s="1233"/>
      <c r="F571" s="1233"/>
    </row>
    <row r="572" spans="1:6">
      <c r="A572" s="13"/>
      <c r="B572" s="13"/>
      <c r="C572" s="279"/>
      <c r="D572" s="367"/>
      <c r="E572" s="367"/>
      <c r="F572" s="367"/>
    </row>
    <row r="573" spans="1:6">
      <c r="A573" s="13"/>
      <c r="B573" s="362" t="s">
        <v>294</v>
      </c>
      <c r="C573" s="279"/>
      <c r="D573" s="1233" t="s">
        <v>437</v>
      </c>
      <c r="E573" s="1233"/>
      <c r="F573" s="1233"/>
    </row>
    <row r="574" spans="1:6">
      <c r="A574" s="13"/>
      <c r="B574" s="13"/>
      <c r="C574" s="279"/>
      <c r="D574" s="1233"/>
      <c r="E574" s="1233"/>
      <c r="F574" s="1233"/>
    </row>
    <row r="575" spans="1:6">
      <c r="A575" s="13"/>
      <c r="B575" s="13"/>
      <c r="C575" s="279"/>
      <c r="D575" s="174"/>
      <c r="E575" s="3"/>
      <c r="F575" s="3"/>
    </row>
    <row r="576" spans="1:6">
      <c r="A576" s="13"/>
      <c r="B576" s="362" t="s">
        <v>294</v>
      </c>
      <c r="C576" s="279"/>
      <c r="D576" s="1233" t="s">
        <v>438</v>
      </c>
      <c r="E576" s="1233"/>
      <c r="F576" s="1233"/>
    </row>
    <row r="577" spans="1:7">
      <c r="A577" s="13"/>
      <c r="B577" s="13"/>
      <c r="C577" s="279"/>
      <c r="D577" s="1233"/>
      <c r="E577" s="1233"/>
      <c r="F577" s="1233"/>
      <c r="G577" s="3"/>
    </row>
    <row r="578" spans="1:7">
      <c r="A578" s="13"/>
      <c r="B578" s="13"/>
      <c r="C578" s="279"/>
      <c r="D578" s="174"/>
      <c r="E578" s="3"/>
      <c r="F578" s="3"/>
      <c r="G578" s="3"/>
    </row>
    <row r="579" spans="1:7" ht="14.25">
      <c r="A579" s="124"/>
      <c r="B579" s="362" t="s">
        <v>294</v>
      </c>
      <c r="C579" s="279"/>
      <c r="D579" s="1233" t="s">
        <v>439</v>
      </c>
      <c r="E579" s="1233"/>
      <c r="F579" s="1233"/>
      <c r="G579" s="3"/>
    </row>
    <row r="580" spans="1:7" ht="14.25">
      <c r="A580" s="124"/>
      <c r="B580" s="124"/>
      <c r="C580" s="279"/>
      <c r="D580" s="174"/>
      <c r="E580" s="3"/>
      <c r="F580" s="3"/>
      <c r="G580" s="3"/>
    </row>
    <row r="581" spans="1:7" ht="14.25">
      <c r="A581" s="124"/>
      <c r="B581" s="362" t="s">
        <v>294</v>
      </c>
      <c r="C581" s="279"/>
      <c r="D581" s="1233" t="s">
        <v>440</v>
      </c>
      <c r="E581" s="1233"/>
      <c r="F581" s="1233"/>
      <c r="G581" s="3"/>
    </row>
    <row r="582" spans="1:7" ht="14.25">
      <c r="A582" s="124"/>
      <c r="B582" s="124"/>
      <c r="C582" s="279"/>
      <c r="D582" s="1233"/>
      <c r="E582" s="1233"/>
      <c r="F582" s="1233"/>
      <c r="G582" s="3"/>
    </row>
    <row r="583" spans="1:7">
      <c r="A583" s="279"/>
      <c r="B583" s="279"/>
      <c r="C583" s="279"/>
      <c r="D583" s="1233"/>
      <c r="E583" s="1233"/>
      <c r="F583" s="1233"/>
      <c r="G583" s="3"/>
    </row>
    <row r="584" spans="1:7">
      <c r="A584" s="279"/>
      <c r="B584" s="279"/>
      <c r="C584" s="279"/>
      <c r="D584" s="1233"/>
      <c r="E584" s="1233"/>
      <c r="F584" s="1233"/>
      <c r="G584" s="3"/>
    </row>
    <row r="585" spans="1:7">
      <c r="A585" s="279"/>
      <c r="B585" s="279"/>
      <c r="C585" s="279"/>
      <c r="D585" s="1233"/>
      <c r="E585" s="1233"/>
      <c r="F585" s="1233"/>
      <c r="G585" s="3"/>
    </row>
    <row r="586" spans="1:7">
      <c r="A586" s="279"/>
      <c r="B586" s="279"/>
      <c r="C586" s="279"/>
      <c r="D586" s="1233"/>
      <c r="E586" s="1233"/>
      <c r="F586" s="1233"/>
      <c r="G586" s="3"/>
    </row>
    <row r="587" spans="1:7">
      <c r="A587" s="279"/>
      <c r="B587" s="279"/>
      <c r="C587" s="279"/>
      <c r="D587" s="3"/>
      <c r="E587" s="3"/>
      <c r="F587" s="3"/>
      <c r="G587" s="3"/>
    </row>
    <row r="588" spans="1:7">
      <c r="A588" s="1234" t="s">
        <v>441</v>
      </c>
      <c r="B588" s="1234"/>
      <c r="C588" s="1234"/>
      <c r="D588" s="1234"/>
      <c r="E588" s="1234"/>
      <c r="F588" s="1234"/>
      <c r="G588" s="1234"/>
    </row>
    <row r="589" spans="1:7">
      <c r="A589" s="279"/>
      <c r="B589" s="279"/>
      <c r="C589" s="279"/>
      <c r="D589" s="3"/>
      <c r="E589" s="3"/>
      <c r="F589" s="3"/>
      <c r="G589" s="3"/>
    </row>
    <row r="590" spans="1:7">
      <c r="A590" s="279"/>
      <c r="B590" s="279"/>
      <c r="C590" s="279"/>
      <c r="D590" s="1244" t="s">
        <v>442</v>
      </c>
      <c r="E590" s="1244"/>
      <c r="F590" s="1244"/>
      <c r="G590" s="3"/>
    </row>
    <row r="591" spans="1:7">
      <c r="A591" s="279"/>
      <c r="B591" s="279"/>
      <c r="C591" s="279"/>
      <c r="D591" s="1266" t="s">
        <v>443</v>
      </c>
      <c r="E591" s="1266"/>
      <c r="F591" s="1266"/>
      <c r="G591" s="3"/>
    </row>
    <row r="592" spans="1:7">
      <c r="A592" s="279"/>
      <c r="B592" s="279"/>
      <c r="C592" s="279"/>
      <c r="D592" s="371"/>
      <c r="E592" s="327"/>
      <c r="F592" s="327"/>
      <c r="G592" s="3"/>
    </row>
    <row r="593" spans="1:7" ht="14.25">
      <c r="A593" s="124"/>
      <c r="B593" s="362" t="s">
        <v>294</v>
      </c>
      <c r="C593" s="279"/>
      <c r="D593" s="1245" t="s">
        <v>444</v>
      </c>
      <c r="E593" s="1245"/>
      <c r="F593" s="1245"/>
      <c r="G593" s="3"/>
    </row>
    <row r="594" spans="1:7">
      <c r="A594" s="279"/>
      <c r="B594" s="279"/>
      <c r="C594" s="279"/>
      <c r="D594" s="1245"/>
      <c r="E594" s="1245"/>
      <c r="F594" s="1245"/>
      <c r="G594" s="3"/>
    </row>
    <row r="595" spans="1:7">
      <c r="A595" s="279"/>
      <c r="B595" s="279"/>
      <c r="C595" s="279"/>
      <c r="D595" s="1245"/>
      <c r="E595" s="1245"/>
      <c r="F595" s="1245"/>
      <c r="G595" s="3"/>
    </row>
    <row r="596" spans="1:7">
      <c r="A596" s="279"/>
      <c r="B596" s="279"/>
      <c r="C596" s="279"/>
      <c r="D596" s="3"/>
      <c r="E596" s="3"/>
      <c r="F596" s="3"/>
      <c r="G596" s="3"/>
    </row>
    <row r="597" spans="1:7">
      <c r="A597" s="1234" t="s">
        <v>445</v>
      </c>
      <c r="B597" s="1234"/>
      <c r="C597" s="1234"/>
      <c r="D597" s="1234"/>
      <c r="E597" s="1234"/>
      <c r="F597" s="1234"/>
      <c r="G597" s="1234"/>
    </row>
    <row r="598" spans="1:7">
      <c r="A598" s="85"/>
      <c r="B598" s="85"/>
      <c r="C598" s="279"/>
      <c r="D598" s="3"/>
      <c r="E598" s="3"/>
      <c r="F598" s="3"/>
      <c r="G598" s="3"/>
    </row>
    <row r="599" spans="1:7">
      <c r="A599" s="120"/>
      <c r="B599" s="120"/>
      <c r="C599" s="120"/>
      <c r="D599" s="1267" t="s">
        <v>446</v>
      </c>
      <c r="E599" s="1267"/>
      <c r="F599" s="1267"/>
      <c r="G599" s="3"/>
    </row>
    <row r="600" spans="1:7">
      <c r="A600" s="120"/>
      <c r="B600" s="120"/>
      <c r="C600" s="120"/>
      <c r="D600" s="1267"/>
      <c r="E600" s="1267"/>
      <c r="F600" s="1267"/>
      <c r="G600" s="3"/>
    </row>
    <row r="601" spans="1:7">
      <c r="A601" s="279"/>
      <c r="B601" s="279"/>
      <c r="C601" s="123"/>
      <c r="D601" s="1266" t="s">
        <v>447</v>
      </c>
      <c r="E601" s="1266"/>
      <c r="F601" s="1266"/>
      <c r="G601" s="3"/>
    </row>
    <row r="602" spans="1:7">
      <c r="A602" s="279"/>
      <c r="B602" s="279"/>
      <c r="C602" s="123"/>
      <c r="D602" s="371"/>
      <c r="E602" s="371"/>
      <c r="F602" s="371"/>
      <c r="G602" s="3"/>
    </row>
    <row r="603" spans="1:7">
      <c r="A603" s="13"/>
      <c r="B603" s="362" t="s">
        <v>294</v>
      </c>
      <c r="C603" s="279"/>
      <c r="D603" s="1266" t="s">
        <v>448</v>
      </c>
      <c r="E603" s="1266"/>
      <c r="F603" s="1266"/>
      <c r="G603" s="3"/>
    </row>
    <row r="604" spans="1:7">
      <c r="A604" s="279"/>
      <c r="B604" s="279"/>
      <c r="C604" s="125"/>
      <c r="D604" s="3"/>
      <c r="E604"/>
      <c r="F604" s="3"/>
      <c r="G604" s="3"/>
    </row>
    <row r="605" spans="1:7">
      <c r="A605" s="13"/>
      <c r="B605" s="362" t="s">
        <v>294</v>
      </c>
      <c r="C605" s="279"/>
      <c r="D605" s="1243" t="s">
        <v>449</v>
      </c>
      <c r="E605" s="1243"/>
      <c r="F605" s="1243"/>
      <c r="G605" s="3"/>
    </row>
    <row r="606" spans="1:7">
      <c r="A606" s="279"/>
      <c r="B606" s="279"/>
      <c r="C606" s="279"/>
      <c r="D606" s="1243"/>
      <c r="E606" s="1243"/>
      <c r="F606" s="1243"/>
      <c r="G606" s="3"/>
    </row>
    <row r="607" spans="1:7">
      <c r="A607" s="279"/>
      <c r="B607" s="279"/>
      <c r="C607" s="279"/>
      <c r="D607"/>
      <c r="E607" s="3"/>
      <c r="F607" s="3"/>
      <c r="G607" s="3"/>
    </row>
    <row r="608" spans="1:7">
      <c r="A608" s="279"/>
      <c r="B608" s="362" t="s">
        <v>294</v>
      </c>
      <c r="C608" s="279"/>
      <c r="D608" s="1243" t="s">
        <v>450</v>
      </c>
      <c r="E608" s="1243"/>
      <c r="F608" s="1243"/>
      <c r="G608" s="3"/>
    </row>
    <row r="609" spans="1:7">
      <c r="A609" s="279"/>
      <c r="B609" s="279"/>
      <c r="C609" s="125"/>
      <c r="D609" s="1243"/>
      <c r="E609" s="1243"/>
      <c r="F609" s="1243"/>
      <c r="G609" s="3"/>
    </row>
    <row r="610" spans="1:7">
      <c r="A610" s="279"/>
      <c r="B610" s="279"/>
      <c r="C610" s="125"/>
      <c r="D610" s="3"/>
      <c r="E610" s="3"/>
      <c r="F610" s="3"/>
      <c r="G610" s="3"/>
    </row>
    <row r="611" spans="1:7">
      <c r="A611" s="279"/>
      <c r="B611" s="362" t="s">
        <v>294</v>
      </c>
      <c r="C611" s="125"/>
      <c r="D611" s="1243" t="s">
        <v>451</v>
      </c>
      <c r="E611" s="1243"/>
      <c r="F611" s="1243"/>
      <c r="G611" s="3"/>
    </row>
    <row r="612" spans="1:7">
      <c r="A612" s="279"/>
      <c r="B612" s="279"/>
      <c r="C612" s="125"/>
      <c r="D612" s="1243"/>
      <c r="E612" s="1243"/>
      <c r="F612" s="1243"/>
      <c r="G612" s="3"/>
    </row>
    <row r="613" spans="1:7">
      <c r="A613" s="279"/>
      <c r="B613" s="279"/>
      <c r="C613" s="125"/>
      <c r="D613" s="3"/>
      <c r="E613" s="3"/>
      <c r="F613" s="3"/>
      <c r="G613" s="3"/>
    </row>
    <row r="614" spans="1:7">
      <c r="A614" s="1234" t="s">
        <v>452</v>
      </c>
      <c r="B614" s="1234"/>
      <c r="C614" s="1234"/>
      <c r="D614" s="1234"/>
      <c r="E614" s="1234"/>
      <c r="F614" s="1234"/>
      <c r="G614" s="1234"/>
    </row>
    <row r="615" spans="1:7">
      <c r="A615" s="120"/>
      <c r="B615" s="120"/>
      <c r="C615" s="120"/>
      <c r="D615" s="3"/>
      <c r="E615" s="3"/>
      <c r="F615" s="3"/>
      <c r="G615" s="3"/>
    </row>
    <row r="616" spans="1:7">
      <c r="A616" s="279"/>
      <c r="B616" s="279"/>
      <c r="C616" s="13"/>
      <c r="D616" s="1244" t="s">
        <v>453</v>
      </c>
      <c r="E616" s="1244"/>
      <c r="F616" s="1244"/>
      <c r="G616" s="3"/>
    </row>
    <row r="617" spans="1:7">
      <c r="A617" s="13"/>
      <c r="B617" s="13"/>
      <c r="C617" s="279"/>
      <c r="D617" s="2"/>
      <c r="E617" s="3"/>
      <c r="F617" s="3"/>
      <c r="G617" s="3"/>
    </row>
    <row r="618" spans="1:7" ht="14.25">
      <c r="A618" s="124"/>
      <c r="B618" s="362" t="s">
        <v>294</v>
      </c>
      <c r="C618" s="279"/>
      <c r="D618" s="1245" t="s">
        <v>454</v>
      </c>
      <c r="E618" s="1245"/>
      <c r="F618" s="1245"/>
      <c r="G618" s="3"/>
    </row>
    <row r="619" spans="1:7">
      <c r="A619" s="279"/>
      <c r="B619" s="279"/>
      <c r="C619" s="279"/>
      <c r="D619" s="1245"/>
      <c r="E619" s="1245"/>
      <c r="F619" s="1245"/>
      <c r="G619" s="3"/>
    </row>
    <row r="620" spans="1:7">
      <c r="A620" s="279"/>
      <c r="B620" s="279"/>
      <c r="C620" s="279"/>
      <c r="D620" s="1245"/>
      <c r="E620" s="1245"/>
      <c r="F620" s="1245"/>
      <c r="G620" s="3"/>
    </row>
    <row r="621" spans="1:7">
      <c r="A621" s="279"/>
      <c r="B621" s="279"/>
      <c r="C621" s="279"/>
      <c r="D621" s="1245"/>
      <c r="E621" s="1245"/>
      <c r="F621" s="1245"/>
      <c r="G621" s="3"/>
    </row>
    <row r="622" spans="1:7">
      <c r="A622" s="279"/>
      <c r="B622" s="279"/>
      <c r="C622" s="279"/>
      <c r="D622" s="1245"/>
      <c r="E622" s="1245"/>
      <c r="F622" s="1245"/>
      <c r="G622" s="3"/>
    </row>
    <row r="623" spans="1:7">
      <c r="A623" s="279"/>
      <c r="B623" s="279"/>
      <c r="C623" s="279"/>
      <c r="D623" s="1245"/>
      <c r="E623" s="1245"/>
      <c r="F623" s="1245"/>
      <c r="G623" s="3"/>
    </row>
    <row r="624" spans="1:7">
      <c r="A624" s="279"/>
      <c r="B624" s="279"/>
      <c r="C624" s="279"/>
      <c r="D624" s="372"/>
      <c r="E624" s="372"/>
      <c r="F624" s="372"/>
      <c r="G624" s="3"/>
    </row>
    <row r="625" spans="1:7" ht="14.25">
      <c r="A625" s="124"/>
      <c r="B625" s="362" t="s">
        <v>294</v>
      </c>
      <c r="C625" s="279"/>
      <c r="D625" s="1245" t="s">
        <v>455</v>
      </c>
      <c r="E625" s="1245"/>
      <c r="F625" s="1245"/>
      <c r="G625" s="3"/>
    </row>
    <row r="626" spans="1:7">
      <c r="A626" s="910"/>
      <c r="B626" s="910"/>
      <c r="C626" s="910"/>
      <c r="D626" s="1245"/>
      <c r="E626" s="1245"/>
      <c r="F626" s="1245"/>
      <c r="G626" s="3"/>
    </row>
    <row r="627" spans="1:7">
      <c r="A627" s="910"/>
      <c r="B627" s="910"/>
      <c r="C627" s="910"/>
      <c r="D627" s="85"/>
      <c r="E627" s="85"/>
      <c r="F627" s="85"/>
      <c r="G627" s="3"/>
    </row>
    <row r="628" spans="1:7" ht="14.25">
      <c r="A628" s="124"/>
      <c r="B628" s="362" t="s">
        <v>294</v>
      </c>
      <c r="C628" s="910"/>
      <c r="D628" s="1245" t="s">
        <v>456</v>
      </c>
      <c r="E628" s="1245"/>
      <c r="F628" s="1245"/>
      <c r="G628" s="3"/>
    </row>
    <row r="629" spans="1:7" ht="14.25">
      <c r="A629" s="124"/>
      <c r="B629" s="124"/>
      <c r="C629" s="910"/>
      <c r="D629" s="1245"/>
      <c r="E629" s="1245"/>
      <c r="F629" s="1245"/>
      <c r="G629" s="3"/>
    </row>
    <row r="630" spans="1:7" ht="14.25">
      <c r="A630" s="124"/>
      <c r="B630" s="124"/>
      <c r="C630" s="910"/>
      <c r="D630" s="1245"/>
      <c r="E630" s="1245"/>
      <c r="F630" s="1245"/>
      <c r="G630" s="3"/>
    </row>
    <row r="631" spans="1:7">
      <c r="A631" s="910"/>
      <c r="B631" s="910"/>
      <c r="C631" s="910"/>
      <c r="D631" s="1245"/>
      <c r="E631" s="1245"/>
      <c r="F631" s="1245"/>
      <c r="G631" s="3"/>
    </row>
    <row r="632" spans="1:7">
      <c r="A632" s="910"/>
      <c r="B632" s="910"/>
      <c r="C632" s="910"/>
      <c r="D632" s="372"/>
      <c r="E632" s="372"/>
      <c r="F632" s="372"/>
      <c r="G632" s="3"/>
    </row>
    <row r="633" spans="1:7">
      <c r="A633" s="910"/>
      <c r="B633" s="362" t="s">
        <v>294</v>
      </c>
      <c r="C633" s="910"/>
      <c r="D633" s="1246" t="s">
        <v>457</v>
      </c>
      <c r="E633" s="1246"/>
      <c r="F633" s="1246"/>
      <c r="G633" s="3"/>
    </row>
    <row r="634" spans="1:7">
      <c r="A634" s="910"/>
      <c r="B634" s="910"/>
      <c r="C634" s="910"/>
      <c r="D634" s="373"/>
      <c r="E634" s="373"/>
      <c r="F634" s="373"/>
      <c r="G634" s="3"/>
    </row>
    <row r="635" spans="1:7">
      <c r="A635" s="1234" t="s">
        <v>458</v>
      </c>
      <c r="B635" s="1234"/>
      <c r="C635" s="1234"/>
      <c r="D635" s="1234"/>
      <c r="E635" s="1234"/>
      <c r="F635" s="1234"/>
      <c r="G635" s="1234"/>
    </row>
    <row r="636" spans="1:7">
      <c r="A636" s="85"/>
      <c r="B636" s="85"/>
      <c r="C636" s="910"/>
      <c r="D636" s="85"/>
      <c r="E636" s="85"/>
      <c r="F636" s="85"/>
      <c r="G636" s="3"/>
    </row>
    <row r="637" spans="1:7">
      <c r="A637" s="279"/>
      <c r="B637" s="279"/>
      <c r="C637" s="120"/>
      <c r="D637" s="1235" t="s">
        <v>459</v>
      </c>
      <c r="E637" s="1235"/>
      <c r="F637" s="1235"/>
      <c r="G637" s="3"/>
    </row>
    <row r="638" spans="1:7">
      <c r="A638" s="123"/>
      <c r="B638" s="123"/>
      <c r="C638" s="123"/>
      <c r="D638" s="1230" t="s">
        <v>460</v>
      </c>
      <c r="E638" s="1230"/>
      <c r="F638" s="1230"/>
      <c r="G638" s="3"/>
    </row>
    <row r="639" spans="1:7">
      <c r="A639" s="123"/>
      <c r="B639" s="123"/>
      <c r="C639" s="123"/>
      <c r="D639" s="85"/>
      <c r="E639" s="85"/>
      <c r="F639" s="85"/>
      <c r="G639" s="3"/>
    </row>
    <row r="640" spans="1:7" ht="14.45" customHeight="1">
      <c r="A640" s="124"/>
      <c r="B640" s="362" t="s">
        <v>294</v>
      </c>
      <c r="C640" s="910"/>
      <c r="D640" s="1219" t="s">
        <v>461</v>
      </c>
      <c r="E640" s="1219"/>
      <c r="F640" s="1219"/>
      <c r="G640" s="3"/>
    </row>
    <row r="641" spans="1:11" ht="14.25">
      <c r="A641" s="124"/>
      <c r="B641" s="124"/>
      <c r="C641" s="910"/>
      <c r="D641" s="1219"/>
      <c r="E641" s="1219"/>
      <c r="F641" s="1219"/>
      <c r="G641" s="3"/>
    </row>
    <row r="642" spans="1:11" ht="14.25">
      <c r="A642" s="124"/>
      <c r="B642" s="124"/>
      <c r="C642" s="910"/>
      <c r="D642" s="1219"/>
      <c r="E642" s="1219"/>
      <c r="F642" s="1219"/>
      <c r="G642" s="3"/>
    </row>
    <row r="643" spans="1:11" ht="14.25">
      <c r="A643" s="124"/>
      <c r="B643" s="124"/>
      <c r="C643" s="910"/>
      <c r="D643" s="1219"/>
      <c r="E643" s="1219"/>
      <c r="F643" s="1219"/>
      <c r="G643" s="3"/>
    </row>
    <row r="644" spans="1:11" ht="14.25">
      <c r="A644" s="124"/>
      <c r="B644" s="124"/>
      <c r="C644" s="910"/>
      <c r="D644" s="1219"/>
      <c r="E644" s="1219"/>
      <c r="F644" s="1219"/>
      <c r="G644" s="3"/>
    </row>
    <row r="645" spans="1:11" ht="14.25">
      <c r="A645" s="124"/>
      <c r="B645" s="124"/>
      <c r="C645" s="910"/>
      <c r="D645" s="368"/>
      <c r="E645" s="368"/>
      <c r="F645" s="368"/>
      <c r="G645" s="3"/>
    </row>
    <row r="646" spans="1:11" ht="14.25">
      <c r="A646" s="124"/>
      <c r="B646" s="362" t="s">
        <v>294</v>
      </c>
      <c r="C646" s="910"/>
      <c r="D646" s="1257" t="s">
        <v>462</v>
      </c>
      <c r="E646" s="1257"/>
      <c r="F646" s="1257"/>
      <c r="G646" s="3"/>
    </row>
    <row r="647" spans="1:11" ht="14.25">
      <c r="A647" s="124"/>
      <c r="B647" s="124"/>
      <c r="C647" s="910"/>
      <c r="D647" s="1258" t="s">
        <v>463</v>
      </c>
      <c r="E647" s="1258"/>
      <c r="F647" s="1258"/>
      <c r="G647" s="3"/>
    </row>
    <row r="648" spans="1:11" ht="14.25">
      <c r="A648" s="124"/>
      <c r="B648" s="124"/>
      <c r="C648" s="910"/>
      <c r="D648" s="1258"/>
      <c r="E648" s="1258"/>
      <c r="F648" s="1258"/>
      <c r="G648" s="3"/>
    </row>
    <row r="649" spans="1:11" ht="14.25">
      <c r="A649" s="124"/>
      <c r="B649" s="124"/>
      <c r="C649" s="910"/>
      <c r="D649" s="1258"/>
      <c r="E649" s="1258"/>
      <c r="F649" s="1258"/>
      <c r="G649" s="3"/>
    </row>
    <row r="650" spans="1:11" ht="14.25">
      <c r="A650" s="124"/>
      <c r="B650" s="124"/>
      <c r="C650" s="910"/>
      <c r="D650" s="1258"/>
      <c r="E650" s="1258"/>
      <c r="F650" s="1258"/>
      <c r="G650" s="3"/>
    </row>
    <row r="651" spans="1:11" ht="14.25">
      <c r="A651" s="124"/>
      <c r="B651" s="124"/>
      <c r="C651" s="910"/>
      <c r="D651" s="1258"/>
      <c r="E651" s="1258"/>
      <c r="F651" s="1258"/>
      <c r="G651" s="3"/>
    </row>
    <row r="652" spans="1:11" ht="14.25">
      <c r="A652" s="124"/>
      <c r="B652" s="124"/>
      <c r="C652" s="910"/>
      <c r="D652" s="1259" t="s">
        <v>464</v>
      </c>
      <c r="E652" s="1259"/>
      <c r="F652" s="1259"/>
      <c r="G652" s="3"/>
    </row>
    <row r="653" spans="1:11">
      <c r="A653" s="910"/>
      <c r="B653" s="910"/>
      <c r="C653" s="910"/>
      <c r="D653" s="85"/>
      <c r="E653" s="85"/>
      <c r="F653" s="85"/>
      <c r="G653" s="3"/>
    </row>
    <row r="654" spans="1:11">
      <c r="A654" s="1234" t="s">
        <v>465</v>
      </c>
      <c r="B654" s="1234"/>
      <c r="C654" s="1234"/>
      <c r="D654" s="1234"/>
      <c r="E654" s="1234"/>
      <c r="F654" s="1234"/>
      <c r="G654" s="123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5" t="s">
        <v>466</v>
      </c>
      <c r="E656" s="1235"/>
      <c r="F656" s="1235"/>
      <c r="G656" s="3"/>
      <c r="H656" s="126"/>
      <c r="I656" s="126"/>
      <c r="J656" s="126"/>
      <c r="K656" s="126"/>
    </row>
    <row r="657" spans="1:11">
      <c r="A657" s="120"/>
      <c r="B657" s="120"/>
      <c r="C657" s="120"/>
      <c r="D657" s="1235" t="s">
        <v>467</v>
      </c>
      <c r="E657" s="1235"/>
      <c r="F657" s="1235"/>
      <c r="G657" s="3"/>
      <c r="H657" s="126"/>
      <c r="I657" s="126"/>
      <c r="J657" s="126"/>
      <c r="K657" s="126"/>
    </row>
    <row r="658" spans="1:11">
      <c r="A658" s="123"/>
      <c r="B658" s="123"/>
      <c r="C658" s="123"/>
      <c r="D658" s="1230" t="s">
        <v>468</v>
      </c>
      <c r="E658" s="1230"/>
      <c r="F658" s="1230"/>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0" t="s">
        <v>469</v>
      </c>
      <c r="E660" s="1230"/>
      <c r="F660" s="1230"/>
      <c r="G660" s="3"/>
      <c r="H660" s="126"/>
      <c r="I660" s="126"/>
      <c r="J660" s="126"/>
      <c r="K660" s="126"/>
    </row>
    <row r="661" spans="1:11">
      <c r="A661" s="123"/>
      <c r="B661" s="123"/>
      <c r="C661" s="123"/>
      <c r="D661" s="1230" t="s">
        <v>470</v>
      </c>
      <c r="E661" s="1230"/>
      <c r="F661" s="1230"/>
      <c r="G661" s="3"/>
      <c r="H661" s="126"/>
      <c r="I661" s="126"/>
      <c r="J661" s="126"/>
      <c r="K661" s="126"/>
    </row>
    <row r="662" spans="1:11">
      <c r="A662" s="123"/>
      <c r="B662" s="123"/>
      <c r="C662" s="123"/>
      <c r="D662" s="3"/>
      <c r="E662" s="1229" t="s">
        <v>471</v>
      </c>
      <c r="F662" s="1229"/>
      <c r="G662" s="3"/>
      <c r="H662" s="126"/>
      <c r="I662" s="126"/>
      <c r="J662" s="126"/>
      <c r="K662" s="126"/>
    </row>
    <row r="663" spans="1:11">
      <c r="A663" s="123"/>
      <c r="B663" s="123"/>
      <c r="C663" s="123"/>
      <c r="D663" s="3"/>
      <c r="E663" s="1229"/>
      <c r="F663" s="1229"/>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9" t="s">
        <v>472</v>
      </c>
      <c r="E665" s="1219"/>
      <c r="F665" s="1219"/>
      <c r="G665" s="3"/>
      <c r="H665" s="126"/>
      <c r="I665" s="126"/>
      <c r="J665" s="126"/>
      <c r="K665" s="126"/>
    </row>
    <row r="666" spans="1:11">
      <c r="A666" s="13"/>
      <c r="B666" s="13"/>
      <c r="C666" s="123"/>
      <c r="D666" s="1219"/>
      <c r="E666" s="1219"/>
      <c r="F666" s="1219"/>
      <c r="G666" s="3"/>
      <c r="H666" s="126"/>
      <c r="I666" s="126"/>
      <c r="J666" s="126"/>
      <c r="K666" s="126"/>
    </row>
    <row r="667" spans="1:11">
      <c r="A667" s="123"/>
      <c r="B667" s="123"/>
      <c r="C667" s="123"/>
      <c r="D667" s="1219"/>
      <c r="E667" s="1219"/>
      <c r="F667" s="1219"/>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0" t="s">
        <v>473</v>
      </c>
      <c r="E669" s="1230"/>
      <c r="F669" s="1230"/>
      <c r="G669" s="3"/>
      <c r="H669" s="126"/>
      <c r="I669" s="126"/>
      <c r="J669" s="126"/>
      <c r="K669" s="126"/>
    </row>
    <row r="670" spans="1:11" ht="14.25">
      <c r="A670" s="124"/>
      <c r="B670" s="124"/>
      <c r="C670" s="123"/>
      <c r="D670" s="1230" t="s">
        <v>470</v>
      </c>
      <c r="E670" s="1230"/>
      <c r="F670" s="1230"/>
      <c r="G670" s="3"/>
      <c r="H670" s="126"/>
      <c r="I670" s="126"/>
      <c r="J670" s="126"/>
      <c r="K670" s="126"/>
    </row>
    <row r="671" spans="1:11">
      <c r="A671" s="123"/>
      <c r="B671" s="123"/>
      <c r="C671" s="123"/>
      <c r="D671" s="3"/>
      <c r="E671" s="1240" t="s">
        <v>474</v>
      </c>
      <c r="F671" s="1240"/>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9" t="s">
        <v>475</v>
      </c>
      <c r="E673" s="1219"/>
      <c r="F673" s="1219"/>
      <c r="G673" s="3"/>
      <c r="H673" s="126"/>
      <c r="I673" s="126"/>
      <c r="J673" s="126"/>
      <c r="K673" s="126"/>
    </row>
    <row r="674" spans="1:11">
      <c r="A674" s="123"/>
      <c r="B674" s="123"/>
      <c r="C674" s="123"/>
      <c r="D674" s="1219"/>
      <c r="E674" s="1219"/>
      <c r="F674" s="1219"/>
      <c r="G674" s="3"/>
      <c r="H674" s="126"/>
      <c r="I674" s="126"/>
      <c r="J674" s="126"/>
      <c r="K674" s="126"/>
    </row>
    <row r="675" spans="1:11">
      <c r="A675" s="123"/>
      <c r="B675" s="123"/>
      <c r="C675" s="123"/>
      <c r="D675" s="1219"/>
      <c r="E675" s="1219"/>
      <c r="F675" s="1219"/>
      <c r="G675" s="3"/>
      <c r="H675" s="126"/>
      <c r="I675" s="126"/>
      <c r="J675" s="126"/>
      <c r="K675" s="126"/>
    </row>
    <row r="676" spans="1:11">
      <c r="A676" s="123"/>
      <c r="B676" s="123"/>
      <c r="C676" s="123"/>
      <c r="D676" s="1219"/>
      <c r="E676" s="1219"/>
      <c r="F676" s="1219"/>
      <c r="G676" s="3"/>
      <c r="H676" s="126"/>
      <c r="I676" s="126"/>
      <c r="J676" s="126"/>
      <c r="K676" s="126"/>
    </row>
    <row r="677" spans="1:11">
      <c r="A677" s="123"/>
      <c r="B677" s="123"/>
      <c r="C677" s="123"/>
      <c r="D677" s="1219"/>
      <c r="E677" s="1219"/>
      <c r="F677" s="1219"/>
      <c r="G677" s="3"/>
      <c r="H677" s="126"/>
      <c r="I677" s="126"/>
      <c r="J677" s="126"/>
      <c r="K677" s="126"/>
    </row>
    <row r="678" spans="1:11">
      <c r="A678" s="123"/>
      <c r="B678" s="123"/>
      <c r="C678" s="123"/>
      <c r="D678" s="1219"/>
      <c r="E678" s="1219"/>
      <c r="F678" s="1219"/>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9" t="s">
        <v>476</v>
      </c>
      <c r="E680" s="1219"/>
      <c r="F680" s="1219"/>
      <c r="G680" s="3"/>
      <c r="H680" s="126"/>
      <c r="I680" s="126"/>
      <c r="J680" s="126"/>
      <c r="K680" s="126"/>
    </row>
    <row r="681" spans="1:11">
      <c r="A681" s="123"/>
      <c r="B681" s="123"/>
      <c r="C681" s="123"/>
      <c r="D681" s="1219"/>
      <c r="E681" s="1219"/>
      <c r="F681" s="1219"/>
      <c r="G681" s="3"/>
      <c r="H681" s="126"/>
      <c r="I681" s="126"/>
      <c r="J681" s="126"/>
      <c r="K681" s="126"/>
    </row>
    <row r="682" spans="1:11">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c r="A685" s="123"/>
      <c r="B685" s="123"/>
      <c r="C685" s="123"/>
      <c r="D685" s="1219"/>
      <c r="E685" s="1219"/>
      <c r="F685" s="1219"/>
      <c r="G685" s="3"/>
      <c r="H685" s="126"/>
      <c r="I685" s="126"/>
      <c r="J685" s="126"/>
      <c r="K685" s="126"/>
    </row>
    <row r="686" spans="1:11">
      <c r="A686" s="123"/>
      <c r="B686" s="123"/>
      <c r="C686" s="123"/>
      <c r="D686" s="1219"/>
      <c r="E686" s="1219"/>
      <c r="F686" s="1219"/>
      <c r="G686" s="3"/>
      <c r="H686" s="126"/>
      <c r="I686" s="126"/>
      <c r="J686" s="126"/>
      <c r="K686" s="126"/>
    </row>
    <row r="687" spans="1:11">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c r="A689" s="123"/>
      <c r="B689" s="123"/>
      <c r="C689" s="123"/>
      <c r="D689" s="1219"/>
      <c r="E689" s="1219"/>
      <c r="F689" s="1219"/>
      <c r="G689" s="3"/>
      <c r="H689" s="126"/>
      <c r="I689" s="126"/>
      <c r="J689" s="126"/>
      <c r="K689" s="126"/>
    </row>
    <row r="690" spans="1:11">
      <c r="A690" s="123"/>
      <c r="B690" s="123"/>
      <c r="C690" s="123"/>
      <c r="D690" s="1219"/>
      <c r="E690" s="1219"/>
      <c r="F690" s="1219"/>
      <c r="G690" s="3"/>
      <c r="H690" s="126"/>
      <c r="I690" s="126"/>
      <c r="J690" s="126"/>
      <c r="K690" s="126"/>
    </row>
    <row r="691" spans="1:11">
      <c r="A691" s="123"/>
      <c r="B691" s="123"/>
      <c r="C691" s="123"/>
      <c r="D691" s="1219"/>
      <c r="E691" s="1219"/>
      <c r="F691" s="1219"/>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9" t="s">
        <v>477</v>
      </c>
      <c r="E693" s="1219"/>
      <c r="F693" s="1219"/>
      <c r="G693" s="3"/>
      <c r="H693" s="126"/>
      <c r="I693" s="126"/>
      <c r="J693" s="126"/>
      <c r="K693" s="126"/>
    </row>
    <row r="694" spans="1:11">
      <c r="A694" s="123"/>
      <c r="B694" s="123"/>
      <c r="C694" s="123"/>
      <c r="D694" s="1219"/>
      <c r="E694" s="1219"/>
      <c r="F694" s="1219"/>
      <c r="G694" s="3"/>
      <c r="H694" s="126"/>
      <c r="I694" s="126"/>
      <c r="J694" s="126"/>
      <c r="K694" s="126"/>
    </row>
    <row r="695" spans="1:11">
      <c r="A695" s="123"/>
      <c r="B695" s="123"/>
      <c r="C695" s="123"/>
      <c r="D695" s="1219"/>
      <c r="E695" s="1219"/>
      <c r="F695" s="121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9" t="s">
        <v>478</v>
      </c>
      <c r="E697" s="1219"/>
      <c r="F697" s="1219"/>
      <c r="G697" s="3"/>
      <c r="H697" s="126"/>
      <c r="I697" s="126"/>
      <c r="J697" s="126"/>
      <c r="K697" s="126"/>
    </row>
    <row r="698" spans="1:11">
      <c r="A698" s="123"/>
      <c r="B698" s="123"/>
      <c r="C698" s="123"/>
      <c r="D698" s="1219"/>
      <c r="E698" s="1219"/>
      <c r="F698" s="121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9" t="s">
        <v>479</v>
      </c>
      <c r="E700" s="1219"/>
      <c r="F700" s="1219"/>
      <c r="G700" s="3"/>
      <c r="H700" s="126"/>
      <c r="I700" s="126"/>
      <c r="J700" s="126"/>
      <c r="K700" s="126"/>
    </row>
    <row r="701" spans="1:11">
      <c r="A701" s="123"/>
      <c r="B701" s="123"/>
      <c r="C701" s="123"/>
      <c r="D701" s="1219"/>
      <c r="E701" s="1219"/>
      <c r="F701" s="1219"/>
      <c r="G701" s="3"/>
      <c r="H701" s="126"/>
      <c r="I701" s="126"/>
      <c r="J701" s="126"/>
      <c r="K701" s="126"/>
    </row>
    <row r="702" spans="1:11">
      <c r="A702" s="123"/>
      <c r="B702" s="123"/>
      <c r="C702" s="123"/>
      <c r="D702" s="1219"/>
      <c r="E702" s="1219"/>
      <c r="F702" s="121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9" t="s">
        <v>480</v>
      </c>
      <c r="E704" s="1219"/>
      <c r="F704" s="1219"/>
      <c r="G704" s="3"/>
      <c r="H704" s="126"/>
      <c r="I704" s="126"/>
      <c r="J704" s="126"/>
      <c r="K704" s="126"/>
    </row>
    <row r="705" spans="1:11">
      <c r="A705" s="123"/>
      <c r="B705" s="123"/>
      <c r="C705" s="123"/>
      <c r="D705" s="1219"/>
      <c r="E705" s="1219"/>
      <c r="F705" s="1219"/>
      <c r="G705" s="3"/>
      <c r="H705" s="126"/>
      <c r="I705" s="126"/>
      <c r="J705" s="126"/>
      <c r="K705" s="126"/>
    </row>
    <row r="706" spans="1:11">
      <c r="A706" s="123"/>
      <c r="B706" s="123"/>
      <c r="C706" s="123"/>
      <c r="D706" s="1219"/>
      <c r="E706" s="1219"/>
      <c r="F706" s="121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9" t="s">
        <v>481</v>
      </c>
      <c r="E708" s="1219"/>
      <c r="F708" s="1219"/>
      <c r="G708" s="3"/>
      <c r="H708" s="126"/>
      <c r="I708" s="126"/>
      <c r="J708" s="126"/>
      <c r="K708" s="126"/>
    </row>
    <row r="709" spans="1:11">
      <c r="A709" s="123"/>
      <c r="B709" s="123"/>
      <c r="C709" s="123"/>
      <c r="D709" s="1219"/>
      <c r="E709" s="1219"/>
      <c r="F709" s="1219"/>
      <c r="G709" s="3"/>
      <c r="H709" s="126"/>
      <c r="I709" s="126"/>
      <c r="J709" s="126"/>
      <c r="K709" s="126"/>
    </row>
    <row r="710" spans="1:11">
      <c r="A710" s="123"/>
      <c r="B710" s="123"/>
      <c r="C710" s="123"/>
      <c r="D710" s="1219"/>
      <c r="E710" s="1219"/>
      <c r="F710" s="1219"/>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9" t="s">
        <v>482</v>
      </c>
      <c r="E712" s="1219"/>
      <c r="F712" s="1219"/>
      <c r="G712" s="3"/>
      <c r="H712" s="126"/>
      <c r="I712" s="126"/>
      <c r="J712" s="126"/>
      <c r="K712" s="126"/>
    </row>
    <row r="713" spans="1:11">
      <c r="A713" s="123"/>
      <c r="B713" s="123"/>
      <c r="C713" s="123"/>
      <c r="D713" s="1219"/>
      <c r="E713" s="1219"/>
      <c r="F713" s="1219"/>
      <c r="G713" s="3"/>
      <c r="H713" s="126"/>
      <c r="I713" s="126"/>
      <c r="J713" s="126"/>
      <c r="K713" s="126"/>
    </row>
    <row r="714" spans="1:11">
      <c r="A714" s="123"/>
      <c r="B714" s="123"/>
      <c r="C714" s="123"/>
      <c r="D714" s="1219"/>
      <c r="E714" s="1219"/>
      <c r="F714" s="1219"/>
      <c r="G714" s="3"/>
      <c r="H714" s="126"/>
      <c r="I714" s="126"/>
      <c r="J714" s="126"/>
      <c r="K714" s="126"/>
    </row>
    <row r="715" spans="1:11">
      <c r="A715" s="123"/>
      <c r="B715" s="123"/>
      <c r="C715" s="123"/>
      <c r="D715" s="1219"/>
      <c r="E715" s="1219"/>
      <c r="F715" s="1219"/>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9" t="s">
        <v>483</v>
      </c>
      <c r="E717" s="1219"/>
      <c r="F717" s="1219"/>
      <c r="G717" s="3"/>
      <c r="H717" s="126"/>
      <c r="I717" s="126"/>
      <c r="J717" s="126"/>
      <c r="K717" s="126"/>
    </row>
    <row r="718" spans="1:11">
      <c r="A718" s="123"/>
      <c r="B718" s="123"/>
      <c r="C718" s="123"/>
      <c r="D718" s="1219"/>
      <c r="E718" s="1219"/>
      <c r="F718" s="1219"/>
      <c r="G718" s="3"/>
      <c r="H718" s="126"/>
      <c r="I718" s="126"/>
      <c r="J718" s="126"/>
      <c r="K718" s="126"/>
    </row>
    <row r="719" spans="1:11">
      <c r="A719" s="123"/>
      <c r="B719" s="123"/>
      <c r="C719" s="123"/>
      <c r="D719" s="1219"/>
      <c r="E719" s="1219"/>
      <c r="F719" s="1219"/>
      <c r="G719" s="3"/>
      <c r="H719" s="126"/>
      <c r="I719" s="126"/>
      <c r="J719" s="126"/>
      <c r="K719" s="126"/>
    </row>
    <row r="720" spans="1:11">
      <c r="A720" s="123"/>
      <c r="B720" s="123"/>
      <c r="C720" s="123"/>
      <c r="D720" s="1219"/>
      <c r="E720" s="1219"/>
      <c r="F720" s="1219"/>
      <c r="G720" s="3"/>
      <c r="H720" s="126"/>
      <c r="I720" s="126"/>
      <c r="J720" s="126"/>
      <c r="K720" s="126"/>
    </row>
    <row r="721" spans="1:11">
      <c r="A721" s="123"/>
      <c r="B721" s="123"/>
      <c r="C721" s="123"/>
      <c r="D721" s="1219"/>
      <c r="E721" s="1219"/>
      <c r="F721" s="1219"/>
      <c r="G721" s="3"/>
      <c r="H721" s="126"/>
      <c r="I721" s="126"/>
      <c r="J721" s="126"/>
      <c r="K721" s="126"/>
    </row>
    <row r="722" spans="1:11">
      <c r="A722" s="123"/>
      <c r="B722" s="123"/>
      <c r="C722" s="123"/>
      <c r="D722" s="1219"/>
      <c r="E722" s="1219"/>
      <c r="F722" s="1219"/>
      <c r="G722" s="3"/>
      <c r="H722" s="126"/>
      <c r="I722" s="126"/>
      <c r="J722" s="126"/>
      <c r="K722" s="126"/>
    </row>
    <row r="723" spans="1:11">
      <c r="A723" s="123"/>
      <c r="B723" s="123"/>
      <c r="C723" s="123"/>
      <c r="D723" s="1219"/>
      <c r="E723" s="1219"/>
      <c r="F723" s="1219"/>
      <c r="G723" s="3"/>
      <c r="H723" s="126"/>
      <c r="I723" s="126"/>
      <c r="J723" s="126"/>
      <c r="K723" s="126"/>
    </row>
    <row r="724" spans="1:11">
      <c r="A724" s="123"/>
      <c r="B724" s="123"/>
      <c r="C724" s="123"/>
      <c r="D724" s="1261" t="s">
        <v>484</v>
      </c>
      <c r="E724" s="1261"/>
      <c r="F724" s="1261"/>
      <c r="G724" s="3"/>
      <c r="H724" s="126"/>
      <c r="I724" s="126"/>
      <c r="J724" s="126"/>
      <c r="K724" s="126"/>
    </row>
    <row r="725" spans="1:11">
      <c r="A725" s="123"/>
      <c r="B725" s="123"/>
      <c r="C725" s="123"/>
      <c r="D725" s="263"/>
      <c r="E725" s="3"/>
      <c r="F725" s="3"/>
      <c r="G725" s="3"/>
      <c r="H725" s="126"/>
      <c r="I725" s="126"/>
      <c r="J725" s="126"/>
      <c r="K725" s="126"/>
    </row>
    <row r="726" spans="1:11">
      <c r="A726" s="1263" t="s">
        <v>485</v>
      </c>
      <c r="B726" s="1263"/>
      <c r="C726" s="1263"/>
      <c r="D726" s="1263"/>
      <c r="E726" s="1263"/>
      <c r="F726" s="1263"/>
      <c r="G726" s="1263"/>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51" t="s">
        <v>486</v>
      </c>
      <c r="E728" s="1251"/>
      <c r="F728" s="1251"/>
      <c r="G728" s="909"/>
      <c r="H728" s="126"/>
      <c r="I728" s="126"/>
      <c r="J728" s="126"/>
      <c r="K728" s="126"/>
    </row>
    <row r="729" spans="1:11">
      <c r="A729" s="123"/>
      <c r="B729" s="123"/>
      <c r="C729" s="123"/>
      <c r="D729" s="1250" t="s">
        <v>487</v>
      </c>
      <c r="E729" s="1250"/>
      <c r="F729" s="1250"/>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9" t="s">
        <v>488</v>
      </c>
      <c r="E731" s="1219"/>
      <c r="F731" s="1219"/>
      <c r="G731" s="909"/>
      <c r="H731" s="126"/>
      <c r="I731" s="126"/>
      <c r="J731" s="126"/>
      <c r="K731" s="126"/>
    </row>
    <row r="732" spans="1:11" ht="10.5" customHeight="1">
      <c r="A732" s="279"/>
      <c r="B732" s="279"/>
      <c r="C732" s="279"/>
      <c r="D732" s="1219"/>
      <c r="E732" s="1219"/>
      <c r="F732" s="1219"/>
      <c r="G732" s="909"/>
      <c r="H732" s="126"/>
      <c r="I732" s="126"/>
      <c r="J732" s="126"/>
      <c r="K732" s="126"/>
    </row>
    <row r="733" spans="1:11">
      <c r="A733" s="279"/>
      <c r="B733" s="279"/>
      <c r="C733" s="279"/>
      <c r="D733" s="1219"/>
      <c r="E733" s="1219"/>
      <c r="F733" s="1219"/>
      <c r="G733" s="909"/>
      <c r="H733" s="126"/>
      <c r="I733" s="126"/>
      <c r="J733" s="126"/>
      <c r="K733" s="126"/>
    </row>
    <row r="734" spans="1:11">
      <c r="A734" s="279"/>
      <c r="B734" s="279"/>
      <c r="C734" s="279"/>
      <c r="D734" s="1219"/>
      <c r="E734" s="1219"/>
      <c r="F734" s="1219"/>
      <c r="G734" s="909"/>
      <c r="H734" s="126"/>
      <c r="I734" s="126"/>
      <c r="J734" s="126"/>
      <c r="K734" s="126"/>
    </row>
    <row r="735" spans="1:11">
      <c r="A735" s="279"/>
      <c r="B735" s="279"/>
      <c r="C735" s="279"/>
      <c r="D735" s="1219"/>
      <c r="E735" s="1219"/>
      <c r="F735" s="1219"/>
      <c r="G735" s="909"/>
      <c r="H735" s="126"/>
      <c r="I735" s="126"/>
      <c r="J735" s="126"/>
      <c r="K735" s="126"/>
    </row>
    <row r="736" spans="1:11" ht="15.75" customHeight="1">
      <c r="A736" s="279"/>
      <c r="B736" s="279"/>
      <c r="C736" s="279"/>
      <c r="D736" s="1219"/>
      <c r="E736" s="1219"/>
      <c r="F736" s="1219"/>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9" t="s">
        <v>489</v>
      </c>
      <c r="E738" s="1219"/>
      <c r="F738" s="1219"/>
      <c r="G738" s="922"/>
    </row>
    <row r="739" spans="1:11" s="181" customFormat="1">
      <c r="A739" s="921"/>
      <c r="B739" s="921"/>
      <c r="C739" s="921"/>
      <c r="D739" s="1219"/>
      <c r="E739" s="1219"/>
      <c r="F739" s="1219"/>
      <c r="G739" s="922"/>
    </row>
    <row r="740" spans="1:11" s="181" customFormat="1">
      <c r="A740" s="921"/>
      <c r="B740" s="921"/>
      <c r="C740" s="921"/>
      <c r="D740" s="1219"/>
      <c r="E740" s="1219"/>
      <c r="F740" s="1219"/>
      <c r="G740" s="922"/>
    </row>
    <row r="741" spans="1:11" s="181" customFormat="1">
      <c r="A741" s="921"/>
      <c r="B741" s="921"/>
      <c r="C741" s="921"/>
      <c r="D741" s="1219"/>
      <c r="E741" s="1219"/>
      <c r="F741" s="1219"/>
      <c r="G741" s="922"/>
    </row>
    <row r="742" spans="1:11" s="181" customFormat="1">
      <c r="A742" s="921"/>
      <c r="B742" s="921"/>
      <c r="C742" s="921"/>
      <c r="D742" s="174"/>
      <c r="E742" s="922"/>
      <c r="F742" s="922"/>
      <c r="G742" s="922"/>
    </row>
    <row r="743" spans="1:11" s="181" customFormat="1" ht="14.25">
      <c r="A743" s="124"/>
      <c r="B743" s="362" t="s">
        <v>294</v>
      </c>
      <c r="C743" s="921"/>
      <c r="D743" s="1258" t="s">
        <v>490</v>
      </c>
      <c r="E743" s="1258"/>
      <c r="F743" s="1258"/>
      <c r="G743" s="922"/>
    </row>
    <row r="744" spans="1:11" s="181" customFormat="1">
      <c r="A744" s="921"/>
      <c r="B744" s="921"/>
      <c r="C744" s="921"/>
      <c r="D744" s="1258"/>
      <c r="E744" s="1258"/>
      <c r="F744" s="1258"/>
      <c r="G744" s="922"/>
    </row>
    <row r="745" spans="1:11" s="181" customFormat="1">
      <c r="A745" s="921"/>
      <c r="B745" s="921"/>
      <c r="C745" s="921"/>
      <c r="D745" s="1258"/>
      <c r="E745" s="1258"/>
      <c r="F745" s="1258"/>
      <c r="G745" s="922"/>
    </row>
    <row r="746" spans="1:11">
      <c r="A746" s="279"/>
      <c r="B746" s="279"/>
      <c r="C746" s="279"/>
      <c r="D746" s="174"/>
      <c r="E746" s="85"/>
      <c r="F746" s="85"/>
      <c r="G746" s="909"/>
      <c r="H746" s="126"/>
      <c r="I746" s="126"/>
      <c r="J746" s="126"/>
      <c r="K746" s="126"/>
    </row>
    <row r="747" spans="1:11" ht="14.25">
      <c r="A747" s="124"/>
      <c r="B747" s="362" t="s">
        <v>294</v>
      </c>
      <c r="C747" s="279"/>
      <c r="D747" s="1219" t="s">
        <v>491</v>
      </c>
      <c r="E747" s="1219"/>
      <c r="F747" s="1219"/>
      <c r="G747" s="909"/>
      <c r="H747" s="126"/>
      <c r="I747" s="126"/>
      <c r="J747" s="126"/>
      <c r="K747" s="126"/>
    </row>
    <row r="748" spans="1:11">
      <c r="A748" s="279"/>
      <c r="B748" s="279"/>
      <c r="C748" s="279"/>
      <c r="D748" s="1219"/>
      <c r="E748" s="1219"/>
      <c r="F748" s="1219"/>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9" t="s">
        <v>492</v>
      </c>
      <c r="E750" s="1219"/>
      <c r="F750" s="1219"/>
      <c r="G750" s="909"/>
      <c r="H750" s="126"/>
      <c r="I750" s="126"/>
      <c r="J750" s="126"/>
      <c r="K750" s="126"/>
    </row>
    <row r="751" spans="1:11">
      <c r="A751" s="279"/>
      <c r="B751" s="279"/>
      <c r="C751" s="279"/>
      <c r="D751" s="1219"/>
      <c r="E751" s="1219"/>
      <c r="F751" s="1219"/>
      <c r="G751" s="909"/>
      <c r="H751" s="126"/>
      <c r="I751" s="126"/>
      <c r="J751" s="126"/>
      <c r="K751" s="126"/>
    </row>
    <row r="752" spans="1:11">
      <c r="A752" s="279"/>
      <c r="B752" s="279"/>
      <c r="C752" s="279"/>
      <c r="D752" s="1219"/>
      <c r="E752" s="1219"/>
      <c r="F752" s="1219"/>
      <c r="G752" s="909"/>
      <c r="H752" s="126"/>
      <c r="I752" s="126"/>
      <c r="J752" s="126"/>
      <c r="K752" s="126"/>
    </row>
    <row r="753" spans="1:11">
      <c r="A753" s="279"/>
      <c r="B753" s="279"/>
      <c r="C753" s="279"/>
      <c r="D753" s="368"/>
      <c r="E753" s="368"/>
      <c r="F753" s="368"/>
      <c r="G753" s="909"/>
      <c r="H753" s="126"/>
      <c r="I753" s="126"/>
      <c r="J753" s="126"/>
      <c r="K753" s="126"/>
    </row>
    <row r="754" spans="1:11">
      <c r="A754" s="1234" t="s">
        <v>493</v>
      </c>
      <c r="B754" s="1234"/>
      <c r="C754" s="1234"/>
      <c r="D754" s="1234"/>
      <c r="E754" s="1234"/>
      <c r="F754" s="1234"/>
      <c r="G754" s="1234"/>
    </row>
    <row r="755" spans="1:11">
      <c r="A755" s="123"/>
      <c r="B755" s="123"/>
      <c r="C755" s="123"/>
      <c r="D755" s="128"/>
      <c r="E755" s="3"/>
      <c r="F755" s="85"/>
      <c r="G755" s="909"/>
    </row>
    <row r="756" spans="1:11">
      <c r="A756" s="279"/>
      <c r="B756" s="279"/>
      <c r="C756" s="279"/>
      <c r="D756" s="1264" t="s">
        <v>494</v>
      </c>
      <c r="E756" s="1264"/>
      <c r="F756" s="1264"/>
      <c r="G756" s="909"/>
    </row>
    <row r="757" spans="1:11">
      <c r="A757" s="241"/>
      <c r="B757" s="241"/>
      <c r="C757" s="241"/>
      <c r="D757" s="1248" t="s">
        <v>495</v>
      </c>
      <c r="E757" s="1248"/>
      <c r="F757" s="1248"/>
      <c r="G757" s="909"/>
    </row>
    <row r="758" spans="1:11">
      <c r="A758" s="279"/>
      <c r="B758" s="279"/>
      <c r="C758" s="279"/>
      <c r="D758" s="327"/>
      <c r="E758" s="327"/>
      <c r="F758" s="327"/>
      <c r="G758" s="909"/>
    </row>
    <row r="759" spans="1:11" ht="14.25">
      <c r="A759" s="124"/>
      <c r="B759" s="362" t="s">
        <v>294</v>
      </c>
      <c r="C759" s="279"/>
      <c r="D759" s="1248" t="s">
        <v>496</v>
      </c>
      <c r="E759" s="1248"/>
      <c r="F759" s="1248"/>
      <c r="G759" s="909"/>
    </row>
    <row r="760" spans="1:11">
      <c r="A760" s="279"/>
      <c r="B760" s="279"/>
      <c r="C760" s="279"/>
      <c r="D760" s="327"/>
      <c r="E760" s="1260" t="s">
        <v>497</v>
      </c>
      <c r="F760" s="1260"/>
      <c r="G760" s="909"/>
    </row>
    <row r="761" spans="1:11">
      <c r="A761" s="120"/>
      <c r="B761" s="120"/>
      <c r="C761" s="120"/>
      <c r="D761" s="85"/>
      <c r="E761" s="3"/>
      <c r="F761" s="3"/>
      <c r="G761" s="909"/>
    </row>
    <row r="762" spans="1:11">
      <c r="A762" s="1262" t="s">
        <v>498</v>
      </c>
      <c r="B762" s="1262"/>
      <c r="C762" s="1262"/>
      <c r="D762" s="1262"/>
      <c r="E762" s="1262"/>
      <c r="F762" s="1262"/>
      <c r="G762" s="1262"/>
    </row>
    <row r="763" spans="1:11">
      <c r="A763" s="120"/>
      <c r="B763" s="120"/>
      <c r="C763" s="910"/>
      <c r="D763" s="909"/>
      <c r="E763" s="909"/>
      <c r="F763" s="909"/>
      <c r="G763" s="909"/>
    </row>
    <row r="764" spans="1:11">
      <c r="A764" s="85"/>
      <c r="B764" s="1250" t="s">
        <v>499</v>
      </c>
      <c r="C764" s="1250"/>
      <c r="D764" s="1250"/>
      <c r="E764" s="1250"/>
      <c r="F764" s="1250"/>
      <c r="G764" s="909"/>
    </row>
    <row r="765" spans="1:11">
      <c r="A765" s="13"/>
      <c r="B765" s="13"/>
      <c r="C765" s="279"/>
      <c r="D765" s="3"/>
      <c r="E765" s="3"/>
      <c r="F765" s="3"/>
      <c r="G765" s="909"/>
    </row>
    <row r="766" spans="1:11">
      <c r="A766" s="1262" t="s">
        <v>500</v>
      </c>
      <c r="B766" s="1262"/>
      <c r="C766" s="1262"/>
      <c r="D766" s="1262"/>
      <c r="E766" s="1262"/>
      <c r="F766" s="1262"/>
      <c r="G766" s="1262"/>
    </row>
    <row r="767" spans="1:11">
      <c r="A767" s="120"/>
      <c r="B767" s="120"/>
      <c r="C767" s="120"/>
      <c r="D767" s="915"/>
      <c r="E767" s="3"/>
      <c r="F767" s="3"/>
      <c r="G767" s="909"/>
    </row>
    <row r="768" spans="1:11">
      <c r="A768" s="85"/>
      <c r="B768" s="1230" t="s">
        <v>334</v>
      </c>
      <c r="C768" s="1230"/>
      <c r="D768" s="1230"/>
      <c r="E768" s="1230"/>
      <c r="F768" s="1230"/>
      <c r="G768" s="909"/>
    </row>
    <row r="769" spans="1:7" ht="14.25">
      <c r="A769" s="124"/>
      <c r="B769" s="124"/>
      <c r="C769" s="279"/>
      <c r="D769" s="85"/>
      <c r="E769" s="85"/>
      <c r="F769" s="909"/>
      <c r="G769" s="909"/>
    </row>
    <row r="770" spans="1:7">
      <c r="A770" s="1262" t="s">
        <v>501</v>
      </c>
      <c r="B770" s="1262"/>
      <c r="C770" s="1262"/>
      <c r="D770" s="1262"/>
      <c r="E770" s="1262"/>
      <c r="F770" s="1262"/>
      <c r="G770" s="1262"/>
    </row>
    <row r="771" spans="1:7">
      <c r="A771" s="279"/>
      <c r="B771" s="279"/>
      <c r="C771" s="123"/>
      <c r="D771" s="121"/>
      <c r="E771" s="85"/>
      <c r="F771" s="909"/>
      <c r="G771" s="909"/>
    </row>
    <row r="772" spans="1:7">
      <c r="A772" s="85"/>
      <c r="B772" s="1230" t="s">
        <v>334</v>
      </c>
      <c r="C772" s="1230"/>
      <c r="D772" s="1230"/>
      <c r="E772" s="1230"/>
      <c r="F772" s="1230"/>
      <c r="G772" s="909"/>
    </row>
    <row r="773" spans="1:7">
      <c r="A773" s="85"/>
      <c r="B773" s="85"/>
      <c r="C773" s="910"/>
      <c r="D773" s="909"/>
      <c r="E773" s="909"/>
      <c r="F773" s="909"/>
      <c r="G773" s="909"/>
    </row>
    <row r="774" spans="1:7">
      <c r="A774" s="1262" t="s">
        <v>502</v>
      </c>
      <c r="B774" s="1262"/>
      <c r="C774" s="1262"/>
      <c r="D774" s="1262"/>
      <c r="E774" s="1262"/>
      <c r="F774" s="1262"/>
      <c r="G774" s="1262"/>
    </row>
    <row r="775" spans="1:7">
      <c r="A775" s="85"/>
      <c r="B775" s="85"/>
      <c r="C775" s="279"/>
      <c r="D775" s="3"/>
      <c r="E775" s="3"/>
      <c r="F775" s="3"/>
      <c r="G775" s="3"/>
    </row>
    <row r="776" spans="1:7">
      <c r="A776" s="85"/>
      <c r="B776" s="1230" t="s">
        <v>334</v>
      </c>
      <c r="C776" s="1230"/>
      <c r="D776" s="1230"/>
      <c r="E776" s="1230"/>
      <c r="F776" s="1230"/>
      <c r="G776" s="3"/>
    </row>
    <row r="777" spans="1:7">
      <c r="A777" s="910"/>
      <c r="B777" s="910"/>
      <c r="C777" s="910"/>
      <c r="D777" s="122"/>
      <c r="E777" s="3"/>
      <c r="F777" s="909"/>
      <c r="G777" s="3"/>
    </row>
    <row r="778" spans="1:7">
      <c r="A778" s="1262" t="s">
        <v>503</v>
      </c>
      <c r="B778" s="1262"/>
      <c r="C778" s="1262"/>
      <c r="D778" s="1262"/>
      <c r="E778" s="1262"/>
      <c r="F778" s="1262"/>
      <c r="G778" s="1262"/>
    </row>
    <row r="779" spans="1:7">
      <c r="A779" s="85"/>
      <c r="B779" s="85"/>
      <c r="C779" s="279"/>
      <c r="D779" s="3"/>
      <c r="E779" s="3"/>
      <c r="F779" s="3"/>
      <c r="G779" s="3"/>
    </row>
    <row r="780" spans="1:7">
      <c r="A780" s="85"/>
      <c r="B780" s="1230" t="s">
        <v>334</v>
      </c>
      <c r="C780" s="1230"/>
      <c r="D780" s="1230"/>
      <c r="E780" s="1230"/>
      <c r="F780" s="1230"/>
      <c r="G780" s="3"/>
    </row>
    <row r="781" spans="1:7">
      <c r="A781" s="910"/>
      <c r="B781" s="910"/>
      <c r="C781" s="910"/>
      <c r="D781" s="122"/>
      <c r="E781" s="3"/>
      <c r="F781" s="909"/>
      <c r="G781" s="3"/>
    </row>
    <row r="782" spans="1:7">
      <c r="A782" s="1262" t="s">
        <v>504</v>
      </c>
      <c r="B782" s="1262"/>
      <c r="C782" s="1262"/>
      <c r="D782" s="1262"/>
      <c r="E782" s="1262"/>
      <c r="F782" s="1262"/>
      <c r="G782" s="1262"/>
    </row>
    <row r="783" spans="1:7">
      <c r="A783" s="85"/>
      <c r="B783" s="85"/>
      <c r="C783" s="279"/>
      <c r="D783" s="3"/>
      <c r="E783" s="3"/>
      <c r="F783" s="3"/>
      <c r="G783" s="3"/>
    </row>
    <row r="784" spans="1:7">
      <c r="A784" s="85"/>
      <c r="B784" s="1230" t="s">
        <v>334</v>
      </c>
      <c r="C784" s="1230"/>
      <c r="D784" s="1230"/>
      <c r="E784" s="1230"/>
      <c r="F784" s="1230"/>
      <c r="G784" s="3"/>
    </row>
    <row r="785" spans="1:7">
      <c r="A785" s="279"/>
      <c r="B785" s="279"/>
      <c r="C785" s="279"/>
      <c r="D785" s="122"/>
      <c r="E785" s="3"/>
      <c r="F785" s="3"/>
      <c r="G785" s="3"/>
    </row>
    <row r="786" spans="1:7">
      <c r="A786" s="1262" t="s">
        <v>505</v>
      </c>
      <c r="B786" s="1262"/>
      <c r="C786" s="1262"/>
      <c r="D786" s="1262"/>
      <c r="E786" s="1262"/>
      <c r="F786" s="1262"/>
      <c r="G786" s="1262"/>
    </row>
    <row r="787" spans="1:7">
      <c r="A787" s="85"/>
      <c r="B787" s="85"/>
      <c r="C787" s="279"/>
      <c r="D787" s="3"/>
      <c r="E787" s="3"/>
      <c r="F787" s="3"/>
      <c r="G787" s="3"/>
    </row>
    <row r="788" spans="1:7">
      <c r="A788" s="85"/>
      <c r="B788" s="1230" t="s">
        <v>334</v>
      </c>
      <c r="C788" s="1230"/>
      <c r="D788" s="1230"/>
      <c r="E788" s="1230"/>
      <c r="F788" s="1230"/>
      <c r="G788" s="3"/>
    </row>
    <row r="789" spans="1:7">
      <c r="A789" s="85"/>
      <c r="B789" s="85"/>
      <c r="C789" s="279"/>
      <c r="D789" s="122"/>
      <c r="E789" s="3"/>
      <c r="F789" s="3"/>
      <c r="G789" s="3"/>
    </row>
    <row r="790" spans="1:7">
      <c r="A790" s="1262" t="s">
        <v>506</v>
      </c>
      <c r="B790" s="1262"/>
      <c r="C790" s="1262"/>
      <c r="D790" s="1262"/>
      <c r="E790" s="1262"/>
      <c r="F790" s="1262"/>
      <c r="G790" s="1262"/>
    </row>
    <row r="791" spans="1:7">
      <c r="A791" s="85"/>
      <c r="B791" s="85"/>
      <c r="C791" s="279"/>
      <c r="D791" s="3"/>
      <c r="E791" s="3"/>
      <c r="F791" s="3"/>
      <c r="G791" s="3"/>
    </row>
    <row r="792" spans="1:7">
      <c r="A792" s="85"/>
      <c r="B792" s="1230" t="s">
        <v>334</v>
      </c>
      <c r="C792" s="1230"/>
      <c r="D792" s="1230"/>
      <c r="E792" s="1230"/>
      <c r="F792" s="1230"/>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68" t="s">
        <v>507</v>
      </c>
      <c r="B2" s="1269"/>
      <c r="C2" s="1269"/>
      <c r="D2" s="1269"/>
      <c r="E2" s="1269"/>
      <c r="F2" s="1269"/>
      <c r="G2" s="1269"/>
      <c r="H2" s="1269"/>
      <c r="I2" s="1269"/>
      <c r="J2" s="1269"/>
    </row>
    <row r="3" spans="1:10" ht="15">
      <c r="A3" s="1272" t="s">
        <v>508</v>
      </c>
      <c r="B3" s="1273"/>
      <c r="C3" s="1273"/>
      <c r="D3" s="1273"/>
      <c r="E3" s="1273"/>
      <c r="F3" s="1273"/>
      <c r="G3" s="1273"/>
      <c r="H3" s="1273"/>
      <c r="I3" s="1273"/>
      <c r="J3" s="1273"/>
    </row>
    <row r="4" spans="1:10" ht="12.75"/>
    <row r="5" spans="1:10" ht="12.75" customHeight="1">
      <c r="A5" s="1270" t="s">
        <v>509</v>
      </c>
      <c r="B5" s="1270"/>
      <c r="C5" s="1270"/>
      <c r="D5" s="1270"/>
      <c r="E5" s="1270"/>
      <c r="F5" s="1270"/>
      <c r="G5" s="1270"/>
      <c r="H5" s="1270"/>
      <c r="I5" s="1270"/>
      <c r="J5" s="1270"/>
    </row>
    <row r="6" spans="1:10" ht="12.75">
      <c r="A6" s="1270"/>
      <c r="B6" s="1270"/>
      <c r="C6" s="1270"/>
      <c r="D6" s="1270"/>
      <c r="E6" s="1270"/>
      <c r="F6" s="1270"/>
      <c r="G6" s="1270"/>
      <c r="H6" s="1270"/>
      <c r="I6" s="1270"/>
      <c r="J6" s="1270"/>
    </row>
    <row r="7" spans="1:10" ht="30" customHeight="1">
      <c r="A7" s="1270"/>
      <c r="B7" s="1270"/>
      <c r="C7" s="1270"/>
      <c r="D7" s="1270"/>
      <c r="E7" s="1270"/>
      <c r="F7" s="1270"/>
      <c r="G7" s="1270"/>
      <c r="H7" s="1270"/>
      <c r="I7" s="1270"/>
      <c r="J7" s="1270"/>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4" t="s">
        <v>511</v>
      </c>
      <c r="B11" s="1274"/>
      <c r="C11" s="1274"/>
      <c r="D11" s="1274"/>
      <c r="E11" s="1274"/>
      <c r="F11" s="1274"/>
      <c r="G11" s="1274"/>
      <c r="H11" s="1274"/>
      <c r="I11" s="1274"/>
      <c r="J11" s="1274"/>
    </row>
    <row r="12" spans="1:10" ht="12.75">
      <c r="A12" s="1274"/>
      <c r="B12" s="1274"/>
      <c r="C12" s="1274"/>
      <c r="D12" s="1274"/>
      <c r="E12" s="1274"/>
      <c r="F12" s="1274"/>
      <c r="G12" s="1274"/>
      <c r="H12" s="1274"/>
      <c r="I12" s="1274"/>
      <c r="J12" s="1274"/>
    </row>
    <row r="13" spans="1:10" ht="12.75">
      <c r="A13" s="1274"/>
      <c r="B13" s="1274"/>
      <c r="C13" s="1274"/>
      <c r="D13" s="1274"/>
      <c r="E13" s="1274"/>
      <c r="F13" s="1274"/>
      <c r="G13" s="1274"/>
      <c r="H13" s="1274"/>
      <c r="I13" s="1274"/>
      <c r="J13" s="1274"/>
    </row>
    <row r="14" spans="1:10" ht="12.75">
      <c r="A14" s="1274"/>
      <c r="B14" s="1274"/>
      <c r="C14" s="1274"/>
      <c r="D14" s="1274"/>
      <c r="E14" s="1274"/>
      <c r="F14" s="1274"/>
      <c r="G14" s="1274"/>
      <c r="H14" s="1274"/>
      <c r="I14" s="1274"/>
      <c r="J14" s="1274"/>
    </row>
    <row r="15" spans="1:10" ht="12.75">
      <c r="A15" s="1274"/>
      <c r="B15" s="1274"/>
      <c r="C15" s="1274"/>
      <c r="D15" s="1274"/>
      <c r="E15" s="1274"/>
      <c r="F15" s="1274"/>
      <c r="G15" s="1274"/>
      <c r="H15" s="1274"/>
      <c r="I15" s="1274"/>
      <c r="J15" s="1274"/>
    </row>
    <row r="16" spans="1:10" ht="12.75">
      <c r="A16" s="1274"/>
      <c r="B16" s="1274"/>
      <c r="C16" s="1274"/>
      <c r="D16" s="1274"/>
      <c r="E16" s="1274"/>
      <c r="F16" s="1274"/>
      <c r="G16" s="1274"/>
      <c r="H16" s="1274"/>
      <c r="I16" s="1274"/>
      <c r="J16" s="1274"/>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3" t="s">
        <v>513</v>
      </c>
      <c r="B20" s="1273"/>
      <c r="C20" s="1273"/>
      <c r="D20" s="1273"/>
      <c r="E20" s="127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0" t="s">
        <v>514</v>
      </c>
      <c r="B57" s="1270"/>
      <c r="C57" s="1270"/>
      <c r="D57" s="1270"/>
      <c r="E57" s="1270"/>
      <c r="F57" s="1270"/>
      <c r="G57" s="1270"/>
      <c r="H57" s="1270"/>
      <c r="I57" s="1270"/>
      <c r="J57" s="1270"/>
    </row>
    <row r="58" spans="1:10" ht="12.75">
      <c r="A58" s="1270"/>
      <c r="B58" s="1270"/>
      <c r="C58" s="1270"/>
      <c r="D58" s="1270"/>
      <c r="E58" s="1270"/>
      <c r="F58" s="1270"/>
      <c r="G58" s="1270"/>
      <c r="H58" s="1270"/>
      <c r="I58" s="1270"/>
      <c r="J58" s="1270"/>
    </row>
    <row r="59" spans="1:10" ht="12.75">
      <c r="A59" s="1270"/>
      <c r="B59" s="1270"/>
      <c r="C59" s="1270"/>
      <c r="D59" s="1270"/>
      <c r="E59" s="1270"/>
      <c r="F59" s="1270"/>
      <c r="G59" s="1270"/>
      <c r="H59" s="1270"/>
      <c r="I59" s="1270"/>
      <c r="J59" s="1270"/>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1" t="s">
        <v>515</v>
      </c>
      <c r="B72" s="1271"/>
      <c r="C72" s="1271"/>
      <c r="D72" s="1271"/>
      <c r="E72" s="1271"/>
      <c r="F72" s="1271"/>
      <c r="G72" s="1271"/>
      <c r="H72" s="1271"/>
      <c r="I72" s="1271"/>
    </row>
    <row r="73" spans="1:9" ht="12.75">
      <c r="A73" s="1225" t="s">
        <v>13</v>
      </c>
      <c r="B73" s="1225"/>
      <c r="C73" s="1225"/>
      <c r="D73" s="1225"/>
      <c r="E73" s="1225"/>
    </row>
    <row r="74" spans="1:9" ht="12.75">
      <c r="A74" s="1225" t="s">
        <v>14</v>
      </c>
      <c r="B74" s="1225"/>
      <c r="C74" s="1225"/>
      <c r="D74" s="1225"/>
      <c r="E74" s="1225"/>
    </row>
    <row r="75" spans="1:9" ht="12.75">
      <c r="A75" s="1225" t="s">
        <v>516</v>
      </c>
      <c r="B75" s="1225"/>
      <c r="C75" s="1225"/>
      <c r="D75" s="1225"/>
      <c r="E75" s="122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80" zoomScaleNormal="100" zoomScaleSheetLayoutView="100" workbookViewId="0">
      <selection activeCell="D1031" sqref="D1031:F1031"/>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92" t="s">
        <v>517</v>
      </c>
      <c r="B2" s="1292"/>
      <c r="C2" s="1292"/>
      <c r="D2" s="1292"/>
      <c r="E2" s="1292"/>
      <c r="F2" s="1292"/>
      <c r="G2" s="1292"/>
      <c r="H2" s="1292"/>
      <c r="I2" s="1292"/>
    </row>
    <row r="3" spans="1:13">
      <c r="A3" s="1288" t="s">
        <v>518</v>
      </c>
      <c r="B3" s="1288"/>
      <c r="C3" s="1288"/>
      <c r="D3" s="1288"/>
      <c r="E3" s="1288"/>
      <c r="F3" s="1288"/>
      <c r="G3" s="1288"/>
      <c r="H3" s="1288"/>
      <c r="I3" s="1288"/>
    </row>
    <row r="4" spans="1:13">
      <c r="A4" s="1288"/>
      <c r="B4" s="1288"/>
      <c r="C4" s="1273"/>
      <c r="D4" s="1273"/>
      <c r="E4" s="1273"/>
      <c r="F4" s="1273"/>
      <c r="G4" s="1273"/>
    </row>
    <row r="5" spans="1:13">
      <c r="A5" s="1288"/>
      <c r="B5" s="1288"/>
      <c r="C5" s="1273"/>
      <c r="D5" s="1273"/>
      <c r="E5" s="1273"/>
      <c r="F5" s="1273"/>
      <c r="G5" s="1273"/>
    </row>
    <row r="6" spans="1:13">
      <c r="A6" s="1292" t="s">
        <v>300</v>
      </c>
      <c r="B6" s="1292"/>
      <c r="C6" s="1293"/>
      <c r="D6" s="1293"/>
      <c r="E6" s="1293"/>
      <c r="F6" s="1293"/>
      <c r="G6" s="1293"/>
      <c r="I6" s="416" t="s">
        <v>519</v>
      </c>
    </row>
    <row r="7" spans="1:13">
      <c r="A7" s="1292" t="s">
        <v>301</v>
      </c>
      <c r="B7" s="1292"/>
      <c r="C7" s="1293"/>
      <c r="D7" s="1293"/>
      <c r="E7" s="1293"/>
      <c r="F7" s="1293"/>
      <c r="G7" s="1293"/>
      <c r="I7" s="416" t="s">
        <v>520</v>
      </c>
    </row>
    <row r="8" spans="1:13">
      <c r="A8" s="407"/>
      <c r="B8" s="407"/>
      <c r="C8" s="408"/>
      <c r="D8" s="408"/>
      <c r="E8" s="408"/>
      <c r="F8" s="408"/>
    </row>
    <row r="9" spans="1:13">
      <c r="A9" s="1234" t="s">
        <v>302</v>
      </c>
      <c r="B9" s="1234"/>
      <c r="C9" s="1234"/>
      <c r="D9" s="1234"/>
      <c r="E9" s="1234"/>
      <c r="F9" s="1234"/>
      <c r="G9" s="1234"/>
      <c r="H9" s="952"/>
      <c r="I9" s="953"/>
    </row>
    <row r="10" spans="1:13">
      <c r="A10" s="408"/>
      <c r="B10" s="408"/>
      <c r="E10" s="329"/>
    </row>
    <row r="11" spans="1:13" ht="13.7" customHeight="1">
      <c r="C11" s="408"/>
      <c r="D11" s="1294" t="s">
        <v>303</v>
      </c>
      <c r="E11" s="1294"/>
      <c r="F11" s="1294"/>
    </row>
    <row r="12" spans="1:13">
      <c r="C12" s="408"/>
      <c r="D12" s="1294"/>
      <c r="E12" s="1294"/>
      <c r="F12" s="1294"/>
    </row>
    <row r="13" spans="1:13">
      <c r="A13" s="409"/>
      <c r="B13" s="409"/>
      <c r="C13" s="409"/>
      <c r="D13" s="1246" t="s">
        <v>304</v>
      </c>
      <c r="E13" s="1246"/>
      <c r="F13" s="1246"/>
      <c r="M13" s="72"/>
    </row>
    <row r="14" spans="1:13">
      <c r="A14" s="409"/>
      <c r="B14" s="409"/>
      <c r="C14" s="409"/>
      <c r="D14" s="402"/>
      <c r="L14" s="235"/>
    </row>
    <row r="15" spans="1:13" ht="14.25">
      <c r="A15" s="410"/>
      <c r="B15" s="411" t="s">
        <v>2750</v>
      </c>
      <c r="C15" s="409"/>
      <c r="D15" s="1245" t="s">
        <v>521</v>
      </c>
      <c r="E15" s="1245"/>
      <c r="F15" s="1245"/>
      <c r="I15" s="329" t="s">
        <v>522</v>
      </c>
    </row>
    <row r="16" spans="1:13">
      <c r="A16" s="409"/>
      <c r="B16" s="409"/>
      <c r="C16" s="409"/>
      <c r="D16" s="1245"/>
      <c r="E16" s="1245"/>
      <c r="F16" s="1245"/>
    </row>
    <row r="17" spans="1:9">
      <c r="A17" s="409"/>
      <c r="B17" s="409"/>
      <c r="C17" s="409"/>
      <c r="D17" s="1245"/>
      <c r="E17" s="1245"/>
      <c r="F17" s="1245"/>
    </row>
    <row r="18" spans="1:9">
      <c r="A18" s="409"/>
      <c r="B18" s="409"/>
      <c r="C18" s="409"/>
      <c r="D18" s="372"/>
      <c r="E18" s="235" t="s">
        <v>523</v>
      </c>
      <c r="F18" s="372"/>
    </row>
    <row r="19" spans="1:9">
      <c r="A19" s="409"/>
      <c r="B19" s="409"/>
      <c r="C19" s="409"/>
    </row>
    <row r="20" spans="1:9" ht="14.25">
      <c r="A20" s="410"/>
      <c r="B20" s="411" t="s">
        <v>2750</v>
      </c>
      <c r="D20" s="1245" t="s">
        <v>524</v>
      </c>
      <c r="E20" s="1245"/>
      <c r="F20" s="1245"/>
      <c r="I20" s="329" t="s">
        <v>525</v>
      </c>
    </row>
    <row r="21" spans="1:9" ht="14.25">
      <c r="A21" s="410"/>
      <c r="D21" s="1245"/>
      <c r="E21" s="1245"/>
      <c r="F21" s="1245"/>
    </row>
    <row r="22" spans="1:9" ht="14.25">
      <c r="A22" s="410"/>
      <c r="D22" s="317"/>
      <c r="E22" s="72" t="s">
        <v>526</v>
      </c>
      <c r="F22" s="317"/>
    </row>
    <row r="23" spans="1:9" ht="14.25">
      <c r="A23" s="410"/>
      <c r="B23" s="410"/>
      <c r="D23" s="373"/>
    </row>
    <row r="24" spans="1:9" ht="14.25">
      <c r="A24" s="410"/>
      <c r="B24" s="411" t="s">
        <v>2751</v>
      </c>
      <c r="D24" s="1245" t="s">
        <v>307</v>
      </c>
      <c r="E24" s="1245"/>
      <c r="F24" s="1245"/>
      <c r="I24" s="329" t="s">
        <v>525</v>
      </c>
    </row>
    <row r="25" spans="1:9" ht="14.25">
      <c r="A25" s="410"/>
      <c r="B25" s="410"/>
      <c r="D25" s="1245"/>
      <c r="E25" s="1245"/>
      <c r="F25" s="1245"/>
    </row>
    <row r="26" spans="1:9"/>
    <row r="27" spans="1:9" ht="14.25">
      <c r="A27" s="410"/>
      <c r="B27" s="411" t="s">
        <v>2750</v>
      </c>
      <c r="D27" s="1245" t="s">
        <v>527</v>
      </c>
      <c r="E27" s="1245"/>
      <c r="F27" s="1245"/>
      <c r="I27" s="329" t="s">
        <v>528</v>
      </c>
    </row>
    <row r="28" spans="1:9">
      <c r="D28" s="1245"/>
      <c r="E28" s="1245"/>
      <c r="F28" s="1245"/>
    </row>
    <row r="29" spans="1:9">
      <c r="D29" s="1245"/>
      <c r="E29" s="1245"/>
      <c r="F29" s="1245"/>
    </row>
    <row r="30" spans="1:9">
      <c r="D30" s="1245"/>
      <c r="E30" s="1245"/>
      <c r="F30" s="1245"/>
    </row>
    <row r="31" spans="1:9">
      <c r="D31" s="1245"/>
      <c r="E31" s="1245"/>
      <c r="F31" s="1245"/>
    </row>
    <row r="32" spans="1:9">
      <c r="D32" s="374"/>
    </row>
    <row r="33" spans="1:9">
      <c r="B33" s="411" t="s">
        <v>2751</v>
      </c>
      <c r="D33" s="1245" t="s">
        <v>529</v>
      </c>
      <c r="E33" s="1245"/>
      <c r="F33" s="1245"/>
      <c r="I33" s="329" t="s">
        <v>522</v>
      </c>
    </row>
    <row r="34" spans="1:9">
      <c r="D34" s="1245"/>
      <c r="E34" s="1245"/>
      <c r="F34" s="1245"/>
    </row>
    <row r="35" spans="1:9" ht="14.25">
      <c r="A35" s="410"/>
      <c r="B35" s="410"/>
      <c r="D35" s="374"/>
    </row>
    <row r="36" spans="1:9" ht="14.45" customHeight="1">
      <c r="A36" s="410"/>
      <c r="B36" s="411" t="s">
        <v>2751</v>
      </c>
      <c r="D36" s="1245" t="s">
        <v>530</v>
      </c>
      <c r="E36" s="1245"/>
      <c r="F36" s="1245"/>
      <c r="I36" s="329" t="s">
        <v>531</v>
      </c>
    </row>
    <row r="37" spans="1:9" ht="14.25">
      <c r="A37" s="410"/>
      <c r="B37" s="410"/>
      <c r="D37" s="1245"/>
      <c r="E37" s="1245"/>
      <c r="F37" s="1245"/>
    </row>
    <row r="38" spans="1:9" ht="14.25">
      <c r="A38" s="410"/>
      <c r="B38" s="410"/>
      <c r="D38" s="1245"/>
      <c r="E38" s="1245"/>
      <c r="F38" s="1245"/>
    </row>
    <row r="39" spans="1:9" ht="14.25">
      <c r="A39" s="410"/>
      <c r="B39" s="410"/>
      <c r="D39" s="1245"/>
      <c r="E39" s="1245"/>
      <c r="F39" s="1245"/>
    </row>
    <row r="40" spans="1:9" ht="14.25">
      <c r="A40" s="410"/>
      <c r="B40" s="410"/>
    </row>
    <row r="41" spans="1:9" ht="14.25">
      <c r="A41" s="410"/>
      <c r="B41" s="411" t="s">
        <v>2751</v>
      </c>
      <c r="D41" s="1245" t="s">
        <v>311</v>
      </c>
      <c r="E41" s="1245"/>
      <c r="F41" s="1245"/>
    </row>
    <row r="42" spans="1:9" ht="14.25">
      <c r="A42" s="410"/>
      <c r="B42" s="410"/>
      <c r="D42" s="1245"/>
      <c r="E42" s="1245"/>
      <c r="F42" s="1245"/>
    </row>
    <row r="43" spans="1:9" ht="14.25">
      <c r="A43" s="410"/>
      <c r="B43" s="410"/>
      <c r="D43" s="1245"/>
      <c r="E43" s="1245"/>
      <c r="F43" s="1245"/>
    </row>
    <row r="44" spans="1:9" ht="14.25">
      <c r="A44" s="410"/>
      <c r="B44" s="410"/>
      <c r="D44" s="1245"/>
      <c r="E44" s="1245"/>
      <c r="F44" s="1245"/>
    </row>
    <row r="45" spans="1:9" ht="14.25">
      <c r="A45" s="410"/>
      <c r="B45" s="410"/>
      <c r="D45" s="1245"/>
      <c r="E45" s="1245"/>
      <c r="F45" s="1245"/>
    </row>
    <row r="46" spans="1:9" ht="14.25">
      <c r="A46" s="410"/>
      <c r="B46" s="410"/>
      <c r="D46" s="372"/>
      <c r="E46" s="372"/>
      <c r="F46" s="372"/>
    </row>
    <row r="47" spans="1:9" ht="14.25">
      <c r="A47" s="410"/>
      <c r="B47" s="411" t="s">
        <v>2750</v>
      </c>
      <c r="D47" s="1245" t="s">
        <v>312</v>
      </c>
      <c r="E47" s="1245"/>
      <c r="F47" s="1245"/>
      <c r="I47" s="329" t="s">
        <v>531</v>
      </c>
    </row>
    <row r="48" spans="1:9" ht="14.25">
      <c r="A48" s="410"/>
      <c r="B48" s="410"/>
      <c r="D48" s="1245"/>
      <c r="E48" s="1245"/>
      <c r="F48" s="1245"/>
    </row>
    <row r="49" spans="1:9" ht="14.25">
      <c r="A49" s="410"/>
      <c r="B49" s="410"/>
      <c r="D49" s="1245"/>
      <c r="E49" s="1245"/>
      <c r="F49" s="1245"/>
    </row>
    <row r="50" spans="1:9" ht="23.25" customHeight="1">
      <c r="A50" s="410"/>
      <c r="B50" s="410"/>
      <c r="D50" s="1245"/>
      <c r="E50" s="1245"/>
      <c r="F50" s="1245"/>
    </row>
    <row r="51" spans="1:9" ht="14.25">
      <c r="A51" s="410"/>
      <c r="B51" s="410"/>
      <c r="D51" s="373"/>
    </row>
    <row r="52" spans="1:9" ht="14.45" customHeight="1">
      <c r="A52" s="410"/>
      <c r="B52" s="411" t="s">
        <v>2751</v>
      </c>
      <c r="D52" s="1245" t="s">
        <v>313</v>
      </c>
      <c r="E52" s="1245"/>
      <c r="F52" s="1245"/>
      <c r="I52" s="329" t="s">
        <v>531</v>
      </c>
    </row>
    <row r="53" spans="1:9" ht="14.25">
      <c r="A53" s="410"/>
      <c r="B53" s="410"/>
      <c r="D53" s="1245"/>
      <c r="E53" s="1245"/>
      <c r="F53" s="1245"/>
    </row>
    <row r="54" spans="1:9" ht="14.25">
      <c r="A54" s="410"/>
      <c r="B54" s="410"/>
      <c r="D54" s="1245"/>
      <c r="E54" s="1245"/>
      <c r="F54" s="1245"/>
    </row>
    <row r="55" spans="1:9" ht="14.25">
      <c r="A55" s="410"/>
      <c r="B55" s="410"/>
    </row>
    <row r="56" spans="1:9" ht="14.25">
      <c r="A56" s="410"/>
      <c r="B56" s="411" t="s">
        <v>2751</v>
      </c>
      <c r="D56" s="1290" t="s">
        <v>314</v>
      </c>
      <c r="E56" s="1290"/>
      <c r="F56" s="1290"/>
    </row>
    <row r="57" spans="1:9" ht="14.25">
      <c r="A57" s="410"/>
      <c r="B57" s="410"/>
      <c r="D57" s="1290"/>
      <c r="E57" s="1290"/>
      <c r="F57" s="1290"/>
    </row>
    <row r="58" spans="1:9" ht="14.25">
      <c r="A58" s="410"/>
      <c r="B58" s="410"/>
      <c r="D58" s="317" t="s">
        <v>532</v>
      </c>
      <c r="E58" s="372"/>
      <c r="F58" s="372"/>
    </row>
    <row r="59" spans="1:9" ht="14.25">
      <c r="A59" s="410"/>
      <c r="B59" s="410"/>
      <c r="D59" s="372"/>
      <c r="E59" s="235" t="s">
        <v>523</v>
      </c>
      <c r="F59" s="372"/>
    </row>
    <row r="60" spans="1:9">
      <c r="D60" s="374"/>
    </row>
    <row r="61" spans="1:9" ht="14.25">
      <c r="A61" s="410"/>
      <c r="B61" s="411" t="s">
        <v>2751</v>
      </c>
      <c r="D61" s="1245" t="s">
        <v>315</v>
      </c>
      <c r="E61" s="1245"/>
      <c r="F61" s="1245"/>
      <c r="I61" s="329" t="s">
        <v>533</v>
      </c>
    </row>
    <row r="62" spans="1:9">
      <c r="D62" s="1245"/>
      <c r="E62" s="1245"/>
      <c r="F62" s="1245"/>
    </row>
    <row r="63" spans="1:9">
      <c r="D63" s="1245"/>
      <c r="E63" s="1245"/>
      <c r="F63" s="1245"/>
    </row>
    <row r="64" spans="1:9"/>
    <row r="65" spans="1:9" ht="14.25">
      <c r="A65" s="410"/>
      <c r="B65" s="411" t="s">
        <v>2751</v>
      </c>
      <c r="D65" s="1245" t="s">
        <v>316</v>
      </c>
      <c r="E65" s="1245"/>
      <c r="F65" s="1245"/>
      <c r="I65" s="329" t="s">
        <v>534</v>
      </c>
    </row>
    <row r="66" spans="1:9">
      <c r="D66" s="1245"/>
      <c r="E66" s="1245"/>
      <c r="F66" s="1245"/>
    </row>
    <row r="67" spans="1:9"/>
    <row r="68" spans="1:9" ht="14.25">
      <c r="A68" s="410"/>
      <c r="B68" s="411" t="s">
        <v>2751</v>
      </c>
      <c r="D68" s="1245" t="s">
        <v>317</v>
      </c>
      <c r="E68" s="1245"/>
      <c r="F68" s="1245"/>
    </row>
    <row r="69" spans="1:9">
      <c r="D69" s="1245"/>
      <c r="E69" s="1245"/>
      <c r="F69" s="1245"/>
      <c r="I69" s="329" t="s">
        <v>528</v>
      </c>
    </row>
    <row r="70" spans="1:9">
      <c r="D70" s="1245"/>
      <c r="E70" s="1245"/>
      <c r="F70" s="1245"/>
    </row>
    <row r="71" spans="1:9"/>
    <row r="72" spans="1:9" ht="14.25">
      <c r="A72" s="410"/>
      <c r="B72" s="411" t="s">
        <v>2751</v>
      </c>
      <c r="D72" s="1245" t="s">
        <v>318</v>
      </c>
      <c r="E72" s="1245"/>
      <c r="F72" s="1245"/>
      <c r="I72" s="329" t="s">
        <v>528</v>
      </c>
    </row>
    <row r="73" spans="1:9">
      <c r="D73" s="1245"/>
      <c r="E73" s="1245"/>
      <c r="F73" s="1245"/>
    </row>
    <row r="74" spans="1:9" ht="14.25">
      <c r="A74" s="410"/>
      <c r="B74" s="410"/>
      <c r="D74" s="373"/>
    </row>
    <row r="75" spans="1:9">
      <c r="A75" s="1234" t="s">
        <v>319</v>
      </c>
      <c r="B75" s="1234"/>
      <c r="C75" s="1234"/>
      <c r="D75" s="1234"/>
      <c r="E75" s="1234"/>
      <c r="F75" s="1234"/>
      <c r="G75" s="1234"/>
      <c r="H75" s="952"/>
      <c r="I75" s="953"/>
    </row>
    <row r="76" spans="1:9"/>
    <row r="77" spans="1:9">
      <c r="C77" s="412"/>
      <c r="D77" s="1247" t="s">
        <v>320</v>
      </c>
      <c r="E77" s="1247"/>
      <c r="F77" s="1247"/>
    </row>
    <row r="78" spans="1:9">
      <c r="A78" s="373"/>
      <c r="B78" s="373"/>
      <c r="D78" s="1245" t="s">
        <v>321</v>
      </c>
      <c r="E78" s="1245"/>
      <c r="F78" s="1245"/>
    </row>
    <row r="79" spans="1:9">
      <c r="A79" s="373"/>
      <c r="B79" s="373"/>
    </row>
    <row r="80" spans="1:9" ht="13.7" customHeight="1">
      <c r="A80" s="410"/>
      <c r="B80" s="411" t="s">
        <v>2750</v>
      </c>
      <c r="D80" s="1245" t="s">
        <v>535</v>
      </c>
      <c r="E80" s="1245"/>
      <c r="F80" s="1245"/>
      <c r="I80" s="329" t="s">
        <v>536</v>
      </c>
    </row>
    <row r="81" spans="1:9" ht="14.25">
      <c r="A81" s="410"/>
      <c r="B81" s="410"/>
      <c r="D81" s="1245"/>
      <c r="E81" s="1245"/>
      <c r="F81" s="1245"/>
    </row>
    <row r="82" spans="1:9" ht="14.25">
      <c r="A82" s="410"/>
      <c r="B82" s="410"/>
      <c r="D82" s="1245"/>
      <c r="E82" s="1245"/>
      <c r="F82" s="1245"/>
    </row>
    <row r="83" spans="1:9" ht="14.25">
      <c r="A83" s="410"/>
      <c r="B83" s="410"/>
      <c r="D83" s="1245"/>
      <c r="E83" s="1245"/>
      <c r="F83" s="1245"/>
    </row>
    <row r="84" spans="1:9" ht="14.25">
      <c r="A84" s="410"/>
      <c r="B84" s="410"/>
      <c r="D84" s="1245"/>
      <c r="E84" s="1245"/>
      <c r="F84" s="1245"/>
    </row>
    <row r="85" spans="1:9" ht="14.25">
      <c r="A85" s="410"/>
      <c r="B85" s="410"/>
      <c r="D85" s="1245"/>
      <c r="E85" s="1245"/>
      <c r="F85" s="1245"/>
    </row>
    <row r="86" spans="1:9" ht="14.25">
      <c r="A86" s="410"/>
      <c r="B86" s="410"/>
      <c r="D86" s="1245"/>
      <c r="E86" s="1245"/>
      <c r="F86" s="1245"/>
    </row>
    <row r="87" spans="1:9" ht="14.25">
      <c r="A87" s="410"/>
      <c r="B87" s="410"/>
      <c r="D87" s="1245"/>
      <c r="E87" s="1245"/>
      <c r="F87" s="1245"/>
    </row>
    <row r="88" spans="1:9" ht="14.25">
      <c r="A88" s="410"/>
      <c r="B88" s="410"/>
      <c r="D88" s="310"/>
      <c r="E88" s="310"/>
      <c r="F88" s="310"/>
    </row>
    <row r="89" spans="1:9" ht="15" customHeight="1">
      <c r="A89" s="410"/>
      <c r="B89" s="411" t="s">
        <v>2750</v>
      </c>
      <c r="D89" s="1245" t="s">
        <v>537</v>
      </c>
      <c r="E89" s="1245"/>
      <c r="F89" s="1245"/>
      <c r="I89" s="329" t="s">
        <v>538</v>
      </c>
    </row>
    <row r="90" spans="1:9" ht="14.25">
      <c r="A90" s="410"/>
      <c r="B90" s="410"/>
      <c r="D90" s="1245"/>
      <c r="E90" s="1245"/>
      <c r="F90" s="1245"/>
    </row>
    <row r="91" spans="1:9" ht="14.25">
      <c r="A91" s="410"/>
      <c r="B91" s="410"/>
      <c r="D91" s="372"/>
      <c r="E91" s="372"/>
      <c r="F91" s="372"/>
    </row>
    <row r="92" spans="1:9" ht="14.25">
      <c r="A92" s="410"/>
      <c r="B92" s="411" t="s">
        <v>2750</v>
      </c>
      <c r="D92" s="1245" t="s">
        <v>539</v>
      </c>
      <c r="E92" s="1245"/>
      <c r="F92" s="1245"/>
      <c r="I92" s="329" t="s">
        <v>540</v>
      </c>
    </row>
    <row r="93" spans="1:9" ht="14.25">
      <c r="A93" s="410"/>
      <c r="B93" s="410"/>
      <c r="D93" s="1245"/>
      <c r="E93" s="1245"/>
      <c r="F93" s="1245"/>
    </row>
    <row r="94" spans="1:9" ht="14.25">
      <c r="A94" s="410"/>
      <c r="B94" s="410"/>
      <c r="D94" s="1245"/>
      <c r="E94" s="1245"/>
      <c r="F94" s="1245"/>
    </row>
    <row r="95" spans="1:9" ht="14.25">
      <c r="A95" s="410"/>
      <c r="B95" s="410"/>
      <c r="D95" s="372"/>
      <c r="E95" s="372"/>
      <c r="F95" s="372"/>
    </row>
    <row r="96" spans="1:9" ht="14.25">
      <c r="A96" s="410"/>
      <c r="B96" s="411" t="s">
        <v>2750</v>
      </c>
      <c r="D96" s="1245" t="s">
        <v>541</v>
      </c>
      <c r="E96" s="1245"/>
      <c r="F96" s="1245"/>
      <c r="I96" s="329" t="s">
        <v>542</v>
      </c>
    </row>
    <row r="97" spans="1:9" s="908" customFormat="1" ht="14.25">
      <c r="A97" s="906"/>
      <c r="B97" s="906"/>
      <c r="C97" s="907"/>
      <c r="D97" s="1245"/>
      <c r="E97" s="1245"/>
      <c r="F97" s="1245"/>
      <c r="I97" s="944"/>
    </row>
    <row r="98" spans="1:9" ht="14.25">
      <c r="A98" s="410"/>
      <c r="B98" s="410"/>
      <c r="D98" s="317"/>
      <c r="E98" s="235" t="s">
        <v>543</v>
      </c>
      <c r="F98" s="372"/>
    </row>
    <row r="99" spans="1:9" ht="14.25">
      <c r="A99" s="410"/>
      <c r="B99" s="410"/>
      <c r="D99" s="310"/>
      <c r="E99" s="310"/>
      <c r="F99" s="310"/>
    </row>
    <row r="100" spans="1:9" ht="14.25">
      <c r="A100" s="410"/>
      <c r="B100" s="411" t="s">
        <v>2751</v>
      </c>
      <c r="D100" s="1245" t="s">
        <v>544</v>
      </c>
      <c r="E100" s="1245"/>
      <c r="F100" s="1245"/>
      <c r="I100" s="329" t="s">
        <v>545</v>
      </c>
    </row>
    <row r="101" spans="1:9" ht="14.25">
      <c r="A101" s="410"/>
      <c r="B101" s="410"/>
      <c r="D101" s="1245"/>
      <c r="E101" s="1245"/>
      <c r="F101" s="1245"/>
    </row>
    <row r="102" spans="1:9" ht="14.25">
      <c r="A102" s="410"/>
      <c r="B102" s="410"/>
      <c r="D102" s="372"/>
      <c r="E102" s="372"/>
      <c r="F102" s="372"/>
    </row>
    <row r="103" spans="1:9" ht="14.45" customHeight="1">
      <c r="A103" s="410"/>
      <c r="B103" s="411" t="s">
        <v>2751</v>
      </c>
      <c r="D103" s="1245" t="s">
        <v>546</v>
      </c>
      <c r="E103" s="1245"/>
      <c r="F103" s="1245"/>
      <c r="I103" s="329" t="s">
        <v>547</v>
      </c>
    </row>
    <row r="104" spans="1:9" ht="14.25">
      <c r="A104" s="410"/>
      <c r="B104" s="410"/>
      <c r="D104" s="1245"/>
      <c r="E104" s="1245"/>
      <c r="F104" s="1245"/>
    </row>
    <row r="105" spans="1:9" ht="14.25">
      <c r="A105" s="410"/>
      <c r="B105" s="410"/>
      <c r="D105" s="1245"/>
      <c r="E105" s="1245"/>
      <c r="F105" s="1245"/>
    </row>
    <row r="106" spans="1:9" ht="14.25">
      <c r="A106" s="410"/>
      <c r="B106" s="410"/>
      <c r="D106" s="1245"/>
      <c r="E106" s="1245"/>
      <c r="F106" s="1245"/>
    </row>
    <row r="107" spans="1:9" ht="14.25">
      <c r="A107" s="410"/>
      <c r="B107" s="410"/>
      <c r="D107" s="1245"/>
      <c r="E107" s="1245"/>
      <c r="F107" s="1245"/>
    </row>
    <row r="108" spans="1:9" ht="14.25">
      <c r="A108" s="410"/>
      <c r="B108" s="410"/>
      <c r="D108" s="1245"/>
      <c r="E108" s="1245"/>
      <c r="F108" s="1245"/>
    </row>
    <row r="109" spans="1:9" ht="14.25">
      <c r="A109" s="410"/>
      <c r="B109" s="410"/>
      <c r="D109" s="1245"/>
      <c r="E109" s="1245"/>
      <c r="F109" s="1245"/>
    </row>
    <row r="110" spans="1:9" ht="14.25">
      <c r="A110" s="410"/>
      <c r="B110" s="410"/>
      <c r="D110" s="1245"/>
      <c r="E110" s="1245"/>
      <c r="F110" s="1245"/>
    </row>
    <row r="111" spans="1:9" ht="14.25">
      <c r="A111" s="410"/>
      <c r="B111" s="410"/>
      <c r="D111" s="1245"/>
      <c r="E111" s="1245"/>
      <c r="F111" s="1245"/>
    </row>
    <row r="112" spans="1:9" ht="14.25">
      <c r="A112" s="410"/>
      <c r="B112" s="410"/>
      <c r="D112" s="1245"/>
      <c r="E112" s="1245"/>
      <c r="F112" s="1245"/>
    </row>
    <row r="113" spans="1:9" ht="14.25">
      <c r="A113" s="410"/>
      <c r="B113" s="410"/>
      <c r="D113" s="1245"/>
      <c r="E113" s="1245"/>
      <c r="F113" s="1245"/>
    </row>
    <row r="114" spans="1:9" ht="14.25">
      <c r="A114" s="410"/>
      <c r="B114" s="410"/>
      <c r="D114" s="1245"/>
      <c r="E114" s="1245"/>
      <c r="F114" s="1245"/>
    </row>
    <row r="115" spans="1:9" ht="14.25">
      <c r="A115" s="410"/>
      <c r="B115" s="410"/>
      <c r="D115" s="1245"/>
      <c r="E115" s="1245"/>
      <c r="F115" s="1245"/>
    </row>
    <row r="116" spans="1:9" ht="14.25">
      <c r="A116" s="410"/>
      <c r="B116" s="410"/>
      <c r="D116" s="1245"/>
      <c r="E116" s="1245"/>
      <c r="F116" s="1245"/>
    </row>
    <row r="117" spans="1:9" ht="14.25">
      <c r="A117" s="410"/>
      <c r="B117" s="410"/>
      <c r="D117" s="1245"/>
      <c r="E117" s="1245"/>
      <c r="F117" s="1245"/>
    </row>
    <row r="118" spans="1:9" ht="14.25">
      <c r="A118" s="410"/>
      <c r="B118" s="410"/>
      <c r="D118" s="449"/>
      <c r="E118" s="449"/>
      <c r="F118" s="449"/>
    </row>
    <row r="119" spans="1:9" ht="14.25" customHeight="1">
      <c r="A119" s="410"/>
      <c r="B119" s="411" t="s">
        <v>2751</v>
      </c>
      <c r="D119" s="1256" t="s">
        <v>324</v>
      </c>
      <c r="E119" s="1256"/>
      <c r="F119" s="1256"/>
    </row>
    <row r="120" spans="1:9" ht="14.25">
      <c r="A120" s="410"/>
      <c r="B120" s="410"/>
      <c r="D120" s="1256"/>
      <c r="E120" s="1256"/>
      <c r="F120" s="1256"/>
    </row>
    <row r="121" spans="1:9" ht="14.25">
      <c r="A121" s="410"/>
      <c r="B121" s="410"/>
      <c r="D121" s="1256"/>
      <c r="E121" s="1256"/>
      <c r="F121" s="1256"/>
    </row>
    <row r="122" spans="1:9" ht="14.25">
      <c r="A122" s="410"/>
      <c r="B122" s="410"/>
      <c r="D122" s="1256"/>
      <c r="E122" s="1256"/>
      <c r="F122" s="1256"/>
    </row>
    <row r="123" spans="1:9" ht="14.25">
      <c r="A123" s="410"/>
      <c r="B123" s="410"/>
      <c r="D123" s="1256"/>
      <c r="E123" s="1256"/>
      <c r="F123" s="1256"/>
    </row>
    <row r="124" spans="1:9" ht="14.25">
      <c r="A124" s="410"/>
      <c r="B124" s="410"/>
      <c r="D124" s="1256"/>
      <c r="E124" s="1256"/>
      <c r="F124" s="1256"/>
    </row>
    <row r="125" spans="1:9" ht="14.25">
      <c r="A125" s="410"/>
      <c r="B125" s="410"/>
      <c r="D125" s="1256"/>
      <c r="E125" s="1256"/>
      <c r="F125" s="1256"/>
    </row>
    <row r="126" spans="1:9" ht="14.25">
      <c r="A126" s="410"/>
      <c r="B126" s="410"/>
      <c r="D126" s="1256"/>
      <c r="E126" s="1256"/>
      <c r="F126" s="1256"/>
    </row>
    <row r="127" spans="1:9">
      <c r="C127" s="327"/>
      <c r="D127" s="450"/>
      <c r="E127" s="450"/>
      <c r="F127" s="450"/>
    </row>
    <row r="128" spans="1:9" ht="14.25">
      <c r="A128" s="410"/>
      <c r="B128" s="411" t="s">
        <v>2750</v>
      </c>
      <c r="C128" s="327"/>
      <c r="D128" s="1256" t="s">
        <v>548</v>
      </c>
      <c r="E128" s="1256"/>
      <c r="F128" s="1256"/>
      <c r="I128" s="329" t="s">
        <v>549</v>
      </c>
    </row>
    <row r="129" spans="1:9" ht="14.25">
      <c r="A129" s="410"/>
      <c r="B129" s="410"/>
      <c r="C129" s="327"/>
      <c r="D129" s="1256"/>
      <c r="E129" s="1256"/>
      <c r="F129" s="1256"/>
    </row>
    <row r="130" spans="1:9"/>
    <row r="131" spans="1:9" ht="14.25">
      <c r="A131" s="410"/>
      <c r="B131" s="411" t="s">
        <v>2750</v>
      </c>
      <c r="D131" s="1245" t="s">
        <v>327</v>
      </c>
      <c r="E131" s="1245"/>
      <c r="F131" s="1245"/>
      <c r="I131" s="329" t="s">
        <v>549</v>
      </c>
    </row>
    <row r="132" spans="1:9">
      <c r="D132" s="1245"/>
      <c r="E132" s="1245"/>
      <c r="F132" s="1245"/>
    </row>
    <row r="133" spans="1:9">
      <c r="D133" s="1245"/>
      <c r="E133" s="1245"/>
      <c r="F133" s="1245"/>
    </row>
    <row r="134" spans="1:9">
      <c r="D134" s="1245"/>
      <c r="E134" s="1245"/>
      <c r="F134" s="1245"/>
    </row>
    <row r="135" spans="1:9">
      <c r="D135" s="1245"/>
      <c r="E135" s="1245"/>
      <c r="F135" s="1245"/>
    </row>
    <row r="136" spans="1:9"/>
    <row r="137" spans="1:9" ht="14.25">
      <c r="A137" s="410"/>
      <c r="B137" s="411" t="s">
        <v>2750</v>
      </c>
      <c r="D137" s="1245" t="s">
        <v>328</v>
      </c>
      <c r="E137" s="1245"/>
      <c r="F137" s="1245"/>
      <c r="I137" s="329" t="s">
        <v>550</v>
      </c>
    </row>
    <row r="138" spans="1:9" s="342" customFormat="1" ht="13.7" customHeight="1">
      <c r="A138" s="414"/>
      <c r="B138" s="414"/>
      <c r="C138" s="414"/>
      <c r="D138" s="1245"/>
      <c r="E138" s="1245"/>
      <c r="F138" s="1245"/>
      <c r="I138" s="945"/>
    </row>
    <row r="139" spans="1:9" ht="13.7" customHeight="1">
      <c r="D139" s="1245"/>
      <c r="E139" s="1245"/>
      <c r="F139" s="1245"/>
    </row>
    <row r="140" spans="1:9" ht="13.7" customHeight="1">
      <c r="D140" s="1245"/>
      <c r="E140" s="1245"/>
      <c r="F140" s="1245"/>
    </row>
    <row r="141" spans="1:9" ht="13.7" customHeight="1">
      <c r="D141" s="1245"/>
      <c r="E141" s="1245"/>
      <c r="F141" s="1245"/>
    </row>
    <row r="142" spans="1:9" ht="13.7" customHeight="1">
      <c r="A142" s="415"/>
      <c r="B142" s="415"/>
      <c r="D142" s="1245"/>
      <c r="E142" s="1245"/>
      <c r="F142" s="1245"/>
    </row>
    <row r="143" spans="1:9" ht="13.7" customHeight="1">
      <c r="D143" s="1245"/>
      <c r="E143" s="1245"/>
      <c r="F143" s="1245"/>
    </row>
    <row r="144" spans="1:9" ht="13.7" customHeight="1">
      <c r="D144" s="1245"/>
      <c r="E144" s="1245"/>
      <c r="F144" s="1245"/>
    </row>
    <row r="145" spans="2:9" ht="13.7" customHeight="1">
      <c r="D145" s="1245"/>
      <c r="E145" s="1245"/>
      <c r="F145" s="1245"/>
    </row>
    <row r="146" spans="2:9" ht="13.7" customHeight="1">
      <c r="D146" s="1245"/>
      <c r="E146" s="1245"/>
      <c r="F146" s="1245"/>
    </row>
    <row r="147" spans="2:9" ht="13.7" customHeight="1">
      <c r="D147" s="1245"/>
      <c r="E147" s="1245"/>
      <c r="F147" s="1245"/>
    </row>
    <row r="148" spans="2:9" ht="13.7" customHeight="1">
      <c r="D148" s="1245"/>
      <c r="E148" s="1245"/>
      <c r="F148" s="1245"/>
    </row>
    <row r="149" spans="2:9" ht="13.7" customHeight="1">
      <c r="D149" s="1245"/>
      <c r="E149" s="1245"/>
      <c r="F149" s="1245"/>
    </row>
    <row r="150" spans="2:9" ht="13.7" customHeight="1">
      <c r="D150" s="402"/>
      <c r="E150" s="373"/>
      <c r="F150" s="373"/>
    </row>
    <row r="151" spans="2:9" ht="13.7" customHeight="1">
      <c r="B151" s="411" t="s">
        <v>2751</v>
      </c>
      <c r="D151" s="1245" t="s">
        <v>329</v>
      </c>
      <c r="E151" s="1245"/>
      <c r="F151" s="1245"/>
      <c r="I151" s="329" t="s">
        <v>551</v>
      </c>
    </row>
    <row r="152" spans="2:9" ht="13.7" customHeight="1">
      <c r="D152" s="1245"/>
      <c r="E152" s="1245"/>
      <c r="F152" s="1245"/>
    </row>
    <row r="153" spans="2:9" ht="13.7" customHeight="1">
      <c r="D153" s="1245"/>
      <c r="E153" s="1245"/>
      <c r="F153" s="1245"/>
    </row>
    <row r="154" spans="2:9" ht="13.7" customHeight="1">
      <c r="D154" s="1245"/>
      <c r="E154" s="1245"/>
      <c r="F154" s="1245"/>
    </row>
    <row r="155" spans="2:9" ht="13.7" customHeight="1">
      <c r="D155" s="1245"/>
      <c r="E155" s="1245"/>
      <c r="F155" s="1245"/>
    </row>
    <row r="156" spans="2:9" ht="13.7" customHeight="1">
      <c r="D156" s="1245"/>
      <c r="E156" s="1245"/>
      <c r="F156" s="1245"/>
    </row>
    <row r="157" spans="2:9" ht="13.7" customHeight="1">
      <c r="D157" s="1245"/>
      <c r="E157" s="1245"/>
      <c r="F157" s="1245"/>
    </row>
    <row r="158" spans="2:9" ht="13.7" customHeight="1">
      <c r="D158" s="1245"/>
      <c r="E158" s="1245"/>
      <c r="F158" s="1245"/>
    </row>
    <row r="159" spans="2:9" ht="13.7" customHeight="1">
      <c r="D159" s="1245"/>
      <c r="E159" s="1245"/>
      <c r="F159" s="1245"/>
    </row>
    <row r="160" spans="2:9" ht="13.7" customHeight="1">
      <c r="D160" s="1245"/>
      <c r="E160" s="1245"/>
      <c r="F160" s="1245"/>
    </row>
    <row r="161" spans="1:9" ht="13.7" customHeight="1">
      <c r="D161" s="1245"/>
      <c r="E161" s="1245"/>
      <c r="F161" s="1245"/>
    </row>
    <row r="162" spans="1:9" ht="13.7" customHeight="1">
      <c r="D162" s="1245"/>
      <c r="E162" s="1245"/>
      <c r="F162" s="1245"/>
    </row>
    <row r="163" spans="1:9" ht="13.7" customHeight="1">
      <c r="D163" s="1245"/>
      <c r="E163" s="1245"/>
      <c r="F163" s="1245"/>
    </row>
    <row r="164" spans="1:9" ht="13.7" customHeight="1">
      <c r="D164" s="1245"/>
      <c r="E164" s="1245"/>
      <c r="F164" s="1245"/>
    </row>
    <row r="165" spans="1:9" ht="13.7" customHeight="1">
      <c r="D165" s="1245"/>
      <c r="E165" s="1245"/>
      <c r="F165" s="1245"/>
    </row>
    <row r="166" spans="1:9" ht="13.7" customHeight="1">
      <c r="D166" s="1245"/>
      <c r="E166" s="1245"/>
      <c r="F166" s="1245"/>
    </row>
    <row r="167" spans="1:9" ht="13.7" customHeight="1">
      <c r="D167" s="1245"/>
      <c r="E167" s="1245"/>
      <c r="F167" s="1245"/>
    </row>
    <row r="168" spans="1:9" ht="13.7" customHeight="1">
      <c r="D168" s="1245"/>
      <c r="E168" s="1245"/>
      <c r="F168" s="1245"/>
    </row>
    <row r="169" spans="1:9" ht="13.7" customHeight="1">
      <c r="D169" s="1289" t="s">
        <v>552</v>
      </c>
      <c r="E169" s="1289"/>
      <c r="F169" s="1289"/>
      <c r="G169" s="433"/>
    </row>
    <row r="170" spans="1:9" ht="13.7" customHeight="1">
      <c r="D170" s="1232"/>
      <c r="E170" s="1232"/>
      <c r="F170" s="1232"/>
      <c r="G170" s="1232"/>
    </row>
    <row r="171" spans="1:9" ht="14.45" customHeight="1">
      <c r="A171" s="415"/>
      <c r="B171" s="411" t="s">
        <v>2751</v>
      </c>
      <c r="C171" s="402"/>
      <c r="D171" s="1228" t="s">
        <v>553</v>
      </c>
      <c r="E171" s="1228"/>
      <c r="F171" s="1228"/>
      <c r="G171" s="402"/>
      <c r="I171" s="329" t="s">
        <v>540</v>
      </c>
    </row>
    <row r="172" spans="1:9" ht="14.45" customHeight="1">
      <c r="A172" s="415"/>
      <c r="B172" s="415"/>
      <c r="C172" s="402"/>
      <c r="D172" s="1228"/>
      <c r="E172" s="1228"/>
      <c r="F172" s="1228"/>
      <c r="G172" s="402"/>
    </row>
    <row r="173" spans="1:9" ht="13.7" customHeight="1">
      <c r="A173" s="415"/>
      <c r="B173" s="415"/>
      <c r="C173" s="402"/>
      <c r="D173" s="1228"/>
      <c r="E173" s="1228"/>
      <c r="F173" s="1228"/>
      <c r="G173" s="402"/>
    </row>
    <row r="174" spans="1:9" ht="13.7" customHeight="1">
      <c r="A174" s="415"/>
      <c r="B174" s="415"/>
      <c r="C174" s="402"/>
      <c r="D174" s="402"/>
      <c r="E174" s="402"/>
      <c r="F174" s="402"/>
      <c r="G174" s="402"/>
    </row>
    <row r="175" spans="1:9" ht="13.7" customHeight="1">
      <c r="A175" s="415"/>
      <c r="B175" s="411" t="s">
        <v>2750</v>
      </c>
      <c r="C175" s="402"/>
      <c r="D175" s="1228" t="s">
        <v>331</v>
      </c>
      <c r="E175" s="1228"/>
      <c r="F175" s="1228"/>
      <c r="G175" s="402"/>
      <c r="I175" s="329" t="s">
        <v>554</v>
      </c>
    </row>
    <row r="176" spans="1:9" ht="13.7" customHeight="1">
      <c r="A176" s="415"/>
      <c r="B176" s="415"/>
      <c r="C176" s="402"/>
      <c r="D176" s="1228"/>
      <c r="E176" s="1228"/>
      <c r="F176" s="1228"/>
      <c r="G176" s="402"/>
    </row>
    <row r="177" spans="1:9" ht="13.7" customHeight="1">
      <c r="A177" s="415"/>
      <c r="B177" s="415"/>
      <c r="C177" s="402"/>
      <c r="D177" s="1228"/>
      <c r="E177" s="1228"/>
      <c r="F177" s="1228"/>
      <c r="G177" s="402"/>
    </row>
    <row r="178" spans="1:9" ht="13.7" customHeight="1">
      <c r="A178" s="415"/>
      <c r="B178" s="415"/>
      <c r="C178" s="402"/>
      <c r="D178" s="1228"/>
      <c r="E178" s="1228"/>
      <c r="F178" s="1228"/>
      <c r="G178" s="402"/>
    </row>
    <row r="179" spans="1:9" ht="13.7" customHeight="1">
      <c r="D179" s="373"/>
      <c r="E179" s="373"/>
      <c r="F179" s="373"/>
    </row>
    <row r="180" spans="1:9" ht="13.7" customHeight="1">
      <c r="B180" s="411" t="s">
        <v>2751</v>
      </c>
      <c r="D180" s="1233" t="s">
        <v>555</v>
      </c>
      <c r="E180" s="1233"/>
      <c r="F180" s="1233"/>
      <c r="I180" s="329" t="s">
        <v>556</v>
      </c>
    </row>
    <row r="181" spans="1:9" ht="13.7" customHeight="1">
      <c r="D181" s="1233"/>
      <c r="E181" s="1233"/>
      <c r="F181" s="1233"/>
    </row>
    <row r="182" spans="1:9" ht="13.7" customHeight="1">
      <c r="D182" s="1233"/>
      <c r="E182" s="1233"/>
      <c r="F182" s="1233"/>
    </row>
    <row r="183" spans="1:9" ht="13.7" customHeight="1">
      <c r="A183" s="416"/>
      <c r="B183" s="416"/>
      <c r="E183" s="373"/>
      <c r="F183" s="373"/>
    </row>
    <row r="184" spans="1:9">
      <c r="A184" s="1234" t="s">
        <v>557</v>
      </c>
      <c r="B184" s="1234"/>
      <c r="C184" s="1234"/>
      <c r="D184" s="1234"/>
      <c r="E184" s="1234"/>
      <c r="F184" s="1234"/>
      <c r="G184" s="1234"/>
      <c r="H184" s="952"/>
      <c r="I184" s="953"/>
    </row>
    <row r="185" spans="1:9" ht="12" customHeight="1">
      <c r="D185" s="373"/>
      <c r="E185" s="373"/>
      <c r="F185" s="373"/>
    </row>
    <row r="186" spans="1:9">
      <c r="B186" s="1248" t="s">
        <v>334</v>
      </c>
      <c r="C186" s="1248"/>
      <c r="D186" s="1248"/>
      <c r="E186" s="1248"/>
      <c r="F186" s="1248"/>
    </row>
    <row r="187" spans="1:9">
      <c r="B187" s="317" t="s">
        <v>558</v>
      </c>
      <c r="C187" s="317"/>
      <c r="D187" s="317"/>
      <c r="E187" s="317"/>
      <c r="F187" s="317"/>
    </row>
    <row r="188" spans="1:9" ht="12" customHeight="1">
      <c r="A188" s="408"/>
      <c r="B188" s="408"/>
      <c r="C188" s="408"/>
    </row>
    <row r="189" spans="1:9">
      <c r="A189" s="1234" t="s">
        <v>335</v>
      </c>
      <c r="B189" s="1234"/>
      <c r="C189" s="1234"/>
      <c r="D189" s="1234"/>
      <c r="E189" s="1234"/>
      <c r="F189" s="1234"/>
      <c r="G189" s="1234"/>
      <c r="H189" s="952"/>
      <c r="I189" s="953"/>
    </row>
    <row r="190" spans="1:9" ht="12" customHeight="1">
      <c r="A190" s="329"/>
      <c r="B190" s="329"/>
      <c r="E190" s="329"/>
    </row>
    <row r="191" spans="1:9" ht="13.7" customHeight="1">
      <c r="A191" s="329"/>
      <c r="B191" s="329"/>
      <c r="D191" s="1247" t="s">
        <v>559</v>
      </c>
      <c r="E191" s="1247"/>
      <c r="F191" s="1247"/>
    </row>
    <row r="192" spans="1:9">
      <c r="A192" s="329"/>
      <c r="B192" s="329"/>
      <c r="D192" s="1247"/>
      <c r="E192" s="1247"/>
      <c r="F192" s="1247"/>
    </row>
    <row r="193" spans="1:9">
      <c r="A193" s="329"/>
      <c r="B193" s="329"/>
      <c r="D193" s="1248" t="s">
        <v>560</v>
      </c>
      <c r="E193" s="1248"/>
      <c r="F193" s="1248"/>
    </row>
    <row r="194" spans="1:9">
      <c r="A194" s="329"/>
      <c r="B194" s="329"/>
      <c r="D194" s="317"/>
      <c r="E194" s="317"/>
      <c r="F194" s="317"/>
    </row>
    <row r="195" spans="1:9">
      <c r="A195" s="329"/>
      <c r="B195" s="411" t="s">
        <v>2750</v>
      </c>
      <c r="D195" s="1230" t="s">
        <v>561</v>
      </c>
      <c r="E195" s="1230"/>
      <c r="F195" s="1230"/>
      <c r="I195" s="329" t="s">
        <v>562</v>
      </c>
    </row>
    <row r="196" spans="1:9">
      <c r="A196" s="329"/>
      <c r="B196" s="329"/>
      <c r="D196" s="1250" t="s">
        <v>563</v>
      </c>
      <c r="E196" s="1250"/>
      <c r="F196" s="1250"/>
    </row>
    <row r="197" spans="1:9">
      <c r="A197" s="329"/>
      <c r="B197" s="329"/>
      <c r="D197" s="72" t="s">
        <v>564</v>
      </c>
      <c r="E197" s="1291" t="s">
        <v>565</v>
      </c>
      <c r="F197" s="1291"/>
    </row>
    <row r="198" spans="1:9">
      <c r="A198" s="329"/>
      <c r="B198" s="329"/>
      <c r="D198" s="3"/>
      <c r="E198" s="3"/>
      <c r="F198" s="3"/>
    </row>
    <row r="199" spans="1:9">
      <c r="A199" s="329"/>
      <c r="B199" s="411" t="s">
        <v>2751</v>
      </c>
      <c r="D199" s="1250" t="s">
        <v>566</v>
      </c>
      <c r="E199" s="1250"/>
      <c r="F199" s="1250"/>
      <c r="I199" s="329" t="s">
        <v>567</v>
      </c>
    </row>
    <row r="200" spans="1:9">
      <c r="A200" s="329"/>
      <c r="B200" s="329"/>
      <c r="D200" s="1230" t="s">
        <v>563</v>
      </c>
      <c r="E200" s="1230"/>
      <c r="F200" s="1230"/>
    </row>
    <row r="201" spans="1:9">
      <c r="A201" s="329"/>
      <c r="B201" s="329"/>
      <c r="D201" s="50" t="s">
        <v>568</v>
      </c>
      <c r="E201" s="1291" t="s">
        <v>569</v>
      </c>
      <c r="F201" s="1291"/>
    </row>
    <row r="202" spans="1:9">
      <c r="A202" s="329"/>
      <c r="B202" s="329"/>
      <c r="D202" s="3"/>
      <c r="E202" s="3"/>
      <c r="F202" s="3"/>
    </row>
    <row r="203" spans="1:9">
      <c r="A203" s="329"/>
      <c r="B203" s="411" t="s">
        <v>2750</v>
      </c>
      <c r="D203" s="1250" t="s">
        <v>570</v>
      </c>
      <c r="E203" s="1250"/>
      <c r="F203" s="1250"/>
      <c r="I203" s="329" t="s">
        <v>571</v>
      </c>
    </row>
    <row r="204" spans="1:9">
      <c r="A204" s="329"/>
      <c r="B204" s="329"/>
      <c r="D204" s="1230" t="s">
        <v>563</v>
      </c>
      <c r="E204" s="1230"/>
      <c r="F204" s="1230"/>
    </row>
    <row r="205" spans="1:9">
      <c r="A205" s="329"/>
      <c r="B205" s="329"/>
      <c r="D205" s="50" t="s">
        <v>564</v>
      </c>
      <c r="E205" s="1291" t="s">
        <v>572</v>
      </c>
      <c r="F205" s="1291"/>
    </row>
    <row r="206" spans="1:9">
      <c r="A206" s="329"/>
      <c r="B206" s="329"/>
      <c r="D206" s="317"/>
      <c r="E206" s="317"/>
      <c r="F206" s="317"/>
    </row>
    <row r="207" spans="1:9" ht="14.25" customHeight="1">
      <c r="A207" s="410"/>
      <c r="B207" s="411" t="s">
        <v>2751</v>
      </c>
      <c r="D207" s="311" t="s">
        <v>573</v>
      </c>
      <c r="E207" s="310"/>
      <c r="F207" s="310"/>
      <c r="I207" s="329" t="s">
        <v>574</v>
      </c>
    </row>
    <row r="208" spans="1:9" ht="14.25">
      <c r="A208" s="410"/>
      <c r="B208" s="410"/>
      <c r="D208" s="1230" t="s">
        <v>563</v>
      </c>
      <c r="E208" s="1230"/>
      <c r="F208" s="1230"/>
    </row>
    <row r="209" spans="1:9">
      <c r="D209" s="310"/>
      <c r="E209" s="1291" t="s">
        <v>575</v>
      </c>
      <c r="F209" s="1291"/>
    </row>
    <row r="210" spans="1:9">
      <c r="D210" s="374"/>
    </row>
    <row r="211" spans="1:9">
      <c r="B211" s="411" t="s">
        <v>2751</v>
      </c>
      <c r="D211" s="1250" t="s">
        <v>576</v>
      </c>
      <c r="E211" s="1250"/>
      <c r="F211" s="1250"/>
      <c r="I211" s="329" t="s">
        <v>577</v>
      </c>
    </row>
    <row r="212" spans="1:9">
      <c r="D212" s="1230" t="s">
        <v>563</v>
      </c>
      <c r="E212" s="1230"/>
      <c r="F212" s="1230"/>
    </row>
    <row r="213" spans="1:9">
      <c r="D213" s="50" t="s">
        <v>564</v>
      </c>
      <c r="E213" s="1291" t="s">
        <v>578</v>
      </c>
      <c r="F213" s="1291"/>
    </row>
    <row r="214" spans="1:9">
      <c r="D214" s="378"/>
      <c r="E214" s="378"/>
      <c r="F214" s="378"/>
    </row>
    <row r="215" spans="1:9" ht="14.25">
      <c r="A215" s="410"/>
      <c r="B215" s="411" t="s">
        <v>2751</v>
      </c>
      <c r="D215" s="1245" t="s">
        <v>579</v>
      </c>
      <c r="E215" s="1245"/>
      <c r="F215" s="1245"/>
    </row>
    <row r="216" spans="1:9" ht="14.45" customHeight="1">
      <c r="A216" s="410"/>
      <c r="B216" s="327"/>
      <c r="D216" s="1245"/>
      <c r="E216" s="1245"/>
      <c r="F216" s="1245"/>
    </row>
    <row r="217" spans="1:9" ht="14.25">
      <c r="A217" s="410"/>
      <c r="D217" s="1245"/>
      <c r="E217" s="1245"/>
      <c r="F217" s="1245"/>
    </row>
    <row r="218" spans="1:9" ht="14.25">
      <c r="A218" s="410"/>
      <c r="D218" s="1245"/>
      <c r="E218" s="1245"/>
      <c r="F218" s="1245"/>
    </row>
    <row r="219" spans="1:9">
      <c r="D219" s="378"/>
      <c r="E219" s="378"/>
      <c r="F219" s="378"/>
    </row>
    <row r="220" spans="1:9">
      <c r="A220" s="1234" t="s">
        <v>341</v>
      </c>
      <c r="B220" s="1234"/>
      <c r="C220" s="1234"/>
      <c r="D220" s="1234"/>
      <c r="E220" s="1234"/>
      <c r="F220" s="1234"/>
      <c r="G220" s="1234"/>
      <c r="H220" s="952"/>
      <c r="I220" s="953"/>
    </row>
    <row r="221" spans="1:9" ht="12" customHeight="1">
      <c r="D221" s="373"/>
      <c r="E221" s="373"/>
      <c r="F221" s="373"/>
    </row>
    <row r="222" spans="1:9">
      <c r="C222" s="412"/>
      <c r="D222" s="1244" t="s">
        <v>342</v>
      </c>
      <c r="E222" s="1244"/>
      <c r="F222" s="1244"/>
    </row>
    <row r="223" spans="1:9">
      <c r="A223" s="408"/>
      <c r="B223" s="408"/>
      <c r="C223" s="408"/>
      <c r="D223" s="1246" t="s">
        <v>343</v>
      </c>
      <c r="E223" s="1246"/>
      <c r="F223" s="1246"/>
    </row>
    <row r="224" spans="1:9" ht="12" customHeight="1">
      <c r="A224" s="416"/>
      <c r="B224" s="416"/>
      <c r="C224" s="416"/>
    </row>
    <row r="225" spans="1:9" ht="13.7" customHeight="1">
      <c r="A225" s="416"/>
      <c r="C225" s="416"/>
      <c r="D225" s="1244" t="s">
        <v>344</v>
      </c>
      <c r="E225" s="1244"/>
      <c r="F225" s="1244"/>
      <c r="I225" s="329" t="s">
        <v>580</v>
      </c>
    </row>
    <row r="226" spans="1:9" ht="14.25">
      <c r="A226" s="410"/>
      <c r="B226" s="411" t="s">
        <v>2750</v>
      </c>
      <c r="D226" s="1245" t="s">
        <v>581</v>
      </c>
      <c r="E226" s="1245"/>
      <c r="F226" s="1245"/>
    </row>
    <row r="227" spans="1:9" ht="14.25" customHeight="1">
      <c r="A227" s="410"/>
      <c r="B227" s="410"/>
      <c r="D227" s="1245"/>
      <c r="E227" s="1245"/>
      <c r="F227" s="1245"/>
    </row>
    <row r="228" spans="1:9" ht="14.25" customHeight="1">
      <c r="A228" s="410"/>
      <c r="B228" s="410"/>
      <c r="D228" s="1245"/>
      <c r="E228" s="1245"/>
      <c r="F228" s="1245"/>
    </row>
    <row r="229" spans="1:9" ht="14.25">
      <c r="A229" s="410"/>
      <c r="B229" s="410"/>
      <c r="D229" s="1245"/>
      <c r="E229" s="1245"/>
      <c r="F229" s="1245"/>
    </row>
    <row r="230" spans="1:9" ht="14.25">
      <c r="A230" s="410"/>
      <c r="B230" s="410"/>
      <c r="D230" s="372"/>
      <c r="E230" s="372"/>
      <c r="F230" s="372"/>
    </row>
    <row r="231" spans="1:9" ht="14.25">
      <c r="A231" s="410"/>
      <c r="B231" s="411" t="s">
        <v>2750</v>
      </c>
      <c r="D231" s="1245" t="s">
        <v>582</v>
      </c>
      <c r="E231" s="1245"/>
      <c r="F231" s="1245"/>
      <c r="I231" s="329" t="s">
        <v>583</v>
      </c>
    </row>
    <row r="232" spans="1:9" ht="14.25">
      <c r="A232" s="410"/>
      <c r="B232" s="410"/>
      <c r="D232" s="1245"/>
      <c r="E232" s="1245"/>
      <c r="F232" s="1245"/>
    </row>
    <row r="233" spans="1:9" ht="14.25">
      <c r="A233" s="410"/>
      <c r="B233" s="410"/>
      <c r="D233" s="1245"/>
      <c r="E233" s="1245"/>
      <c r="F233" s="1245"/>
    </row>
    <row r="234" spans="1:9" ht="14.25">
      <c r="A234" s="410"/>
      <c r="B234" s="410"/>
      <c r="D234" s="1245"/>
      <c r="E234" s="1245"/>
      <c r="F234" s="1245"/>
    </row>
    <row r="235" spans="1:9" ht="14.25" customHeight="1">
      <c r="A235" s="410"/>
      <c r="B235" s="410"/>
      <c r="D235" s="1245"/>
      <c r="E235" s="1245"/>
      <c r="F235" s="1245"/>
    </row>
    <row r="236" spans="1:9" ht="14.25" customHeight="1">
      <c r="A236" s="410"/>
      <c r="B236" s="410"/>
      <c r="D236" s="372"/>
      <c r="E236" s="372"/>
      <c r="F236" s="372"/>
    </row>
    <row r="237" spans="1:9" ht="14.25">
      <c r="A237" s="410"/>
      <c r="B237" s="410"/>
      <c r="D237" s="1245" t="s">
        <v>347</v>
      </c>
      <c r="E237" s="1245"/>
      <c r="F237" s="1245"/>
      <c r="I237" s="329" t="s">
        <v>580</v>
      </c>
    </row>
    <row r="238" spans="1:9" ht="14.25">
      <c r="A238" s="410"/>
      <c r="B238" s="410"/>
      <c r="D238" s="1245"/>
      <c r="E238" s="1245"/>
      <c r="F238" s="1245"/>
    </row>
    <row r="239" spans="1:9" ht="14.25">
      <c r="A239" s="410"/>
      <c r="B239" s="410"/>
      <c r="D239" s="1245"/>
      <c r="E239" s="1245"/>
      <c r="F239" s="1245"/>
    </row>
    <row r="240" spans="1:9" ht="14.25">
      <c r="A240" s="410"/>
      <c r="B240" s="410"/>
      <c r="D240" s="1245"/>
      <c r="E240" s="1245"/>
      <c r="F240" s="1245"/>
    </row>
    <row r="241" spans="1:9" ht="14.25">
      <c r="A241" s="410"/>
      <c r="B241" s="410"/>
      <c r="D241" s="1245"/>
      <c r="E241" s="1245"/>
      <c r="F241" s="1245"/>
    </row>
    <row r="242" spans="1:9" ht="14.25">
      <c r="A242" s="410"/>
      <c r="B242" s="410"/>
      <c r="D242" s="373"/>
      <c r="E242" s="373"/>
      <c r="F242" s="373"/>
    </row>
    <row r="243" spans="1:9" ht="14.25">
      <c r="A243" s="410"/>
      <c r="B243" s="411" t="s">
        <v>2751</v>
      </c>
      <c r="D243" s="1245" t="s">
        <v>584</v>
      </c>
      <c r="E243" s="1245"/>
      <c r="F243" s="1245"/>
      <c r="I243" s="329" t="s">
        <v>585</v>
      </c>
    </row>
    <row r="244" spans="1:9" ht="14.25">
      <c r="A244" s="410"/>
      <c r="B244" s="410"/>
      <c r="D244" s="1245"/>
      <c r="E244" s="1245"/>
      <c r="F244" s="1245"/>
    </row>
    <row r="245" spans="1:9" ht="14.25">
      <c r="A245" s="410"/>
      <c r="B245" s="410"/>
      <c r="D245" s="1245"/>
      <c r="E245" s="1245"/>
      <c r="F245" s="1245"/>
    </row>
    <row r="246" spans="1:9" ht="14.25">
      <c r="A246" s="410"/>
      <c r="B246" s="410"/>
      <c r="E246" s="961" t="s">
        <v>586</v>
      </c>
    </row>
    <row r="247" spans="1:9" ht="14.25">
      <c r="A247" s="410"/>
      <c r="B247" s="410"/>
      <c r="D247" s="373"/>
      <c r="E247" s="373"/>
      <c r="F247" s="373"/>
    </row>
    <row r="248" spans="1:9" ht="14.45" customHeight="1">
      <c r="A248" s="410"/>
      <c r="B248" s="411" t="s">
        <v>2751</v>
      </c>
      <c r="D248" s="1245" t="s">
        <v>587</v>
      </c>
      <c r="E248" s="1245"/>
      <c r="F248" s="1245"/>
      <c r="I248" s="329" t="s">
        <v>588</v>
      </c>
    </row>
    <row r="249" spans="1:9" ht="14.25">
      <c r="A249" s="410"/>
      <c r="B249" s="410"/>
      <c r="D249" s="1245"/>
      <c r="E249" s="1245"/>
      <c r="F249" s="1245"/>
    </row>
    <row r="250" spans="1:9" ht="14.25">
      <c r="A250" s="410"/>
      <c r="B250" s="410"/>
      <c r="D250" s="1245"/>
      <c r="E250" s="1245"/>
      <c r="F250" s="1245"/>
    </row>
    <row r="251" spans="1:9" ht="14.25">
      <c r="A251" s="410"/>
      <c r="B251" s="410"/>
      <c r="D251" s="1245"/>
      <c r="E251" s="1245"/>
      <c r="F251" s="1245"/>
    </row>
    <row r="252" spans="1:9" ht="14.25">
      <c r="A252" s="410"/>
      <c r="B252" s="410"/>
      <c r="D252" s="1245"/>
      <c r="E252" s="1245"/>
      <c r="F252" s="1245"/>
    </row>
    <row r="253" spans="1:9" ht="14.25">
      <c r="A253" s="410"/>
      <c r="B253" s="410"/>
      <c r="D253" s="372"/>
      <c r="E253" s="372"/>
      <c r="F253" s="372"/>
    </row>
    <row r="254" spans="1:9" ht="14.25">
      <c r="A254" s="410"/>
      <c r="B254" s="411" t="s">
        <v>2750</v>
      </c>
      <c r="D254" s="317" t="s">
        <v>589</v>
      </c>
      <c r="E254" s="372"/>
      <c r="F254" s="372"/>
      <c r="I254" s="329" t="s">
        <v>590</v>
      </c>
    </row>
    <row r="255" spans="1:9" ht="14.25">
      <c r="A255" s="410"/>
      <c r="B255" s="410"/>
      <c r="E255" s="961" t="s">
        <v>591</v>
      </c>
    </row>
    <row r="256" spans="1:9">
      <c r="D256" s="373"/>
      <c r="E256" s="373"/>
      <c r="F256" s="373"/>
    </row>
    <row r="257" spans="1:9" ht="14.25">
      <c r="A257" s="410"/>
      <c r="B257" s="411" t="s">
        <v>2750</v>
      </c>
      <c r="D257" s="1245" t="s">
        <v>351</v>
      </c>
      <c r="E257" s="1245"/>
      <c r="F257" s="1245"/>
    </row>
    <row r="258" spans="1:9" ht="14.25">
      <c r="A258" s="410"/>
      <c r="B258" s="410"/>
      <c r="D258" s="1245"/>
      <c r="E258" s="1245"/>
      <c r="F258" s="1245"/>
    </row>
    <row r="259" spans="1:9">
      <c r="D259" s="417"/>
    </row>
    <row r="260" spans="1:9">
      <c r="A260" s="1234" t="s">
        <v>352</v>
      </c>
      <c r="B260" s="1234"/>
      <c r="C260" s="1234"/>
      <c r="D260" s="1234"/>
      <c r="E260" s="1234"/>
      <c r="F260" s="1234"/>
      <c r="G260" s="1234"/>
      <c r="H260" s="952"/>
      <c r="I260" s="953"/>
    </row>
    <row r="261" spans="1:9">
      <c r="D261" s="417"/>
    </row>
    <row r="262" spans="1:9">
      <c r="C262" s="412"/>
      <c r="D262" s="1244" t="s">
        <v>353</v>
      </c>
      <c r="E262" s="1244"/>
      <c r="F262" s="1244"/>
    </row>
    <row r="263" spans="1:9">
      <c r="A263" s="408"/>
      <c r="B263" s="408"/>
      <c r="C263" s="408"/>
      <c r="D263" s="373"/>
      <c r="E263" s="373"/>
      <c r="F263" s="373"/>
    </row>
    <row r="264" spans="1:9">
      <c r="A264" s="409"/>
      <c r="B264" s="409"/>
      <c r="C264" s="409"/>
      <c r="D264" s="1244" t="s">
        <v>354</v>
      </c>
      <c r="E264" s="1244"/>
      <c r="F264" s="1244"/>
      <c r="I264" s="329" t="s">
        <v>592</v>
      </c>
    </row>
    <row r="265" spans="1:9" ht="14.45" customHeight="1">
      <c r="A265" s="410"/>
      <c r="B265" s="411" t="s">
        <v>2750</v>
      </c>
      <c r="D265" s="1245" t="s">
        <v>593</v>
      </c>
      <c r="E265" s="1245"/>
      <c r="F265" s="1245"/>
    </row>
    <row r="266" spans="1:9">
      <c r="D266" s="1245"/>
      <c r="E266" s="1245"/>
      <c r="F266" s="1245"/>
    </row>
    <row r="267" spans="1:9">
      <c r="E267" s="961" t="s">
        <v>594</v>
      </c>
    </row>
    <row r="268" spans="1:9">
      <c r="D268" s="373"/>
      <c r="E268" s="373"/>
      <c r="F268" s="373"/>
    </row>
    <row r="269" spans="1:9" ht="14.45" customHeight="1">
      <c r="A269" s="410"/>
      <c r="B269" s="411" t="s">
        <v>2751</v>
      </c>
      <c r="D269" s="1245" t="s">
        <v>595</v>
      </c>
      <c r="E269" s="1245"/>
      <c r="F269" s="1245"/>
      <c r="I269" s="329" t="s">
        <v>596</v>
      </c>
    </row>
    <row r="270" spans="1:9">
      <c r="D270" s="1245"/>
      <c r="E270" s="1245"/>
      <c r="F270" s="1245"/>
    </row>
    <row r="271" spans="1:9">
      <c r="D271" s="1245"/>
      <c r="E271" s="1245"/>
      <c r="F271" s="1245"/>
    </row>
    <row r="272" spans="1:9">
      <c r="D272" s="1245"/>
      <c r="E272" s="1245"/>
      <c r="F272" s="1245"/>
    </row>
    <row r="273" spans="1:9">
      <c r="D273" s="1245"/>
      <c r="E273" s="1245"/>
      <c r="F273" s="1245"/>
    </row>
    <row r="274" spans="1:9">
      <c r="D274" s="1245"/>
      <c r="E274" s="1245"/>
      <c r="F274" s="1245"/>
    </row>
    <row r="275" spans="1:9">
      <c r="D275" s="373"/>
      <c r="E275" s="373"/>
      <c r="F275" s="373"/>
    </row>
    <row r="276" spans="1:9" ht="14.25">
      <c r="A276" s="410"/>
      <c r="B276" s="411" t="s">
        <v>2751</v>
      </c>
      <c r="D276" s="1245" t="s">
        <v>359</v>
      </c>
      <c r="E276" s="1245"/>
      <c r="F276" s="1245"/>
    </row>
    <row r="277" spans="1:9">
      <c r="D277" s="1245"/>
      <c r="E277" s="1245"/>
      <c r="F277" s="1245"/>
    </row>
    <row r="278" spans="1:9">
      <c r="D278" s="1245"/>
      <c r="E278" s="1245"/>
      <c r="F278" s="1245"/>
    </row>
    <row r="279" spans="1:9">
      <c r="D279" s="418"/>
      <c r="E279" s="373"/>
      <c r="F279" s="373"/>
    </row>
    <row r="280" spans="1:9">
      <c r="A280" s="1234" t="s">
        <v>360</v>
      </c>
      <c r="B280" s="1234"/>
      <c r="C280" s="1234"/>
      <c r="D280" s="1234"/>
      <c r="E280" s="1234"/>
      <c r="F280" s="1234"/>
      <c r="G280" s="1234"/>
      <c r="H280" s="952"/>
      <c r="I280" s="953"/>
    </row>
    <row r="281" spans="1:9">
      <c r="D281" s="418"/>
      <c r="E281" s="373"/>
      <c r="F281" s="373"/>
    </row>
    <row r="282" spans="1:9">
      <c r="C282" s="408"/>
      <c r="D282" s="1247" t="s">
        <v>361</v>
      </c>
      <c r="E282" s="1247"/>
      <c r="F282" s="1247"/>
    </row>
    <row r="283" spans="1:9">
      <c r="C283" s="408"/>
      <c r="D283" s="1247"/>
      <c r="E283" s="1247"/>
      <c r="F283" s="1247"/>
    </row>
    <row r="284" spans="1:9">
      <c r="A284" s="409"/>
      <c r="B284" s="409"/>
      <c r="C284" s="409"/>
      <c r="D284" s="329"/>
    </row>
    <row r="285" spans="1:9">
      <c r="C285" s="409"/>
      <c r="D285" s="1244" t="s">
        <v>362</v>
      </c>
      <c r="E285" s="1244"/>
      <c r="F285" s="1244"/>
    </row>
    <row r="286" spans="1:9" ht="15.75" customHeight="1">
      <c r="A286" s="410"/>
      <c r="B286" s="410"/>
      <c r="D286" s="1295" t="s">
        <v>363</v>
      </c>
      <c r="E286" s="1295"/>
      <c r="F286" s="1295"/>
    </row>
    <row r="287" spans="1:9">
      <c r="E287" s="373"/>
      <c r="F287" s="373"/>
    </row>
    <row r="288" spans="1:9" ht="14.25">
      <c r="A288" s="410"/>
      <c r="B288" s="411" t="s">
        <v>2751</v>
      </c>
      <c r="D288" s="1245" t="s">
        <v>364</v>
      </c>
      <c r="E288" s="1245"/>
      <c r="F288" s="1245"/>
      <c r="I288" s="329" t="s">
        <v>597</v>
      </c>
    </row>
    <row r="289" spans="1:9" ht="14.25">
      <c r="A289" s="410"/>
      <c r="B289" s="410"/>
      <c r="D289" s="1245"/>
      <c r="E289" s="1245"/>
      <c r="F289" s="1245"/>
    </row>
    <row r="290" spans="1:9">
      <c r="D290" s="373"/>
      <c r="E290" s="373"/>
      <c r="F290" s="373"/>
    </row>
    <row r="291" spans="1:9" ht="14.25">
      <c r="A291" s="410"/>
      <c r="B291" s="411" t="s">
        <v>2751</v>
      </c>
      <c r="D291" s="1245" t="s">
        <v>365</v>
      </c>
      <c r="E291" s="1245"/>
      <c r="F291" s="1245"/>
      <c r="I291" s="329" t="s">
        <v>597</v>
      </c>
    </row>
    <row r="292" spans="1:9" ht="14.25">
      <c r="A292" s="410"/>
      <c r="B292" s="410"/>
      <c r="D292" s="1245"/>
      <c r="E292" s="1245"/>
      <c r="F292" s="1245"/>
    </row>
    <row r="293" spans="1:9" ht="14.25">
      <c r="A293" s="410"/>
      <c r="B293" s="410"/>
      <c r="D293" s="1245"/>
      <c r="E293" s="1245"/>
      <c r="F293" s="1245"/>
    </row>
    <row r="294" spans="1:9">
      <c r="D294" s="373"/>
      <c r="E294" s="373"/>
      <c r="F294" s="373"/>
    </row>
    <row r="295" spans="1:9" ht="14.25">
      <c r="A295" s="410"/>
      <c r="B295" s="411" t="s">
        <v>2751</v>
      </c>
      <c r="D295" s="1245" t="s">
        <v>366</v>
      </c>
      <c r="E295" s="1245"/>
      <c r="F295" s="1245"/>
      <c r="I295" s="329" t="s">
        <v>597</v>
      </c>
    </row>
    <row r="296" spans="1:9" ht="14.25">
      <c r="A296" s="410"/>
      <c r="B296" s="410"/>
      <c r="D296" s="1245"/>
      <c r="E296" s="1245"/>
      <c r="F296" s="1245"/>
    </row>
    <row r="297" spans="1:9">
      <c r="A297" s="416"/>
      <c r="B297" s="416"/>
      <c r="E297" s="373"/>
      <c r="F297" s="373"/>
    </row>
    <row r="298" spans="1:9">
      <c r="A298" s="1234" t="s">
        <v>367</v>
      </c>
      <c r="B298" s="1234"/>
      <c r="C298" s="1234"/>
      <c r="D298" s="1234"/>
      <c r="E298" s="1234"/>
      <c r="F298" s="1234"/>
      <c r="G298" s="1234"/>
      <c r="H298" s="952"/>
      <c r="I298" s="953"/>
    </row>
    <row r="299" spans="1:9">
      <c r="A299" s="416"/>
      <c r="B299" s="416"/>
      <c r="D299" s="373"/>
      <c r="E299" s="373"/>
      <c r="F299" s="373"/>
    </row>
    <row r="300" spans="1:9">
      <c r="C300" s="416"/>
      <c r="D300" s="1244" t="s">
        <v>368</v>
      </c>
      <c r="E300" s="1244"/>
      <c r="F300" s="1244"/>
    </row>
    <row r="301" spans="1:9">
      <c r="C301" s="416"/>
      <c r="D301" s="1246" t="s">
        <v>369</v>
      </c>
      <c r="E301" s="1246"/>
      <c r="F301" s="1246"/>
    </row>
    <row r="302" spans="1:9">
      <c r="C302" s="416"/>
      <c r="D302" s="419"/>
    </row>
    <row r="303" spans="1:9">
      <c r="B303" s="411" t="s">
        <v>2751</v>
      </c>
      <c r="D303" s="1246" t="s">
        <v>370</v>
      </c>
      <c r="E303" s="1246"/>
      <c r="F303" s="1246"/>
      <c r="I303" s="329" t="s">
        <v>598</v>
      </c>
    </row>
    <row r="304" spans="1:9" ht="14.25">
      <c r="A304" s="410"/>
      <c r="B304" s="410"/>
      <c r="D304" s="420"/>
      <c r="E304" s="421"/>
      <c r="F304" s="421"/>
    </row>
    <row r="305" spans="1:9" ht="13.7" customHeight="1">
      <c r="B305" s="411" t="s">
        <v>2751</v>
      </c>
      <c r="D305" s="1298" t="s">
        <v>599</v>
      </c>
      <c r="E305" s="1298"/>
      <c r="F305" s="1298"/>
      <c r="I305" s="329" t="s">
        <v>598</v>
      </c>
    </row>
    <row r="306" spans="1:9" ht="14.25">
      <c r="A306" s="410"/>
      <c r="B306" s="410"/>
      <c r="D306" s="1298"/>
      <c r="E306" s="1298"/>
      <c r="F306" s="1298"/>
    </row>
    <row r="307" spans="1:9" ht="14.25">
      <c r="A307" s="410"/>
      <c r="B307" s="410"/>
      <c r="D307" s="1298"/>
      <c r="E307" s="1298"/>
      <c r="F307" s="1298"/>
    </row>
    <row r="308" spans="1:9" ht="14.25">
      <c r="A308" s="410"/>
      <c r="B308" s="410"/>
      <c r="D308" s="1298"/>
      <c r="E308" s="1298"/>
      <c r="F308" s="1298"/>
    </row>
    <row r="309" spans="1:9" ht="14.25">
      <c r="A309" s="410"/>
      <c r="B309" s="410"/>
      <c r="D309" s="1298"/>
      <c r="E309" s="1298"/>
      <c r="F309" s="1298"/>
    </row>
    <row r="310" spans="1:9" ht="14.25">
      <c r="A310" s="410"/>
      <c r="B310" s="410"/>
      <c r="D310" s="420"/>
      <c r="E310" s="421"/>
      <c r="F310" s="421"/>
    </row>
    <row r="311" spans="1:9" ht="13.7" customHeight="1">
      <c r="B311" s="411" t="s">
        <v>2751</v>
      </c>
      <c r="D311" s="1298" t="s">
        <v>372</v>
      </c>
      <c r="E311" s="1298"/>
      <c r="F311" s="1298"/>
      <c r="I311" s="329" t="s">
        <v>598</v>
      </c>
    </row>
    <row r="312" spans="1:9">
      <c r="D312" s="1298"/>
      <c r="E312" s="1298"/>
      <c r="F312" s="1298"/>
    </row>
    <row r="313" spans="1:9" ht="14.25">
      <c r="A313" s="410"/>
      <c r="B313" s="410"/>
      <c r="D313" s="420"/>
      <c r="E313" s="421"/>
      <c r="F313" s="421"/>
    </row>
    <row r="314" spans="1:9">
      <c r="B314" s="411" t="s">
        <v>2751</v>
      </c>
      <c r="D314" s="1246" t="s">
        <v>373</v>
      </c>
      <c r="E314" s="1246"/>
      <c r="F314" s="1246"/>
      <c r="I314" s="329" t="s">
        <v>528</v>
      </c>
    </row>
    <row r="315" spans="1:9">
      <c r="E315" s="373"/>
      <c r="F315" s="373"/>
    </row>
    <row r="316" spans="1:9" ht="14.25">
      <c r="A316" s="410"/>
      <c r="B316" s="411" t="s">
        <v>2751</v>
      </c>
      <c r="D316" s="1245" t="s">
        <v>600</v>
      </c>
      <c r="E316" s="1245"/>
      <c r="F316" s="1245"/>
      <c r="I316" s="329" t="s">
        <v>601</v>
      </c>
    </row>
    <row r="317" spans="1:9" ht="14.25">
      <c r="A317" s="410"/>
      <c r="B317" s="410"/>
      <c r="D317" s="1245"/>
      <c r="E317" s="1245"/>
      <c r="F317" s="1245"/>
    </row>
    <row r="318" spans="1:9" ht="14.25">
      <c r="A318" s="410"/>
      <c r="B318" s="410"/>
      <c r="D318" s="1245"/>
      <c r="E318" s="1245"/>
      <c r="F318" s="1245"/>
    </row>
    <row r="319" spans="1:9" ht="14.25">
      <c r="A319" s="410"/>
      <c r="B319" s="410"/>
      <c r="D319" s="1245"/>
      <c r="E319" s="1245"/>
      <c r="F319" s="1245"/>
    </row>
    <row r="320" spans="1:9" ht="14.25">
      <c r="A320" s="410"/>
      <c r="B320" s="410"/>
      <c r="D320" s="1245"/>
      <c r="E320" s="1245"/>
      <c r="F320" s="1245"/>
    </row>
    <row r="321" spans="1:9" ht="14.25">
      <c r="A321" s="410"/>
      <c r="B321" s="410"/>
      <c r="D321" s="1245"/>
      <c r="E321" s="1245"/>
      <c r="F321" s="1245"/>
    </row>
    <row r="322" spans="1:9" ht="14.25">
      <c r="A322" s="410"/>
      <c r="B322" s="410"/>
      <c r="D322" s="1245"/>
      <c r="E322" s="1245"/>
      <c r="F322" s="1245"/>
    </row>
    <row r="323" spans="1:9" ht="14.25">
      <c r="A323" s="410"/>
      <c r="B323" s="410"/>
      <c r="D323" s="1245"/>
      <c r="E323" s="1245"/>
      <c r="F323" s="1245"/>
    </row>
    <row r="324" spans="1:9" ht="14.25">
      <c r="A324" s="410"/>
      <c r="B324" s="410"/>
      <c r="D324" s="1245"/>
      <c r="E324" s="1245"/>
      <c r="F324" s="1245"/>
    </row>
    <row r="325" spans="1:9" ht="14.25">
      <c r="A325" s="410"/>
      <c r="B325" s="410"/>
      <c r="D325" s="1245"/>
      <c r="E325" s="1245"/>
      <c r="F325" s="1245"/>
    </row>
    <row r="326" spans="1:9" ht="14.25">
      <c r="A326" s="410"/>
      <c r="B326" s="410"/>
      <c r="D326" s="1245"/>
      <c r="E326" s="1245"/>
      <c r="F326" s="1245"/>
    </row>
    <row r="327" spans="1:9" ht="14.25">
      <c r="A327" s="410"/>
      <c r="B327" s="410"/>
      <c r="D327" s="1245"/>
      <c r="E327" s="1245"/>
      <c r="F327" s="1245"/>
    </row>
    <row r="328" spans="1:9" ht="14.25">
      <c r="A328" s="410"/>
      <c r="B328" s="410"/>
      <c r="D328" s="1245"/>
      <c r="E328" s="1245"/>
      <c r="F328" s="1245"/>
    </row>
    <row r="329" spans="1:9" ht="14.25">
      <c r="A329" s="410"/>
      <c r="B329" s="410"/>
      <c r="D329" s="1245"/>
      <c r="E329" s="1245"/>
      <c r="F329" s="1245"/>
    </row>
    <row r="330" spans="1:9" ht="14.25">
      <c r="A330" s="410"/>
      <c r="B330" s="410"/>
      <c r="D330" s="1245"/>
      <c r="E330" s="1245"/>
      <c r="F330" s="1245"/>
    </row>
    <row r="331" spans="1:9">
      <c r="D331" s="373"/>
      <c r="E331" s="373"/>
      <c r="F331" s="373"/>
    </row>
    <row r="332" spans="1:9" ht="14.25">
      <c r="A332" s="410"/>
      <c r="B332" s="411" t="s">
        <v>2751</v>
      </c>
      <c r="D332" s="1245" t="s">
        <v>375</v>
      </c>
      <c r="E332" s="1245"/>
      <c r="F332" s="1245"/>
      <c r="I332" s="329" t="s">
        <v>601</v>
      </c>
    </row>
    <row r="333" spans="1:9">
      <c r="D333" s="1245"/>
      <c r="E333" s="1245"/>
      <c r="F333" s="1245"/>
    </row>
    <row r="334" spans="1:9">
      <c r="D334" s="1245"/>
      <c r="E334" s="1245"/>
      <c r="F334" s="1245"/>
    </row>
    <row r="335" spans="1:9">
      <c r="D335" s="1245"/>
      <c r="E335" s="1245"/>
      <c r="F335" s="1245"/>
    </row>
    <row r="336" spans="1:9">
      <c r="D336" s="1245"/>
      <c r="E336" s="1245"/>
      <c r="F336" s="1245"/>
    </row>
    <row r="337" spans="1:9">
      <c r="D337" s="1245"/>
      <c r="E337" s="1245"/>
      <c r="F337" s="1245"/>
    </row>
    <row r="338" spans="1:9">
      <c r="D338" s="1245"/>
      <c r="E338" s="1245"/>
      <c r="F338" s="1245"/>
    </row>
    <row r="339" spans="1:9">
      <c r="D339" s="1245"/>
      <c r="E339" s="1245"/>
      <c r="F339" s="1245"/>
    </row>
    <row r="340" spans="1:9">
      <c r="D340" s="1245"/>
      <c r="E340" s="1245"/>
      <c r="F340" s="1245"/>
    </row>
    <row r="341" spans="1:9">
      <c r="D341" s="373"/>
      <c r="E341" s="373"/>
      <c r="F341" s="373"/>
    </row>
    <row r="342" spans="1:9" ht="14.25" customHeight="1">
      <c r="A342" s="410"/>
      <c r="B342" s="411" t="s">
        <v>2751</v>
      </c>
      <c r="D342" s="1245" t="s">
        <v>602</v>
      </c>
      <c r="E342" s="1245"/>
      <c r="F342" s="1245"/>
      <c r="I342" s="329" t="s">
        <v>603</v>
      </c>
    </row>
    <row r="343" spans="1:9">
      <c r="D343" s="1245"/>
      <c r="E343" s="1245"/>
      <c r="F343" s="1245"/>
    </row>
    <row r="344" spans="1:9">
      <c r="D344" s="1245"/>
      <c r="E344" s="1245"/>
      <c r="F344" s="1245"/>
    </row>
    <row r="345" spans="1:9">
      <c r="D345" s="1245"/>
      <c r="E345" s="1245"/>
      <c r="F345" s="1245"/>
    </row>
    <row r="346" spans="1:9">
      <c r="D346" s="311" t="s">
        <v>563</v>
      </c>
      <c r="E346" s="310"/>
      <c r="F346" s="310"/>
    </row>
    <row r="347" spans="1:9">
      <c r="D347" s="310"/>
      <c r="E347" s="72" t="s">
        <v>604</v>
      </c>
      <c r="G347" s="72"/>
    </row>
    <row r="348" spans="1:9">
      <c r="D348" s="372"/>
      <c r="E348" s="372"/>
      <c r="F348" s="372"/>
    </row>
    <row r="349" spans="1:9" ht="13.5" thickBot="1">
      <c r="A349" s="940"/>
      <c r="B349" s="940"/>
      <c r="C349" s="940"/>
      <c r="D349" s="1287" t="s">
        <v>377</v>
      </c>
      <c r="E349" s="1287"/>
      <c r="F349" s="1287"/>
      <c r="G349" s="950"/>
      <c r="H349" s="950"/>
      <c r="I349" s="951"/>
    </row>
    <row r="350" spans="1:9" ht="13.5" thickTop="1">
      <c r="D350" s="1299" t="s">
        <v>378</v>
      </c>
      <c r="E350" s="1299"/>
      <c r="F350" s="1299"/>
    </row>
    <row r="351" spans="1:9">
      <c r="D351" s="373"/>
      <c r="E351" s="373"/>
      <c r="F351" s="373"/>
    </row>
    <row r="352" spans="1:9">
      <c r="A352" s="402"/>
      <c r="B352" s="402"/>
      <c r="C352" s="402"/>
      <c r="D352" s="374"/>
      <c r="E352" s="374"/>
      <c r="F352" s="373"/>
      <c r="I352" s="329" t="s">
        <v>605</v>
      </c>
    </row>
    <row r="353" spans="1:9" ht="14.25">
      <c r="A353" s="410"/>
      <c r="B353" s="411" t="s">
        <v>2751</v>
      </c>
      <c r="C353" s="413"/>
      <c r="D353" s="1246" t="s">
        <v>606</v>
      </c>
      <c r="E353" s="1246"/>
      <c r="F353" s="1246"/>
      <c r="I353" s="1301" t="s">
        <v>607</v>
      </c>
    </row>
    <row r="354" spans="1:9" ht="12.75" customHeight="1">
      <c r="D354" s="962"/>
      <c r="E354" s="72" t="s">
        <v>608</v>
      </c>
      <c r="F354" s="962"/>
      <c r="I354" s="1302"/>
    </row>
    <row r="355" spans="1:9">
      <c r="D355" s="1245" t="s">
        <v>609</v>
      </c>
      <c r="E355" s="1245"/>
      <c r="F355" s="1245"/>
      <c r="I355" s="1302"/>
    </row>
    <row r="356" spans="1:9">
      <c r="D356" s="1245"/>
      <c r="E356" s="1245"/>
      <c r="F356" s="1245"/>
      <c r="I356" s="1302"/>
    </row>
    <row r="357" spans="1:9">
      <c r="D357" s="1245"/>
      <c r="E357" s="1245"/>
      <c r="F357" s="1245"/>
      <c r="I357" s="1303"/>
    </row>
    <row r="358" spans="1:9" ht="14.25">
      <c r="A358" s="410"/>
      <c r="B358" s="411" t="s">
        <v>2751</v>
      </c>
      <c r="C358" s="402"/>
      <c r="D358" s="1232" t="s">
        <v>610</v>
      </c>
      <c r="E358" s="1232"/>
      <c r="F358" s="1232"/>
      <c r="I358" s="327"/>
    </row>
    <row r="359" spans="1:9">
      <c r="A359" s="402"/>
      <c r="B359" s="402"/>
      <c r="C359" s="402"/>
      <c r="D359" s="374"/>
      <c r="E359" s="374"/>
      <c r="F359" s="373"/>
    </row>
    <row r="360" spans="1:9">
      <c r="A360" s="402"/>
      <c r="B360" s="411" t="s">
        <v>2751</v>
      </c>
      <c r="C360" s="402"/>
      <c r="D360" s="1228" t="s">
        <v>611</v>
      </c>
      <c r="E360" s="1228"/>
      <c r="F360" s="1228"/>
    </row>
    <row r="361" spans="1:9">
      <c r="A361" s="402"/>
      <c r="B361" s="402"/>
      <c r="C361" s="402"/>
      <c r="D361" s="1228"/>
      <c r="E361" s="1228"/>
      <c r="F361" s="1228"/>
    </row>
    <row r="362" spans="1:9">
      <c r="A362" s="402"/>
      <c r="B362" s="402"/>
      <c r="C362" s="402"/>
      <c r="D362" s="1228"/>
      <c r="E362" s="1228"/>
      <c r="F362" s="1228"/>
    </row>
    <row r="363" spans="1:9">
      <c r="A363" s="402"/>
      <c r="B363" s="402"/>
      <c r="C363" s="402"/>
      <c r="D363" s="1228"/>
      <c r="E363" s="1228"/>
      <c r="F363" s="1228"/>
    </row>
    <row r="364" spans="1:9">
      <c r="A364" s="402"/>
      <c r="B364" s="402"/>
      <c r="C364" s="402"/>
      <c r="D364" s="1228"/>
      <c r="E364" s="1228"/>
      <c r="F364" s="1228"/>
    </row>
    <row r="365" spans="1:9">
      <c r="A365" s="402"/>
      <c r="B365" s="402"/>
      <c r="C365" s="402"/>
      <c r="D365" s="1228"/>
      <c r="E365" s="1228"/>
      <c r="F365" s="1228"/>
    </row>
    <row r="366" spans="1:9">
      <c r="A366" s="402"/>
      <c r="B366" s="402"/>
      <c r="C366" s="402"/>
      <c r="D366" s="1228"/>
      <c r="E366" s="1228"/>
      <c r="F366" s="1228"/>
    </row>
    <row r="367" spans="1:9">
      <c r="A367" s="402"/>
      <c r="B367" s="402"/>
      <c r="C367" s="402"/>
      <c r="D367" s="1228"/>
      <c r="E367" s="1228"/>
      <c r="F367" s="1228"/>
    </row>
    <row r="368" spans="1:9">
      <c r="A368" s="402"/>
      <c r="B368" s="402"/>
      <c r="C368" s="402"/>
      <c r="D368" s="1228"/>
      <c r="E368" s="1228"/>
      <c r="F368" s="1228"/>
    </row>
    <row r="369" spans="1:6">
      <c r="A369" s="402"/>
      <c r="B369" s="402"/>
      <c r="C369" s="402"/>
      <c r="D369" s="1228"/>
      <c r="E369" s="1228"/>
      <c r="F369" s="1228"/>
    </row>
    <row r="370" spans="1:6">
      <c r="A370" s="402"/>
      <c r="B370" s="402"/>
      <c r="C370" s="402"/>
      <c r="D370" s="1228"/>
      <c r="E370" s="1228"/>
      <c r="F370" s="1228"/>
    </row>
    <row r="371" spans="1:6">
      <c r="A371" s="402"/>
      <c r="B371" s="402"/>
      <c r="C371" s="402"/>
      <c r="D371" s="1228"/>
      <c r="E371" s="1228"/>
      <c r="F371" s="1228"/>
    </row>
    <row r="372" spans="1:6">
      <c r="A372" s="402"/>
      <c r="B372" s="402"/>
      <c r="C372" s="402"/>
      <c r="D372" s="378"/>
      <c r="E372" s="378"/>
      <c r="F372" s="378"/>
    </row>
    <row r="373" spans="1:6" ht="12.6" customHeight="1">
      <c r="A373" s="402"/>
      <c r="B373" s="411" t="s">
        <v>2751</v>
      </c>
      <c r="C373" s="402"/>
      <c r="D373" s="1274" t="s">
        <v>612</v>
      </c>
      <c r="E373" s="1274"/>
      <c r="F373" s="1274"/>
    </row>
    <row r="374" spans="1:6">
      <c r="A374" s="402"/>
      <c r="B374" s="402"/>
      <c r="C374" s="402"/>
      <c r="D374" s="1274"/>
      <c r="E374" s="1274"/>
      <c r="F374" s="1274"/>
    </row>
    <row r="375" spans="1:6">
      <c r="A375" s="402"/>
      <c r="B375" s="402"/>
      <c r="C375" s="402"/>
      <c r="D375" s="1274"/>
      <c r="E375" s="1274"/>
      <c r="F375" s="1274"/>
    </row>
    <row r="376" spans="1:6">
      <c r="A376" s="402"/>
      <c r="B376" s="402"/>
      <c r="C376" s="402"/>
      <c r="D376" s="1274"/>
      <c r="E376" s="1274"/>
      <c r="F376" s="1274"/>
    </row>
    <row r="377" spans="1:6">
      <c r="A377" s="402"/>
      <c r="B377" s="402"/>
      <c r="C377" s="402"/>
      <c r="D377" s="449"/>
      <c r="E377" s="449"/>
      <c r="F377" s="449"/>
    </row>
    <row r="378" spans="1:6">
      <c r="A378" s="402"/>
      <c r="B378" s="411" t="s">
        <v>2751</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25">
      <c r="A385" s="410"/>
      <c r="B385" s="411" t="s">
        <v>2751</v>
      </c>
      <c r="C385" s="402"/>
      <c r="D385" s="1228" t="s">
        <v>381</v>
      </c>
      <c r="E385" s="1228"/>
      <c r="F385" s="1228"/>
    </row>
    <row r="386" spans="1:6">
      <c r="A386" s="402"/>
      <c r="B386" s="402"/>
      <c r="C386" s="402"/>
      <c r="D386" s="1228"/>
      <c r="E386" s="1228"/>
      <c r="F386" s="1228"/>
    </row>
    <row r="387" spans="1:6">
      <c r="A387" s="402"/>
      <c r="B387" s="402"/>
      <c r="C387" s="402"/>
      <c r="D387" s="1228"/>
      <c r="E387" s="1228"/>
      <c r="F387" s="1228"/>
    </row>
    <row r="388" spans="1:6">
      <c r="A388" s="402"/>
      <c r="B388" s="402"/>
      <c r="C388" s="402"/>
      <c r="D388" s="1228"/>
      <c r="E388" s="1228"/>
      <c r="F388" s="1228"/>
    </row>
    <row r="389" spans="1:6">
      <c r="A389" s="402"/>
      <c r="B389" s="402"/>
      <c r="C389" s="402"/>
      <c r="D389" s="374"/>
      <c r="E389" s="374"/>
      <c r="F389" s="373"/>
    </row>
    <row r="390" spans="1:6">
      <c r="A390" s="402"/>
      <c r="B390" s="402"/>
      <c r="C390" s="402"/>
      <c r="D390" s="1228" t="s">
        <v>382</v>
      </c>
      <c r="E390" s="1228"/>
      <c r="F390" s="1228"/>
    </row>
    <row r="391" spans="1:6">
      <c r="A391" s="402"/>
      <c r="B391" s="402"/>
      <c r="C391" s="402"/>
      <c r="D391" s="1228"/>
      <c r="E391" s="1228"/>
      <c r="F391" s="1228"/>
    </row>
    <row r="392" spans="1:6">
      <c r="A392" s="402"/>
      <c r="B392" s="402"/>
      <c r="C392" s="402"/>
      <c r="D392" s="1228"/>
      <c r="E392" s="1228"/>
      <c r="F392" s="1228"/>
    </row>
    <row r="393" spans="1:6">
      <c r="A393" s="402"/>
      <c r="B393" s="402"/>
      <c r="C393" s="402"/>
      <c r="D393" s="1228"/>
      <c r="E393" s="1228"/>
      <c r="F393" s="1228"/>
    </row>
    <row r="394" spans="1:6" ht="18" customHeight="1">
      <c r="A394" s="402"/>
      <c r="B394" s="402"/>
      <c r="C394" s="402"/>
      <c r="D394" s="1228"/>
      <c r="E394" s="1228"/>
      <c r="F394" s="1228"/>
    </row>
    <row r="395" spans="1:6">
      <c r="A395" s="402"/>
      <c r="B395" s="402"/>
      <c r="C395" s="402"/>
      <c r="D395" s="1228"/>
      <c r="E395" s="1228"/>
      <c r="F395" s="1228"/>
    </row>
    <row r="396" spans="1:6">
      <c r="A396" s="402"/>
      <c r="B396" s="402"/>
      <c r="C396" s="402"/>
      <c r="D396" s="1228"/>
      <c r="E396" s="1228"/>
      <c r="F396" s="1228"/>
    </row>
    <row r="397" spans="1:6">
      <c r="A397" s="402"/>
      <c r="B397" s="402"/>
      <c r="C397" s="402"/>
      <c r="D397" s="1228"/>
      <c r="E397" s="1228"/>
      <c r="F397" s="1228"/>
    </row>
    <row r="398" spans="1:6" ht="8.25" customHeight="1">
      <c r="A398" s="402"/>
      <c r="B398" s="402"/>
      <c r="C398" s="402"/>
      <c r="D398" s="1228"/>
      <c r="E398" s="1228"/>
      <c r="F398" s="1228"/>
    </row>
    <row r="399" spans="1:6" ht="13.7" customHeight="1">
      <c r="A399" s="402"/>
      <c r="B399" s="402"/>
      <c r="C399" s="402"/>
      <c r="D399" s="1228" t="s">
        <v>383</v>
      </c>
      <c r="E399" s="1228"/>
      <c r="F399" s="1228"/>
    </row>
    <row r="400" spans="1:6">
      <c r="A400" s="402"/>
      <c r="B400" s="402"/>
      <c r="C400" s="402"/>
      <c r="D400" s="1228"/>
      <c r="E400" s="1228"/>
      <c r="F400" s="1228"/>
    </row>
    <row r="401" spans="1:6">
      <c r="A401" s="402"/>
      <c r="B401" s="402"/>
      <c r="C401" s="402"/>
      <c r="D401" s="1228"/>
      <c r="E401" s="1228"/>
      <c r="F401" s="1228"/>
    </row>
    <row r="402" spans="1:6">
      <c r="A402" s="402"/>
      <c r="B402" s="402"/>
      <c r="C402" s="402"/>
      <c r="D402" s="1228"/>
      <c r="E402" s="1228"/>
      <c r="F402" s="1228"/>
    </row>
    <row r="403" spans="1:6">
      <c r="A403" s="402"/>
      <c r="B403" s="402"/>
      <c r="C403" s="402"/>
      <c r="D403" s="1228"/>
      <c r="E403" s="1228"/>
      <c r="F403" s="1228"/>
    </row>
    <row r="404" spans="1:6">
      <c r="A404" s="402"/>
      <c r="B404" s="402"/>
      <c r="C404" s="402"/>
      <c r="D404" s="1228"/>
      <c r="E404" s="1228"/>
      <c r="F404" s="1228"/>
    </row>
    <row r="405" spans="1:6">
      <c r="A405" s="402"/>
      <c r="B405" s="402"/>
      <c r="C405" s="402"/>
      <c r="D405" s="1228"/>
      <c r="E405" s="1228"/>
      <c r="F405" s="1228"/>
    </row>
    <row r="406" spans="1:6">
      <c r="A406" s="402"/>
      <c r="B406" s="402"/>
      <c r="C406" s="402"/>
      <c r="D406" s="1228"/>
      <c r="E406" s="1228"/>
      <c r="F406" s="1228"/>
    </row>
    <row r="407" spans="1:6">
      <c r="A407" s="402"/>
      <c r="B407" s="402"/>
      <c r="C407" s="402"/>
      <c r="D407" s="1228"/>
      <c r="E407" s="1228"/>
      <c r="F407" s="1228"/>
    </row>
    <row r="408" spans="1:6">
      <c r="A408" s="402"/>
      <c r="B408" s="402"/>
      <c r="C408" s="402"/>
      <c r="D408" s="1228"/>
      <c r="E408" s="1228"/>
      <c r="F408" s="1228"/>
    </row>
    <row r="409" spans="1:6">
      <c r="A409" s="402"/>
      <c r="B409" s="402"/>
      <c r="C409" s="402"/>
      <c r="D409" s="1228"/>
      <c r="E409" s="1228"/>
      <c r="F409" s="1228"/>
    </row>
    <row r="410" spans="1:6">
      <c r="A410" s="402"/>
      <c r="B410" s="402"/>
      <c r="C410" s="402"/>
      <c r="D410" s="1228"/>
      <c r="E410" s="1228"/>
      <c r="F410" s="1228"/>
    </row>
    <row r="411" spans="1:6">
      <c r="A411" s="402"/>
      <c r="B411" s="402"/>
      <c r="C411" s="422"/>
      <c r="D411" s="1228"/>
      <c r="E411" s="1228"/>
      <c r="F411" s="1228"/>
    </row>
    <row r="412" spans="1:6">
      <c r="A412" s="402"/>
      <c r="B412" s="402"/>
      <c r="C412" s="422"/>
      <c r="D412" s="1228"/>
      <c r="E412" s="1228"/>
      <c r="F412" s="1228"/>
    </row>
    <row r="413" spans="1:6">
      <c r="A413" s="402"/>
      <c r="B413" s="402"/>
      <c r="C413" s="402"/>
      <c r="D413" s="1228"/>
      <c r="E413" s="1228"/>
      <c r="F413" s="1228"/>
    </row>
    <row r="414" spans="1:6">
      <c r="A414" s="402"/>
      <c r="B414" s="402"/>
      <c r="C414" s="422"/>
      <c r="D414" s="1228"/>
      <c r="E414" s="1228"/>
      <c r="F414" s="1228"/>
    </row>
    <row r="415" spans="1:6">
      <c r="A415" s="402"/>
      <c r="B415" s="402"/>
      <c r="C415" s="422"/>
      <c r="D415" s="1228"/>
      <c r="E415" s="1228"/>
      <c r="F415" s="1228"/>
    </row>
    <row r="416" spans="1:6">
      <c r="A416" s="402"/>
      <c r="B416" s="402"/>
      <c r="C416" s="422"/>
      <c r="D416" s="1228"/>
      <c r="E416" s="1228"/>
      <c r="F416" s="1228"/>
    </row>
    <row r="417" spans="1:6">
      <c r="A417" s="402"/>
      <c r="B417" s="402"/>
      <c r="C417" s="402"/>
      <c r="D417" s="374"/>
      <c r="E417" s="374"/>
      <c r="F417" s="373"/>
    </row>
    <row r="418" spans="1:6">
      <c r="A418" s="402"/>
      <c r="B418" s="411" t="s">
        <v>2751</v>
      </c>
      <c r="C418" s="402"/>
      <c r="D418" s="1228" t="s">
        <v>384</v>
      </c>
      <c r="E418" s="1228"/>
      <c r="F418" s="1228"/>
    </row>
    <row r="419" spans="1:6">
      <c r="A419" s="402"/>
      <c r="B419" s="402"/>
      <c r="C419" s="402"/>
      <c r="D419" s="1228"/>
      <c r="E419" s="1228"/>
      <c r="F419" s="1228"/>
    </row>
    <row r="420" spans="1:6">
      <c r="A420" s="402"/>
      <c r="B420" s="402"/>
      <c r="C420" s="402"/>
      <c r="D420" s="378"/>
      <c r="E420" s="378"/>
      <c r="F420" s="378"/>
    </row>
    <row r="421" spans="1:6" ht="14.45" customHeight="1">
      <c r="A421" s="410"/>
      <c r="B421" s="411" t="s">
        <v>2751</v>
      </c>
      <c r="D421" s="1228" t="s">
        <v>619</v>
      </c>
      <c r="E421" s="1228"/>
      <c r="F421" s="1228"/>
    </row>
    <row r="422" spans="1:6" ht="14.45" customHeight="1">
      <c r="A422" s="410"/>
      <c r="D422" s="1228"/>
      <c r="E422" s="1228"/>
      <c r="F422" s="1228"/>
    </row>
    <row r="423" spans="1:6" ht="14.45" customHeight="1">
      <c r="A423" s="410"/>
      <c r="D423" s="1228"/>
      <c r="E423" s="1228"/>
      <c r="F423" s="1228"/>
    </row>
    <row r="424" spans="1:6" ht="14.45" customHeight="1">
      <c r="A424" s="410"/>
      <c r="D424" s="1228"/>
      <c r="E424" s="1228"/>
      <c r="F424" s="1228"/>
    </row>
    <row r="425" spans="1:6" ht="14.45" customHeight="1">
      <c r="A425" s="410"/>
      <c r="D425" s="1228"/>
      <c r="E425" s="1228"/>
      <c r="F425" s="1228"/>
    </row>
    <row r="426" spans="1:6" ht="14.45" customHeight="1">
      <c r="A426" s="410"/>
      <c r="D426" s="310"/>
      <c r="E426" s="310"/>
      <c r="F426" s="310"/>
    </row>
    <row r="427" spans="1:6" ht="13.7" customHeight="1">
      <c r="A427" s="410"/>
      <c r="B427" s="411" t="s">
        <v>2751</v>
      </c>
      <c r="C427" s="402"/>
      <c r="D427" s="1228" t="s">
        <v>620</v>
      </c>
      <c r="E427" s="1228"/>
      <c r="F427" s="1228"/>
    </row>
    <row r="428" spans="1:6" ht="14.25">
      <c r="A428" s="423"/>
      <c r="B428" s="423"/>
      <c r="C428" s="402"/>
      <c r="D428" s="1228"/>
      <c r="E428" s="1228"/>
      <c r="F428" s="1228"/>
    </row>
    <row r="429" spans="1:6" ht="14.25">
      <c r="A429" s="423"/>
      <c r="B429" s="423"/>
      <c r="C429" s="402"/>
      <c r="D429" s="1228"/>
      <c r="E429" s="1228"/>
      <c r="F429" s="1228"/>
    </row>
    <row r="430" spans="1:6" ht="14.25">
      <c r="A430" s="423"/>
      <c r="B430" s="423"/>
      <c r="C430" s="402"/>
      <c r="D430" s="1228"/>
      <c r="E430" s="1228"/>
      <c r="F430" s="1228"/>
    </row>
    <row r="431" spans="1:6" ht="15.75" customHeight="1">
      <c r="A431" s="423"/>
      <c r="B431" s="423"/>
      <c r="C431" s="402"/>
      <c r="D431" s="1300" t="s">
        <v>621</v>
      </c>
      <c r="E431" s="1228"/>
      <c r="F431" s="1228"/>
    </row>
    <row r="432" spans="1:6">
      <c r="D432" s="373"/>
      <c r="E432" s="373"/>
      <c r="F432" s="373"/>
    </row>
    <row r="433" spans="1:6" ht="14.25">
      <c r="A433" s="410"/>
      <c r="B433" s="411" t="s">
        <v>2751</v>
      </c>
      <c r="C433" s="413"/>
      <c r="D433" s="1245" t="s">
        <v>622</v>
      </c>
      <c r="E433" s="1245"/>
      <c r="F433" s="1245"/>
    </row>
    <row r="434" spans="1:6" ht="14.25">
      <c r="A434" s="410"/>
      <c r="B434" s="410"/>
      <c r="D434" s="1245"/>
      <c r="E434" s="1245"/>
      <c r="F434" s="1245"/>
    </row>
    <row r="435" spans="1:6">
      <c r="D435" s="1245"/>
      <c r="E435" s="1245"/>
      <c r="F435" s="1245"/>
    </row>
    <row r="436" spans="1:6">
      <c r="D436" s="1245"/>
      <c r="E436" s="1245"/>
      <c r="F436" s="1245"/>
    </row>
    <row r="437" spans="1:6">
      <c r="D437" s="1245"/>
      <c r="E437" s="1245"/>
      <c r="F437" s="1245"/>
    </row>
    <row r="438" spans="1:6">
      <c r="D438" s="1245"/>
      <c r="E438" s="1245"/>
      <c r="F438" s="1245"/>
    </row>
    <row r="439" spans="1:6">
      <c r="D439" s="1245"/>
      <c r="E439" s="1245"/>
      <c r="F439" s="1245"/>
    </row>
    <row r="440" spans="1:6">
      <c r="D440" s="1245"/>
      <c r="E440" s="1245"/>
      <c r="F440" s="1245"/>
    </row>
    <row r="441" spans="1:6">
      <c r="D441" s="1245"/>
      <c r="E441" s="1245"/>
      <c r="F441" s="1245"/>
    </row>
    <row r="442" spans="1:6">
      <c r="D442" s="1245"/>
      <c r="E442" s="1245"/>
      <c r="F442" s="1245"/>
    </row>
    <row r="443" spans="1:6">
      <c r="D443" s="1245"/>
      <c r="E443" s="1245"/>
      <c r="F443" s="1245"/>
    </row>
    <row r="444" spans="1:6">
      <c r="D444" s="1245"/>
      <c r="E444" s="1245"/>
      <c r="F444" s="1245"/>
    </row>
    <row r="445" spans="1:6">
      <c r="D445" s="1245"/>
      <c r="E445" s="1245"/>
      <c r="F445" s="1245"/>
    </row>
    <row r="446" spans="1:6">
      <c r="A446" s="327"/>
      <c r="B446" s="327"/>
      <c r="C446" s="327"/>
      <c r="D446" s="1245"/>
      <c r="E446" s="1245"/>
      <c r="F446" s="1245"/>
    </row>
    <row r="447" spans="1:6">
      <c r="A447" s="327"/>
      <c r="B447" s="327"/>
      <c r="C447" s="327"/>
      <c r="D447" s="1245"/>
      <c r="E447" s="1245"/>
      <c r="F447" s="1245"/>
    </row>
    <row r="448" spans="1:6">
      <c r="A448" s="327"/>
      <c r="B448" s="327"/>
      <c r="C448" s="327"/>
      <c r="D448" s="1245"/>
      <c r="E448" s="1245"/>
      <c r="F448" s="1245"/>
    </row>
    <row r="449" spans="1:6">
      <c r="A449" s="327"/>
      <c r="B449" s="327"/>
      <c r="C449" s="327"/>
      <c r="D449" s="1245"/>
      <c r="E449" s="1245"/>
      <c r="F449" s="1245"/>
    </row>
    <row r="450" spans="1:6">
      <c r="A450" s="327"/>
      <c r="B450" s="327"/>
      <c r="C450" s="327"/>
      <c r="D450" s="1245"/>
      <c r="E450" s="1245"/>
      <c r="F450" s="1245"/>
    </row>
    <row r="451" spans="1:6">
      <c r="A451" s="327"/>
      <c r="B451" s="327"/>
      <c r="C451" s="327"/>
      <c r="D451" s="1245"/>
      <c r="E451" s="1245"/>
      <c r="F451" s="1245"/>
    </row>
    <row r="452" spans="1:6">
      <c r="A452" s="327"/>
      <c r="B452" s="327"/>
      <c r="C452" s="327"/>
      <c r="D452" s="1245"/>
      <c r="E452" s="1245"/>
      <c r="F452" s="1245"/>
    </row>
    <row r="453" spans="1:6">
      <c r="A453" s="327"/>
      <c r="B453" s="327"/>
      <c r="C453" s="327"/>
      <c r="D453" s="1245"/>
      <c r="E453" s="1245"/>
      <c r="F453" s="1245"/>
    </row>
    <row r="454" spans="1:6">
      <c r="A454" s="327"/>
      <c r="B454" s="327"/>
      <c r="C454" s="327"/>
      <c r="D454" s="1245"/>
      <c r="E454" s="1245"/>
      <c r="F454" s="1245"/>
    </row>
    <row r="455" spans="1:6">
      <c r="A455" s="327"/>
      <c r="B455" s="327"/>
      <c r="C455" s="327"/>
      <c r="D455" s="1245"/>
      <c r="E455" s="1245"/>
      <c r="F455" s="1245"/>
    </row>
    <row r="456" spans="1:6">
      <c r="A456" s="327"/>
      <c r="B456" s="327"/>
      <c r="C456" s="327"/>
      <c r="D456" s="1245"/>
      <c r="E456" s="1245"/>
      <c r="F456" s="1245"/>
    </row>
    <row r="457" spans="1:6">
      <c r="A457" s="327"/>
      <c r="B457" s="327"/>
      <c r="C457" s="327"/>
      <c r="D457" s="1245"/>
      <c r="E457" s="1245"/>
      <c r="F457" s="1245"/>
    </row>
    <row r="458" spans="1:6">
      <c r="A458" s="327"/>
      <c r="B458" s="327"/>
      <c r="C458" s="327"/>
      <c r="D458" s="1245"/>
      <c r="E458" s="1245"/>
      <c r="F458" s="1245"/>
    </row>
    <row r="459" spans="1:6">
      <c r="A459" s="327"/>
      <c r="B459" s="327"/>
      <c r="C459" s="327"/>
      <c r="D459" s="1245"/>
      <c r="E459" s="1245"/>
      <c r="F459" s="1245"/>
    </row>
    <row r="460" spans="1:6">
      <c r="A460" s="327"/>
      <c r="B460" s="327"/>
      <c r="C460" s="327"/>
      <c r="D460" s="1245"/>
      <c r="E460" s="1245"/>
      <c r="F460" s="1245"/>
    </row>
    <row r="461" spans="1:6">
      <c r="A461" s="327"/>
      <c r="B461" s="327"/>
      <c r="C461" s="327"/>
      <c r="D461" s="1245"/>
      <c r="E461" s="1245"/>
      <c r="F461" s="1245"/>
    </row>
    <row r="462" spans="1:6">
      <c r="D462" s="1245"/>
      <c r="E462" s="1245"/>
      <c r="F462" s="1245"/>
    </row>
    <row r="463" spans="1:6" ht="40.700000000000003" customHeight="1">
      <c r="D463" s="1245"/>
      <c r="E463" s="1245"/>
      <c r="F463" s="1245"/>
    </row>
    <row r="464" spans="1:6">
      <c r="D464" s="373"/>
      <c r="E464" s="373"/>
      <c r="F464" s="373"/>
    </row>
    <row r="465" spans="1:6" ht="14.25">
      <c r="A465" s="410"/>
      <c r="B465" s="411" t="s">
        <v>2751</v>
      </c>
      <c r="C465" s="413"/>
      <c r="D465" s="1245" t="s">
        <v>390</v>
      </c>
      <c r="E465" s="1245"/>
      <c r="F465" s="1245"/>
    </row>
    <row r="466" spans="1:6">
      <c r="D466" s="1245"/>
      <c r="E466" s="1245"/>
      <c r="F466" s="1245"/>
    </row>
    <row r="467" spans="1:6">
      <c r="D467" s="1245"/>
      <c r="E467" s="1245"/>
      <c r="F467" s="1245"/>
    </row>
    <row r="468" spans="1:6">
      <c r="D468" s="372"/>
      <c r="E468" s="372"/>
      <c r="F468" s="372"/>
    </row>
    <row r="469" spans="1:6" ht="14.25">
      <c r="B469" s="411" t="s">
        <v>2751</v>
      </c>
      <c r="C469" s="410"/>
      <c r="D469" s="1245" t="s">
        <v>623</v>
      </c>
      <c r="E469" s="1245"/>
      <c r="F469" s="1245"/>
    </row>
    <row r="470" spans="1:6">
      <c r="D470" s="1245"/>
      <c r="E470" s="1245"/>
      <c r="F470" s="1245"/>
    </row>
    <row r="471" spans="1:6">
      <c r="D471" s="373"/>
      <c r="E471" s="373"/>
      <c r="F471" s="373"/>
    </row>
    <row r="472" spans="1:6" ht="14.25">
      <c r="B472" s="411" t="s">
        <v>2751</v>
      </c>
      <c r="C472" s="410"/>
      <c r="D472" s="1245" t="s">
        <v>392</v>
      </c>
      <c r="E472" s="1245"/>
      <c r="F472" s="1245"/>
    </row>
    <row r="473" spans="1:6">
      <c r="D473" s="1245"/>
      <c r="E473" s="1245"/>
      <c r="F473" s="1245"/>
    </row>
    <row r="474" spans="1:6">
      <c r="D474" s="1245"/>
      <c r="E474" s="1245"/>
      <c r="F474" s="1245"/>
    </row>
    <row r="475" spans="1:6">
      <c r="D475" s="1245"/>
      <c r="E475" s="1245"/>
      <c r="F475" s="1245"/>
    </row>
    <row r="476" spans="1:6">
      <c r="B476" s="411" t="s">
        <v>2751</v>
      </c>
      <c r="D476" s="1245"/>
      <c r="E476" s="1245"/>
      <c r="F476" s="1245"/>
    </row>
    <row r="477" spans="1:6">
      <c r="A477" s="327"/>
      <c r="B477" s="327"/>
      <c r="C477" s="327"/>
      <c r="D477" s="1245"/>
      <c r="E477" s="1245"/>
      <c r="F477" s="1245"/>
    </row>
    <row r="478" spans="1:6">
      <c r="A478" s="327"/>
      <c r="C478" s="327"/>
      <c r="D478" s="1245"/>
      <c r="E478" s="1245"/>
      <c r="F478" s="1245"/>
    </row>
    <row r="479" spans="1:6">
      <c r="A479" s="327"/>
      <c r="B479" s="411" t="s">
        <v>2751</v>
      </c>
      <c r="C479" s="327"/>
      <c r="D479" s="1245"/>
      <c r="E479" s="1245"/>
      <c r="F479" s="1245"/>
    </row>
    <row r="480" spans="1:6">
      <c r="A480" s="327"/>
      <c r="B480" s="327"/>
      <c r="C480" s="327"/>
      <c r="D480" s="1245"/>
      <c r="E480" s="1245"/>
      <c r="F480" s="1245"/>
    </row>
    <row r="481" spans="1:9">
      <c r="A481" s="327"/>
      <c r="C481" s="327"/>
      <c r="D481" s="1245"/>
      <c r="E481" s="1245"/>
      <c r="F481" s="1245"/>
    </row>
    <row r="482" spans="1:9">
      <c r="A482" s="327"/>
      <c r="C482" s="327"/>
      <c r="D482" s="1245"/>
      <c r="E482" s="1245"/>
      <c r="F482" s="1245"/>
    </row>
    <row r="483" spans="1:9">
      <c r="A483" s="327"/>
      <c r="C483" s="327"/>
      <c r="D483" s="1245"/>
      <c r="E483" s="1245"/>
      <c r="F483" s="1245"/>
    </row>
    <row r="484" spans="1:9">
      <c r="A484" s="327"/>
      <c r="B484" s="411" t="s">
        <v>2751</v>
      </c>
      <c r="C484" s="327"/>
      <c r="D484" s="1245"/>
      <c r="E484" s="1245"/>
      <c r="F484" s="1245"/>
    </row>
    <row r="485" spans="1:9">
      <c r="A485" s="327"/>
      <c r="C485" s="327"/>
      <c r="D485" s="1245"/>
      <c r="E485" s="1245"/>
      <c r="F485" s="1245"/>
    </row>
    <row r="486" spans="1:9">
      <c r="A486" s="327"/>
      <c r="B486" s="411" t="s">
        <v>2751</v>
      </c>
      <c r="C486" s="327"/>
      <c r="D486" s="1245" t="s">
        <v>393</v>
      </c>
      <c r="E486" s="1245"/>
      <c r="F486" s="1245"/>
    </row>
    <row r="487" spans="1:9">
      <c r="A487" s="327"/>
      <c r="B487" s="327"/>
      <c r="C487" s="327"/>
      <c r="D487" s="1245"/>
      <c r="E487" s="1245"/>
      <c r="F487" s="1245"/>
    </row>
    <row r="488" spans="1:9">
      <c r="A488" s="327"/>
      <c r="B488" s="327"/>
      <c r="C488" s="327"/>
      <c r="D488" s="1245"/>
      <c r="E488" s="1245"/>
      <c r="F488" s="1245"/>
    </row>
    <row r="489" spans="1:9">
      <c r="A489" s="327"/>
      <c r="B489" s="327"/>
      <c r="C489" s="327"/>
      <c r="D489" s="1245"/>
      <c r="E489" s="1245"/>
      <c r="F489" s="1245"/>
    </row>
    <row r="490" spans="1:9">
      <c r="D490" s="1245"/>
      <c r="E490" s="1245"/>
      <c r="F490" s="1245"/>
    </row>
    <row r="491" spans="1:9">
      <c r="D491" s="373"/>
      <c r="E491" s="373"/>
      <c r="F491" s="373"/>
    </row>
    <row r="492" spans="1:9">
      <c r="B492" s="411" t="s">
        <v>2751</v>
      </c>
      <c r="D492" s="1246" t="s">
        <v>394</v>
      </c>
      <c r="E492" s="1246"/>
      <c r="F492" s="1246"/>
    </row>
    <row r="493" spans="1:9">
      <c r="A493" s="373"/>
      <c r="B493" s="373"/>
    </row>
    <row r="494" spans="1:9">
      <c r="A494" s="1234" t="s">
        <v>395</v>
      </c>
      <c r="B494" s="1234"/>
      <c r="C494" s="1234"/>
      <c r="D494" s="1234"/>
      <c r="E494" s="1234"/>
      <c r="F494" s="1234"/>
      <c r="G494" s="1234"/>
      <c r="H494" s="952"/>
      <c r="I494" s="953"/>
    </row>
    <row r="495" spans="1:9">
      <c r="A495" s="373"/>
      <c r="B495" s="373"/>
    </row>
    <row r="496" spans="1:9">
      <c r="D496" s="1231" t="s">
        <v>396</v>
      </c>
      <c r="E496" s="1231"/>
      <c r="F496" s="1231"/>
    </row>
    <row r="497" spans="1:9" ht="14.25">
      <c r="A497" s="410"/>
      <c r="B497" s="410"/>
      <c r="D497" s="1232" t="s">
        <v>397</v>
      </c>
      <c r="E497" s="1232"/>
      <c r="F497" s="1232"/>
    </row>
    <row r="498" spans="1:9" ht="14.25">
      <c r="A498" s="410"/>
      <c r="B498" s="410"/>
      <c r="D498" s="374"/>
    </row>
    <row r="499" spans="1:9" ht="14.25">
      <c r="A499" s="410"/>
      <c r="B499" s="411" t="s">
        <v>2751</v>
      </c>
      <c r="D499" s="1228" t="s">
        <v>398</v>
      </c>
      <c r="E499" s="1228"/>
      <c r="F499" s="1228"/>
      <c r="I499" s="329" t="s">
        <v>624</v>
      </c>
    </row>
    <row r="500" spans="1:9" ht="14.25">
      <c r="A500" s="410"/>
      <c r="B500" s="410"/>
      <c r="D500" s="1228"/>
      <c r="E500" s="1228"/>
      <c r="F500" s="1228"/>
    </row>
    <row r="501" spans="1:9" ht="14.25">
      <c r="A501" s="410"/>
      <c r="B501" s="410"/>
      <c r="D501" s="373"/>
    </row>
    <row r="502" spans="1:9" ht="12.75" customHeight="1">
      <c r="B502" s="411" t="s">
        <v>2751</v>
      </c>
      <c r="D502" s="1233" t="s">
        <v>625</v>
      </c>
      <c r="E502" s="1233"/>
      <c r="F502" s="1233"/>
      <c r="I502" s="329" t="s">
        <v>626</v>
      </c>
    </row>
    <row r="503" spans="1:9" ht="14.25">
      <c r="A503" s="410"/>
      <c r="D503" s="1233"/>
      <c r="E503" s="1233"/>
      <c r="F503" s="1233"/>
    </row>
    <row r="504" spans="1:9" ht="14.25">
      <c r="A504" s="410"/>
      <c r="B504" s="410"/>
      <c r="D504" s="1233"/>
      <c r="E504" s="1233"/>
      <c r="F504" s="1233"/>
    </row>
    <row r="505" spans="1:9" ht="14.25">
      <c r="A505" s="410"/>
      <c r="B505" s="410"/>
      <c r="D505" s="1233"/>
      <c r="E505" s="1233"/>
      <c r="F505" s="1233"/>
    </row>
    <row r="506" spans="1:9" ht="14.25">
      <c r="A506" s="410"/>
      <c r="D506" s="445"/>
      <c r="E506" s="445"/>
      <c r="F506" s="445"/>
    </row>
    <row r="507" spans="1:9" ht="14.25">
      <c r="A507" s="410"/>
      <c r="B507" s="411" t="s">
        <v>2751</v>
      </c>
      <c r="D507" s="1246" t="s">
        <v>401</v>
      </c>
      <c r="E507" s="1246"/>
      <c r="F507" s="1246"/>
      <c r="I507" s="329" t="s">
        <v>627</v>
      </c>
    </row>
    <row r="508" spans="1:9" ht="14.25">
      <c r="A508" s="410"/>
      <c r="B508" s="410"/>
      <c r="D508" s="373"/>
    </row>
    <row r="509" spans="1:9" ht="14.25">
      <c r="A509" s="410"/>
      <c r="B509" s="411" t="s">
        <v>2751</v>
      </c>
      <c r="D509" s="1245" t="s">
        <v>402</v>
      </c>
      <c r="E509" s="1245"/>
      <c r="F509" s="1245"/>
      <c r="I509" s="329" t="s">
        <v>627</v>
      </c>
    </row>
    <row r="510" spans="1:9" ht="14.25">
      <c r="A510" s="410"/>
      <c r="D510" s="1245"/>
      <c r="E510" s="1245"/>
      <c r="F510" s="1245"/>
    </row>
    <row r="511" spans="1:9">
      <c r="A511" s="416"/>
      <c r="B511" s="416"/>
      <c r="D511" s="374"/>
    </row>
    <row r="512" spans="1:9">
      <c r="A512" s="416"/>
      <c r="B512" s="411" t="s">
        <v>2751</v>
      </c>
      <c r="D512" s="1246" t="s">
        <v>403</v>
      </c>
      <c r="E512" s="1246"/>
      <c r="F512" s="1246"/>
      <c r="I512" s="329" t="s">
        <v>628</v>
      </c>
    </row>
    <row r="513" spans="1:9" ht="14.25">
      <c r="A513" s="410"/>
      <c r="B513" s="410"/>
      <c r="D513" s="373"/>
    </row>
    <row r="514" spans="1:9">
      <c r="A514" s="1234" t="s">
        <v>404</v>
      </c>
      <c r="B514" s="1234"/>
      <c r="C514" s="1234"/>
      <c r="D514" s="1234"/>
      <c r="E514" s="1234"/>
      <c r="F514" s="1234"/>
      <c r="G514" s="1234"/>
      <c r="H514" s="952"/>
      <c r="I514" s="953"/>
    </row>
    <row r="515" spans="1:9" ht="12" customHeight="1">
      <c r="A515" s="410"/>
      <c r="B515" s="410"/>
      <c r="D515" s="373"/>
    </row>
    <row r="516" spans="1:9">
      <c r="C516" s="408"/>
      <c r="D516" s="1244" t="s">
        <v>405</v>
      </c>
      <c r="E516" s="1244"/>
      <c r="F516" s="1244"/>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2750</v>
      </c>
      <c r="C520" s="409"/>
      <c r="D520" s="1228" t="s">
        <v>631</v>
      </c>
      <c r="E520" s="1228"/>
      <c r="F520" s="1228"/>
      <c r="I520" s="329" t="s">
        <v>632</v>
      </c>
    </row>
    <row r="521" spans="1:9">
      <c r="A521" s="409"/>
      <c r="B521" s="409"/>
      <c r="C521" s="409"/>
      <c r="D521" s="1228"/>
      <c r="E521" s="1228"/>
      <c r="F521" s="1228"/>
    </row>
    <row r="522" spans="1:9">
      <c r="A522" s="409"/>
      <c r="B522" s="409"/>
      <c r="C522" s="409"/>
      <c r="D522" s="378"/>
      <c r="E522" s="378"/>
      <c r="F522" s="378"/>
      <c r="I522" s="327"/>
    </row>
    <row r="523" spans="1:9" ht="12.75" customHeight="1">
      <c r="A523" s="409"/>
      <c r="B523" s="411" t="s">
        <v>2751</v>
      </c>
      <c r="D523" s="311" t="s">
        <v>633</v>
      </c>
      <c r="E523" s="310"/>
      <c r="F523" s="310"/>
      <c r="I523" s="329" t="s">
        <v>634</v>
      </c>
    </row>
    <row r="524" spans="1:9">
      <c r="A524" s="409"/>
      <c r="B524" s="409"/>
      <c r="C524" s="409"/>
      <c r="D524" s="310"/>
      <c r="E524" s="72" t="s">
        <v>635</v>
      </c>
    </row>
    <row r="525" spans="1:9">
      <c r="A525" s="409"/>
      <c r="B525" s="409"/>
      <c r="D525" s="1274" t="s">
        <v>636</v>
      </c>
      <c r="E525" s="1274"/>
      <c r="F525" s="1274"/>
    </row>
    <row r="526" spans="1:9">
      <c r="A526" s="409"/>
      <c r="B526" s="409"/>
      <c r="D526" s="1274"/>
      <c r="E526" s="1274"/>
      <c r="F526" s="1274"/>
    </row>
    <row r="527" spans="1:9">
      <c r="A527" s="409"/>
      <c r="B527" s="409"/>
      <c r="C527" s="409"/>
      <c r="D527" s="1274"/>
      <c r="E527" s="1274"/>
      <c r="F527" s="1274"/>
    </row>
    <row r="528" spans="1:9">
      <c r="A528" s="409"/>
      <c r="B528" s="409"/>
      <c r="C528" s="409"/>
      <c r="D528" s="424"/>
      <c r="F528" s="373"/>
    </row>
    <row r="529" spans="1:9" ht="13.35" customHeight="1">
      <c r="A529" s="409"/>
      <c r="B529" s="411" t="s">
        <v>2751</v>
      </c>
      <c r="C529" s="409"/>
      <c r="D529" s="1245" t="s">
        <v>637</v>
      </c>
      <c r="E529" s="1245"/>
      <c r="F529" s="1245"/>
      <c r="I529" s="329" t="s">
        <v>634</v>
      </c>
    </row>
    <row r="530" spans="1:9">
      <c r="A530" s="409"/>
      <c r="B530" s="409"/>
      <c r="C530" s="409"/>
      <c r="D530" s="1245"/>
      <c r="E530" s="1245"/>
      <c r="F530" s="1245"/>
    </row>
    <row r="531" spans="1:9" ht="12" customHeight="1">
      <c r="A531" s="373"/>
      <c r="B531" s="373"/>
      <c r="C531" s="413"/>
      <c r="D531" s="373"/>
      <c r="F531" s="375"/>
    </row>
    <row r="532" spans="1:9">
      <c r="A532" s="1234" t="s">
        <v>413</v>
      </c>
      <c r="B532" s="1234"/>
      <c r="C532" s="1234"/>
      <c r="D532" s="1234"/>
      <c r="E532" s="1234"/>
      <c r="F532" s="1234"/>
      <c r="G532" s="1234"/>
      <c r="H532" s="952"/>
      <c r="I532" s="953"/>
    </row>
    <row r="533" spans="1:9">
      <c r="A533" s="373"/>
      <c r="B533" s="373"/>
      <c r="C533" s="413"/>
      <c r="F533" s="375"/>
    </row>
    <row r="534" spans="1:9">
      <c r="B534" s="1248" t="s">
        <v>334</v>
      </c>
      <c r="C534" s="1248"/>
      <c r="D534" s="1248"/>
      <c r="E534" s="1248"/>
      <c r="F534" s="1248"/>
    </row>
    <row r="535" spans="1:9">
      <c r="A535" s="373"/>
      <c r="B535" s="373"/>
      <c r="C535" s="413"/>
      <c r="D535" s="373"/>
      <c r="F535" s="373"/>
    </row>
    <row r="536" spans="1:9">
      <c r="A536" s="1263" t="s">
        <v>414</v>
      </c>
      <c r="B536" s="1263"/>
      <c r="C536" s="1263"/>
      <c r="D536" s="1263"/>
      <c r="E536" s="1263"/>
      <c r="F536" s="1263"/>
      <c r="G536" s="1263"/>
      <c r="H536" s="952"/>
      <c r="I536" s="953"/>
    </row>
    <row r="537" spans="1:9">
      <c r="A537" s="373"/>
      <c r="B537" s="373"/>
      <c r="C537" s="413"/>
      <c r="D537" s="373"/>
      <c r="F537" s="373"/>
    </row>
    <row r="538" spans="1:9">
      <c r="C538" s="413"/>
      <c r="D538" s="1244" t="s">
        <v>415</v>
      </c>
      <c r="E538" s="1244"/>
      <c r="F538" s="1244"/>
    </row>
    <row r="539" spans="1:9">
      <c r="C539" s="413"/>
      <c r="D539" s="1246" t="s">
        <v>416</v>
      </c>
      <c r="E539" s="1246"/>
      <c r="F539" s="1246"/>
    </row>
    <row r="540" spans="1:9">
      <c r="C540" s="413"/>
      <c r="D540" s="373"/>
      <c r="E540" s="373"/>
      <c r="F540" s="373"/>
    </row>
    <row r="541" spans="1:9" ht="13.7" customHeight="1">
      <c r="A541" s="410"/>
      <c r="B541" s="411" t="s">
        <v>2750</v>
      </c>
      <c r="C541" s="413"/>
      <c r="D541" s="1246" t="s">
        <v>417</v>
      </c>
      <c r="E541" s="1246"/>
      <c r="F541" s="1246"/>
      <c r="I541" s="329" t="s">
        <v>638</v>
      </c>
    </row>
    <row r="542" spans="1:9" ht="13.7" customHeight="1">
      <c r="A542" s="413"/>
      <c r="B542" s="413"/>
      <c r="C542" s="413"/>
      <c r="D542" s="373"/>
    </row>
    <row r="543" spans="1:9" ht="14.25">
      <c r="A543" s="410"/>
      <c r="B543" s="411" t="s">
        <v>2750</v>
      </c>
      <c r="C543" s="413"/>
      <c r="D543" s="1245" t="s">
        <v>418</v>
      </c>
      <c r="E543" s="1245"/>
      <c r="F543" s="1245"/>
      <c r="I543" s="329" t="s">
        <v>638</v>
      </c>
    </row>
    <row r="544" spans="1:9">
      <c r="A544" s="413"/>
      <c r="B544" s="413"/>
      <c r="C544" s="413"/>
      <c r="D544" s="1245"/>
      <c r="E544" s="1245"/>
      <c r="F544" s="1245"/>
    </row>
    <row r="545" spans="1:9">
      <c r="A545" s="413"/>
      <c r="B545" s="413"/>
      <c r="C545" s="413"/>
      <c r="D545" s="373"/>
      <c r="E545" s="373"/>
      <c r="F545" s="373"/>
    </row>
    <row r="546" spans="1:9" ht="14.25">
      <c r="A546" s="410"/>
      <c r="B546" s="411" t="s">
        <v>2750</v>
      </c>
      <c r="C546" s="413"/>
      <c r="D546" s="1245" t="s">
        <v>419</v>
      </c>
      <c r="E546" s="1245"/>
      <c r="F546" s="1245"/>
      <c r="I546" s="329" t="s">
        <v>639</v>
      </c>
    </row>
    <row r="547" spans="1:9">
      <c r="A547" s="413"/>
      <c r="B547" s="413"/>
      <c r="C547" s="413"/>
      <c r="D547" s="1245"/>
      <c r="E547" s="1245"/>
      <c r="F547" s="1245"/>
    </row>
    <row r="548" spans="1:9">
      <c r="A548" s="413"/>
      <c r="B548" s="413"/>
      <c r="C548" s="413"/>
      <c r="D548" s="373"/>
      <c r="E548" s="373"/>
      <c r="F548" s="373"/>
    </row>
    <row r="549" spans="1:9" ht="14.25">
      <c r="A549" s="410"/>
      <c r="B549" s="411" t="s">
        <v>2750</v>
      </c>
      <c r="C549" s="413"/>
      <c r="D549" s="1245" t="s">
        <v>420</v>
      </c>
      <c r="E549" s="1245"/>
      <c r="F549" s="1245"/>
      <c r="I549" s="329" t="s">
        <v>640</v>
      </c>
    </row>
    <row r="550" spans="1:9">
      <c r="A550" s="413"/>
      <c r="B550" s="413"/>
      <c r="C550" s="413"/>
      <c r="D550" s="1245"/>
      <c r="E550" s="1245"/>
      <c r="F550" s="1245"/>
    </row>
    <row r="551" spans="1:9">
      <c r="A551" s="413"/>
      <c r="B551" s="413"/>
      <c r="C551" s="413"/>
      <c r="D551" s="373"/>
      <c r="E551" s="373"/>
      <c r="F551" s="373"/>
    </row>
    <row r="552" spans="1:9" ht="14.25">
      <c r="A552" s="410"/>
      <c r="B552" s="411" t="s">
        <v>2750</v>
      </c>
      <c r="C552" s="413"/>
      <c r="D552" s="1245" t="s">
        <v>421</v>
      </c>
      <c r="E552" s="1245"/>
      <c r="F552" s="1245"/>
      <c r="I552" s="329" t="s">
        <v>641</v>
      </c>
    </row>
    <row r="553" spans="1:9">
      <c r="A553" s="413"/>
      <c r="B553" s="413"/>
      <c r="C553" s="413"/>
      <c r="D553" s="1245"/>
      <c r="E553" s="1245"/>
      <c r="F553" s="1245"/>
    </row>
    <row r="554" spans="1:9">
      <c r="A554" s="413"/>
      <c r="B554" s="413"/>
      <c r="C554" s="413"/>
      <c r="D554" s="1245"/>
      <c r="E554" s="1245"/>
      <c r="F554" s="1245"/>
    </row>
    <row r="555" spans="1:9">
      <c r="A555" s="413"/>
      <c r="B555" s="413"/>
      <c r="C555" s="413"/>
      <c r="D555" s="373"/>
      <c r="E555" s="373"/>
      <c r="F555" s="373"/>
    </row>
    <row r="556" spans="1:9" ht="14.25">
      <c r="A556" s="410"/>
      <c r="B556" s="411" t="s">
        <v>2751</v>
      </c>
      <c r="C556" s="413"/>
      <c r="D556" s="1245" t="s">
        <v>422</v>
      </c>
      <c r="E556" s="1245"/>
      <c r="F556" s="1245"/>
      <c r="I556" s="329" t="s">
        <v>638</v>
      </c>
    </row>
    <row r="557" spans="1:9">
      <c r="A557" s="413"/>
      <c r="B557" s="413"/>
      <c r="C557" s="413"/>
      <c r="D557" s="1245"/>
      <c r="E557" s="1245"/>
      <c r="F557" s="1245"/>
    </row>
    <row r="558" spans="1:9">
      <c r="A558" s="413"/>
      <c r="B558" s="413"/>
      <c r="C558" s="413"/>
      <c r="D558" s="373"/>
      <c r="E558" s="373"/>
      <c r="F558" s="373"/>
    </row>
    <row r="559" spans="1:9" ht="14.25">
      <c r="A559" s="410"/>
      <c r="B559" s="411" t="s">
        <v>2750</v>
      </c>
      <c r="C559" s="413"/>
      <c r="D559" s="1245" t="s">
        <v>424</v>
      </c>
      <c r="E559" s="1245"/>
      <c r="F559" s="1245"/>
      <c r="I559" s="329" t="s">
        <v>638</v>
      </c>
    </row>
    <row r="560" spans="1:9">
      <c r="A560" s="413"/>
      <c r="B560" s="413"/>
      <c r="C560" s="413"/>
      <c r="D560" s="1245"/>
      <c r="E560" s="1245"/>
      <c r="F560" s="1245"/>
    </row>
    <row r="561" spans="1:9">
      <c r="A561" s="413"/>
      <c r="B561" s="413"/>
      <c r="C561" s="413"/>
      <c r="D561" s="373"/>
      <c r="E561" s="373"/>
      <c r="F561" s="373"/>
    </row>
    <row r="562" spans="1:9" ht="14.25">
      <c r="A562" s="410"/>
      <c r="B562" s="411" t="s">
        <v>2750</v>
      </c>
      <c r="C562" s="413"/>
      <c r="D562" s="1246" t="s">
        <v>425</v>
      </c>
      <c r="E562" s="1246"/>
      <c r="F562" s="1246"/>
      <c r="I562" s="329" t="s">
        <v>642</v>
      </c>
    </row>
    <row r="563" spans="1:9">
      <c r="A563" s="416"/>
      <c r="B563" s="416"/>
      <c r="C563" s="413"/>
      <c r="D563" s="1246" t="s">
        <v>643</v>
      </c>
      <c r="E563" s="1246"/>
      <c r="F563" s="1246"/>
    </row>
    <row r="564" spans="1:9">
      <c r="A564" s="416"/>
      <c r="B564" s="416"/>
      <c r="C564" s="413"/>
      <c r="E564" s="72" t="s">
        <v>644</v>
      </c>
      <c r="F564" s="329"/>
    </row>
    <row r="565" spans="1:9" ht="14.25">
      <c r="A565" s="410"/>
      <c r="B565" s="410"/>
      <c r="C565" s="413"/>
      <c r="E565" s="373"/>
      <c r="F565" s="373"/>
    </row>
    <row r="566" spans="1:9" ht="14.25">
      <c r="A566" s="410"/>
      <c r="B566" s="411" t="s">
        <v>2750</v>
      </c>
      <c r="C566" s="413"/>
      <c r="D566" s="1246" t="s">
        <v>428</v>
      </c>
      <c r="E566" s="1246"/>
      <c r="F566" s="1246"/>
      <c r="I566" s="329" t="s">
        <v>645</v>
      </c>
    </row>
    <row r="567" spans="1:9">
      <c r="C567" s="413"/>
      <c r="D567" s="1245" t="s">
        <v>429</v>
      </c>
      <c r="E567" s="1245"/>
      <c r="F567" s="1245"/>
    </row>
    <row r="568" spans="1:9">
      <c r="A568" s="413"/>
      <c r="B568" s="413"/>
      <c r="C568" s="413"/>
      <c r="D568" s="1245"/>
      <c r="E568" s="1245"/>
      <c r="F568" s="1245"/>
    </row>
    <row r="569" spans="1:9">
      <c r="A569" s="413"/>
      <c r="B569" s="413"/>
      <c r="C569" s="413"/>
      <c r="D569" s="1245"/>
      <c r="E569" s="1245"/>
      <c r="F569" s="1245"/>
    </row>
    <row r="570" spans="1:9">
      <c r="A570" s="413"/>
      <c r="B570" s="413"/>
      <c r="C570" s="413"/>
      <c r="D570" s="373"/>
      <c r="E570" s="373"/>
      <c r="F570" s="373"/>
    </row>
    <row r="571" spans="1:9" ht="14.25">
      <c r="A571" s="410"/>
      <c r="B571" s="411" t="s">
        <v>2750</v>
      </c>
      <c r="C571" s="413"/>
      <c r="D571" s="1245" t="s">
        <v>646</v>
      </c>
      <c r="E571" s="1245"/>
      <c r="F571" s="1245"/>
      <c r="I571" s="329" t="s">
        <v>647</v>
      </c>
    </row>
    <row r="572" spans="1:9" ht="14.25">
      <c r="A572" s="410"/>
      <c r="B572" s="410"/>
      <c r="C572" s="413"/>
      <c r="D572" s="1245"/>
      <c r="E572" s="1245"/>
      <c r="F572" s="1245"/>
    </row>
    <row r="573" spans="1:9" ht="14.25">
      <c r="A573" s="410"/>
      <c r="B573" s="410"/>
      <c r="C573" s="413"/>
      <c r="D573" s="1245"/>
      <c r="E573" s="1245"/>
      <c r="F573" s="1245"/>
    </row>
    <row r="574" spans="1:9" ht="14.25">
      <c r="A574" s="410"/>
      <c r="B574" s="410"/>
      <c r="C574" s="413"/>
      <c r="D574" s="1245"/>
      <c r="E574" s="1245"/>
      <c r="F574" s="1245"/>
    </row>
    <row r="575" spans="1:9" ht="14.25">
      <c r="A575" s="410"/>
      <c r="B575" s="410"/>
      <c r="C575" s="413"/>
      <c r="D575" s="373"/>
      <c r="E575" s="373"/>
      <c r="F575" s="373"/>
    </row>
    <row r="576" spans="1:9">
      <c r="A576" s="1234" t="s">
        <v>431</v>
      </c>
      <c r="B576" s="1234"/>
      <c r="C576" s="1234"/>
      <c r="D576" s="1234"/>
      <c r="E576" s="1234"/>
      <c r="F576" s="1234"/>
      <c r="G576" s="1234"/>
      <c r="H576" s="952"/>
      <c r="I576" s="953"/>
    </row>
    <row r="577" spans="1:9">
      <c r="A577" s="413"/>
      <c r="B577" s="413"/>
      <c r="C577" s="413"/>
      <c r="E577" s="373"/>
      <c r="F577" s="373"/>
    </row>
    <row r="578" spans="1:9" ht="12.75" customHeight="1">
      <c r="C578" s="408"/>
      <c r="D578" s="1247" t="s">
        <v>432</v>
      </c>
      <c r="E578" s="1247"/>
      <c r="F578" s="1247"/>
    </row>
    <row r="579" spans="1:9">
      <c r="A579" s="409"/>
      <c r="B579" s="409"/>
      <c r="C579" s="409"/>
      <c r="D579" s="1233" t="s">
        <v>433</v>
      </c>
      <c r="E579" s="1233"/>
      <c r="F579" s="1233"/>
    </row>
    <row r="580" spans="1:9">
      <c r="A580" s="327"/>
      <c r="B580" s="327"/>
      <c r="C580" s="409"/>
      <c r="D580" s="425"/>
      <c r="I580" s="329" t="s">
        <v>648</v>
      </c>
    </row>
    <row r="581" spans="1:9">
      <c r="A581" s="409"/>
      <c r="B581" s="411" t="s">
        <v>2750</v>
      </c>
      <c r="D581" s="1233" t="s">
        <v>434</v>
      </c>
      <c r="E581" s="1233"/>
      <c r="F581" s="1233"/>
    </row>
    <row r="582" spans="1:9">
      <c r="A582" s="416"/>
      <c r="B582" s="416"/>
      <c r="D582" s="402"/>
    </row>
    <row r="583" spans="1:9">
      <c r="A583" s="416"/>
      <c r="B583" s="411" t="s">
        <v>2750</v>
      </c>
      <c r="D583" s="1233" t="s">
        <v>649</v>
      </c>
      <c r="E583" s="1233"/>
      <c r="F583" s="1233"/>
      <c r="I583" s="329" t="s">
        <v>650</v>
      </c>
    </row>
    <row r="584" spans="1:9">
      <c r="A584" s="416"/>
      <c r="B584" s="416"/>
      <c r="D584" s="1233"/>
      <c r="E584" s="1233"/>
      <c r="F584" s="1233"/>
      <c r="I584" s="329" t="s">
        <v>651</v>
      </c>
    </row>
    <row r="585" spans="1:9">
      <c r="A585" s="416"/>
      <c r="B585" s="416"/>
      <c r="D585" s="1233"/>
      <c r="E585" s="1233"/>
      <c r="F585" s="1233"/>
    </row>
    <row r="586" spans="1:9">
      <c r="A586" s="416"/>
      <c r="B586" s="416"/>
      <c r="D586" s="1233"/>
      <c r="E586" s="1233"/>
      <c r="F586" s="1233"/>
    </row>
    <row r="587" spans="1:9">
      <c r="A587" s="416"/>
      <c r="B587" s="411" t="s">
        <v>2751</v>
      </c>
      <c r="D587" s="1233" t="s">
        <v>436</v>
      </c>
      <c r="E587" s="1233"/>
      <c r="F587" s="1233"/>
    </row>
    <row r="588" spans="1:9">
      <c r="A588" s="416"/>
      <c r="B588" s="416"/>
      <c r="D588" s="1233"/>
      <c r="E588" s="1233"/>
      <c r="F588" s="1233"/>
    </row>
    <row r="589" spans="1:9">
      <c r="A589" s="416"/>
      <c r="B589" s="416"/>
      <c r="D589" s="1233"/>
      <c r="E589" s="1233"/>
      <c r="F589" s="1233"/>
    </row>
    <row r="590" spans="1:9">
      <c r="A590" s="416"/>
      <c r="B590" s="416"/>
      <c r="D590" s="1233"/>
      <c r="E590" s="1233"/>
      <c r="F590" s="1233"/>
    </row>
    <row r="591" spans="1:9">
      <c r="A591" s="416"/>
      <c r="B591" s="416"/>
      <c r="D591" s="367"/>
      <c r="E591" s="367"/>
      <c r="F591" s="367"/>
    </row>
    <row r="592" spans="1:9">
      <c r="A592" s="416"/>
      <c r="B592" s="411" t="s">
        <v>2750</v>
      </c>
      <c r="D592" s="1233" t="s">
        <v>652</v>
      </c>
      <c r="E592" s="1233"/>
      <c r="F592" s="1233"/>
    </row>
    <row r="593" spans="1:9">
      <c r="A593" s="416"/>
      <c r="B593" s="416"/>
      <c r="D593" s="1233"/>
      <c r="E593" s="1233"/>
      <c r="F593" s="1233"/>
    </row>
    <row r="594" spans="1:9">
      <c r="A594" s="416"/>
      <c r="B594" s="416"/>
      <c r="D594" s="425"/>
    </row>
    <row r="595" spans="1:9">
      <c r="A595" s="416"/>
      <c r="B595" s="411" t="s">
        <v>2751</v>
      </c>
      <c r="D595" s="1233" t="s">
        <v>438</v>
      </c>
      <c r="E595" s="1233"/>
      <c r="F595" s="1233"/>
      <c r="I595" s="329" t="s">
        <v>653</v>
      </c>
    </row>
    <row r="596" spans="1:9">
      <c r="A596" s="416"/>
      <c r="B596" s="416"/>
      <c r="D596" s="1233"/>
      <c r="E596" s="1233"/>
      <c r="F596" s="1233"/>
    </row>
    <row r="597" spans="1:9" ht="14.25">
      <c r="A597" s="410"/>
      <c r="B597" s="410"/>
      <c r="D597" s="425"/>
    </row>
    <row r="598" spans="1:9">
      <c r="A598" s="1234" t="s">
        <v>441</v>
      </c>
      <c r="B598" s="1234"/>
      <c r="C598" s="1234"/>
      <c r="D598" s="1234"/>
      <c r="E598" s="1234"/>
      <c r="F598" s="1234"/>
      <c r="G598" s="1234"/>
      <c r="H598" s="952"/>
      <c r="I598" s="953"/>
    </row>
    <row r="599" spans="1:9"/>
    <row r="600" spans="1:9">
      <c r="D600" s="1244" t="s">
        <v>442</v>
      </c>
      <c r="E600" s="1244"/>
      <c r="F600" s="1244"/>
    </row>
    <row r="601" spans="1:9">
      <c r="D601" s="1266" t="s">
        <v>443</v>
      </c>
      <c r="E601" s="1266"/>
      <c r="F601" s="1266"/>
    </row>
    <row r="602" spans="1:9">
      <c r="D602" s="371"/>
    </row>
    <row r="603" spans="1:9" ht="14.25" customHeight="1">
      <c r="A603" s="410"/>
      <c r="B603" s="411" t="s">
        <v>2750</v>
      </c>
      <c r="D603" s="1286" t="s">
        <v>654</v>
      </c>
      <c r="E603" s="1286"/>
      <c r="F603" s="1286"/>
      <c r="I603" s="329" t="s">
        <v>655</v>
      </c>
    </row>
    <row r="604" spans="1:9">
      <c r="D604" s="1286"/>
      <c r="E604" s="1286"/>
      <c r="F604" s="1286"/>
    </row>
    <row r="605" spans="1:9">
      <c r="D605" s="310"/>
      <c r="E605" s="961" t="s">
        <v>656</v>
      </c>
      <c r="F605" s="310"/>
    </row>
    <row r="606" spans="1:9"/>
    <row r="607" spans="1:9">
      <c r="A607" s="1234" t="s">
        <v>445</v>
      </c>
      <c r="B607" s="1234"/>
      <c r="C607" s="1234"/>
      <c r="D607" s="1234"/>
      <c r="E607" s="1234"/>
      <c r="F607" s="1234"/>
      <c r="G607" s="1234"/>
      <c r="H607" s="952"/>
      <c r="I607" s="953"/>
    </row>
    <row r="608" spans="1:9">
      <c r="A608" s="373"/>
      <c r="B608" s="373"/>
    </row>
    <row r="609" spans="1:9">
      <c r="A609" s="408"/>
      <c r="B609" s="408"/>
      <c r="C609" s="408"/>
      <c r="D609" s="1267" t="s">
        <v>446</v>
      </c>
      <c r="E609" s="1267"/>
      <c r="F609" s="1267"/>
    </row>
    <row r="610" spans="1:9">
      <c r="A610" s="408"/>
      <c r="B610" s="408"/>
      <c r="C610" s="408"/>
      <c r="D610" s="1267"/>
      <c r="E610" s="1267"/>
      <c r="F610" s="1267"/>
    </row>
    <row r="611" spans="1:9">
      <c r="C611" s="409"/>
      <c r="D611" s="1266" t="s">
        <v>447</v>
      </c>
      <c r="E611" s="1266"/>
      <c r="F611" s="1266"/>
    </row>
    <row r="612" spans="1:9">
      <c r="C612" s="409"/>
      <c r="D612" s="371"/>
      <c r="E612" s="371"/>
      <c r="F612" s="371"/>
    </row>
    <row r="613" spans="1:9" ht="12.75" customHeight="1">
      <c r="A613" s="416"/>
      <c r="B613" s="411" t="s">
        <v>2750</v>
      </c>
      <c r="D613" s="1243" t="s">
        <v>449</v>
      </c>
      <c r="E613" s="1243"/>
      <c r="F613" s="1243"/>
      <c r="I613" s="329" t="s">
        <v>657</v>
      </c>
    </row>
    <row r="614" spans="1:9">
      <c r="D614" s="1243"/>
      <c r="E614" s="1243"/>
      <c r="F614" s="1243"/>
    </row>
    <row r="615" spans="1:9"/>
    <row r="616" spans="1:9">
      <c r="B616" s="411" t="s">
        <v>2750</v>
      </c>
      <c r="D616" s="1243" t="s">
        <v>450</v>
      </c>
      <c r="E616" s="1243"/>
      <c r="F616" s="1243"/>
      <c r="I616" s="329" t="s">
        <v>658</v>
      </c>
    </row>
    <row r="617" spans="1:9">
      <c r="C617" s="426"/>
      <c r="D617" s="1243"/>
      <c r="E617" s="1243"/>
      <c r="F617" s="1243"/>
    </row>
    <row r="618" spans="1:9">
      <c r="C618" s="426"/>
    </row>
    <row r="619" spans="1:9">
      <c r="B619" s="411" t="s">
        <v>2751</v>
      </c>
      <c r="C619" s="426"/>
      <c r="D619" s="1243" t="s">
        <v>451</v>
      </c>
      <c r="E619" s="1243"/>
      <c r="F619" s="1243"/>
      <c r="I619" s="329" t="s">
        <v>659</v>
      </c>
    </row>
    <row r="620" spans="1:9">
      <c r="C620" s="426"/>
      <c r="D620" s="1243"/>
      <c r="E620" s="1243"/>
      <c r="F620" s="1243"/>
      <c r="I620" s="949" t="s">
        <v>660</v>
      </c>
    </row>
    <row r="621" spans="1:9">
      <c r="C621" s="426"/>
    </row>
    <row r="622" spans="1:9">
      <c r="A622" s="1234" t="s">
        <v>452</v>
      </c>
      <c r="B622" s="1234"/>
      <c r="C622" s="1234"/>
      <c r="D622" s="1234"/>
      <c r="E622" s="1234"/>
      <c r="F622" s="1234"/>
      <c r="G622" s="1234"/>
      <c r="H622" s="952"/>
      <c r="I622" s="953"/>
    </row>
    <row r="623" spans="1:9">
      <c r="A623" s="408"/>
      <c r="B623" s="408"/>
      <c r="C623" s="408"/>
    </row>
    <row r="624" spans="1:9">
      <c r="C624" s="416"/>
      <c r="D624" s="1244" t="s">
        <v>453</v>
      </c>
      <c r="E624" s="1244"/>
      <c r="F624" s="1244"/>
    </row>
    <row r="625" spans="1:9">
      <c r="A625" s="416"/>
      <c r="B625" s="416"/>
      <c r="D625" s="329"/>
    </row>
    <row r="626" spans="1:9" ht="14.25" customHeight="1">
      <c r="A626" s="410"/>
      <c r="B626" s="411" t="s">
        <v>2750</v>
      </c>
      <c r="D626" s="1286" t="s">
        <v>661</v>
      </c>
      <c r="E626" s="1286"/>
      <c r="F626" s="1286"/>
      <c r="I626" s="329" t="s">
        <v>662</v>
      </c>
    </row>
    <row r="627" spans="1:9">
      <c r="D627" s="1286"/>
      <c r="E627" s="1286"/>
      <c r="F627" s="1286"/>
    </row>
    <row r="628" spans="1:9">
      <c r="D628" s="310"/>
      <c r="E628" s="961" t="s">
        <v>663</v>
      </c>
      <c r="F628" s="310"/>
    </row>
    <row r="629" spans="1:9">
      <c r="D629" s="1245" t="s">
        <v>664</v>
      </c>
      <c r="E629" s="1245"/>
      <c r="F629" s="1245"/>
    </row>
    <row r="630" spans="1:9">
      <c r="D630" s="1245"/>
      <c r="E630" s="1245"/>
      <c r="F630" s="1245"/>
    </row>
    <row r="631" spans="1:9">
      <c r="D631" s="1245"/>
      <c r="E631" s="1245"/>
      <c r="F631" s="1245"/>
    </row>
    <row r="632" spans="1:9">
      <c r="D632" s="372"/>
      <c r="E632" s="372"/>
      <c r="F632" s="372"/>
    </row>
    <row r="633" spans="1:9" ht="14.25">
      <c r="A633" s="410"/>
      <c r="B633" s="411" t="s">
        <v>2751</v>
      </c>
      <c r="D633" s="1245" t="s">
        <v>455</v>
      </c>
      <c r="E633" s="1245"/>
      <c r="F633" s="1245"/>
      <c r="I633" s="329" t="s">
        <v>665</v>
      </c>
    </row>
    <row r="634" spans="1:9">
      <c r="A634" s="413"/>
      <c r="B634" s="413"/>
      <c r="C634" s="413"/>
      <c r="D634" s="1245"/>
      <c r="E634" s="1245"/>
      <c r="F634" s="1245"/>
    </row>
    <row r="635" spans="1:9">
      <c r="A635" s="413"/>
      <c r="B635" s="413"/>
      <c r="C635" s="413"/>
      <c r="D635" s="373"/>
      <c r="E635" s="373"/>
      <c r="F635" s="373"/>
    </row>
    <row r="636" spans="1:9" ht="14.25">
      <c r="A636" s="410"/>
      <c r="B636" s="411" t="s">
        <v>2751</v>
      </c>
      <c r="C636" s="413"/>
      <c r="D636" s="1245" t="s">
        <v>666</v>
      </c>
      <c r="E636" s="1245"/>
      <c r="F636" s="1245"/>
      <c r="I636" s="329" t="s">
        <v>667</v>
      </c>
    </row>
    <row r="637" spans="1:9" ht="14.25">
      <c r="A637" s="410"/>
      <c r="B637" s="410"/>
      <c r="C637" s="413"/>
      <c r="D637" s="1245"/>
      <c r="E637" s="1245"/>
      <c r="F637" s="1245"/>
    </row>
    <row r="638" spans="1:9" ht="14.25">
      <c r="A638" s="410"/>
      <c r="B638" s="410"/>
      <c r="C638" s="413"/>
      <c r="D638" s="1245"/>
      <c r="E638" s="1245"/>
      <c r="F638" s="1245"/>
    </row>
    <row r="639" spans="1:9">
      <c r="A639" s="413"/>
      <c r="B639" s="411" t="s">
        <v>2751</v>
      </c>
      <c r="C639" s="413"/>
      <c r="D639" s="1246" t="s">
        <v>457</v>
      </c>
      <c r="E639" s="1246"/>
      <c r="F639" s="1246"/>
      <c r="I639" s="329" t="s">
        <v>667</v>
      </c>
    </row>
    <row r="640" spans="1:9">
      <c r="A640" s="413"/>
      <c r="B640" s="413"/>
      <c r="C640" s="413"/>
      <c r="D640" s="373"/>
      <c r="E640" s="373"/>
      <c r="F640" s="373"/>
    </row>
    <row r="641" spans="1:9">
      <c r="A641" s="1234" t="s">
        <v>458</v>
      </c>
      <c r="B641" s="1234"/>
      <c r="C641" s="1234"/>
      <c r="D641" s="1234"/>
      <c r="E641" s="1234"/>
      <c r="F641" s="1234"/>
      <c r="G641" s="1234"/>
      <c r="H641" s="952"/>
      <c r="I641" s="953"/>
    </row>
    <row r="642" spans="1:9">
      <c r="A642" s="373"/>
      <c r="B642" s="373"/>
      <c r="C642" s="413"/>
      <c r="D642" s="373"/>
      <c r="E642" s="373"/>
      <c r="F642" s="373"/>
    </row>
    <row r="643" spans="1:9">
      <c r="C643" s="408"/>
      <c r="D643" s="1244" t="s">
        <v>459</v>
      </c>
      <c r="E643" s="1244"/>
      <c r="F643" s="1244"/>
    </row>
    <row r="644" spans="1:9">
      <c r="A644" s="409"/>
      <c r="B644" s="409"/>
      <c r="C644" s="409"/>
      <c r="D644" s="1246" t="s">
        <v>460</v>
      </c>
      <c r="E644" s="1246"/>
      <c r="F644" s="1246"/>
    </row>
    <row r="645" spans="1:9">
      <c r="A645" s="409"/>
      <c r="B645" s="409"/>
      <c r="C645" s="409"/>
      <c r="D645" s="373"/>
      <c r="E645" s="373"/>
      <c r="F645" s="373"/>
    </row>
    <row r="646" spans="1:9" ht="12.75" customHeight="1">
      <c r="B646" s="411" t="s">
        <v>2750</v>
      </c>
      <c r="C646" s="413"/>
      <c r="D646" s="1245" t="s">
        <v>668</v>
      </c>
      <c r="E646" s="1245"/>
      <c r="F646" s="1245"/>
      <c r="I646" s="329" t="s">
        <v>669</v>
      </c>
    </row>
    <row r="647" spans="1:9">
      <c r="D647" s="1245"/>
      <c r="E647" s="1245"/>
      <c r="F647" s="1245"/>
    </row>
    <row r="648" spans="1:9">
      <c r="D648" s="1245"/>
      <c r="E648" s="1245"/>
      <c r="F648" s="1245"/>
    </row>
    <row r="649" spans="1:9">
      <c r="D649" s="1245"/>
      <c r="E649" s="1245"/>
      <c r="F649" s="1245"/>
    </row>
    <row r="650" spans="1:9" ht="14.45" customHeight="1">
      <c r="A650" s="410"/>
      <c r="B650" s="410"/>
      <c r="C650" s="413"/>
      <c r="D650" s="310"/>
      <c r="E650" s="310"/>
      <c r="F650" s="310"/>
    </row>
    <row r="651" spans="1:9" ht="12.75" customHeight="1">
      <c r="A651" s="409"/>
      <c r="B651" s="411" t="s">
        <v>2750</v>
      </c>
      <c r="C651" s="413"/>
      <c r="D651" s="1245" t="s">
        <v>670</v>
      </c>
      <c r="E651" s="1245"/>
      <c r="F651" s="1245"/>
      <c r="I651" s="329" t="s">
        <v>669</v>
      </c>
    </row>
    <row r="652" spans="1:9" ht="14.25">
      <c r="A652" s="409"/>
      <c r="B652" s="410"/>
      <c r="C652" s="413"/>
      <c r="D652" s="1245"/>
      <c r="E652" s="1245"/>
      <c r="F652" s="1245"/>
    </row>
    <row r="653" spans="1:9" ht="14.25">
      <c r="A653" s="409"/>
      <c r="B653" s="410"/>
      <c r="C653" s="413"/>
      <c r="D653" s="1245"/>
      <c r="E653" s="1245"/>
      <c r="F653" s="1245"/>
    </row>
    <row r="654" spans="1:9" ht="14.25">
      <c r="A654" s="409"/>
      <c r="B654" s="410"/>
      <c r="C654" s="413"/>
      <c r="D654" s="1245"/>
      <c r="E654" s="1245"/>
      <c r="F654" s="1245"/>
    </row>
    <row r="655" spans="1:9" ht="14.25">
      <c r="A655" s="409"/>
      <c r="B655" s="410"/>
      <c r="C655" s="413"/>
      <c r="D655" s="1245"/>
      <c r="E655" s="1245"/>
      <c r="F655" s="1245"/>
    </row>
    <row r="656" spans="1:9" ht="14.25" customHeight="1">
      <c r="A656" s="409"/>
      <c r="B656" s="410"/>
      <c r="C656" s="413"/>
      <c r="F656" s="311"/>
    </row>
    <row r="657" spans="1:11" ht="12.75" customHeight="1">
      <c r="A657" s="409"/>
      <c r="B657" s="411" t="s">
        <v>2750</v>
      </c>
      <c r="C657" s="413"/>
      <c r="D657" s="1245" t="s">
        <v>671</v>
      </c>
      <c r="E657" s="1245"/>
      <c r="F657" s="1245"/>
      <c r="I657" s="329" t="s">
        <v>669</v>
      </c>
    </row>
    <row r="658" spans="1:11" ht="14.25">
      <c r="A658" s="409"/>
      <c r="B658" s="410"/>
      <c r="C658" s="413"/>
      <c r="D658" s="1245"/>
      <c r="E658" s="1245"/>
      <c r="F658" s="1245"/>
    </row>
    <row r="659" spans="1:11" ht="14.25">
      <c r="A659" s="410"/>
      <c r="B659" s="410"/>
      <c r="C659" s="413"/>
      <c r="D659" s="1245"/>
      <c r="E659" s="1245"/>
      <c r="F659" s="1245"/>
    </row>
    <row r="660" spans="1:11" ht="14.25">
      <c r="A660" s="410"/>
      <c r="B660" s="410"/>
      <c r="C660" s="413"/>
      <c r="D660" s="1245"/>
      <c r="E660" s="1245"/>
      <c r="F660" s="1245"/>
    </row>
    <row r="661" spans="1:11" ht="14.25">
      <c r="A661" s="410"/>
      <c r="B661" s="410"/>
      <c r="C661" s="413"/>
      <c r="D661" s="372"/>
      <c r="E661" s="372"/>
      <c r="F661" s="372"/>
    </row>
    <row r="662" spans="1:11" ht="12.75" customHeight="1">
      <c r="A662" s="409"/>
      <c r="B662" s="411" t="s">
        <v>2751</v>
      </c>
      <c r="C662" s="413"/>
      <c r="D662" s="1245" t="s">
        <v>672</v>
      </c>
      <c r="E662" s="1245"/>
      <c r="F662" s="1245"/>
      <c r="I662" s="329" t="s">
        <v>669</v>
      </c>
    </row>
    <row r="663" spans="1:11" ht="12.75" customHeight="1">
      <c r="A663" s="409"/>
      <c r="B663" s="410"/>
      <c r="C663" s="413"/>
      <c r="D663" s="1245"/>
      <c r="E663" s="1245"/>
      <c r="F663" s="1245"/>
    </row>
    <row r="664" spans="1:11" ht="12.75" customHeight="1">
      <c r="A664" s="409"/>
      <c r="B664" s="410"/>
      <c r="C664" s="413"/>
      <c r="D664" s="1245"/>
      <c r="E664" s="1245"/>
      <c r="F664" s="1245"/>
    </row>
    <row r="665" spans="1:11" ht="12.75" customHeight="1">
      <c r="A665" s="409"/>
      <c r="B665" s="410"/>
      <c r="C665" s="413"/>
      <c r="D665" s="1245"/>
      <c r="E665" s="1245"/>
      <c r="F665" s="1245"/>
    </row>
    <row r="666" spans="1:11" ht="12.75" customHeight="1">
      <c r="A666" s="409"/>
      <c r="B666" s="410"/>
      <c r="C666" s="413"/>
      <c r="D666" s="1245"/>
      <c r="E666" s="1245"/>
      <c r="F666" s="1245"/>
    </row>
    <row r="667" spans="1:11" ht="12.75" customHeight="1">
      <c r="A667" s="409"/>
      <c r="B667" s="410"/>
      <c r="C667" s="413"/>
      <c r="D667" s="1245"/>
      <c r="E667" s="1245"/>
      <c r="F667" s="1245"/>
    </row>
    <row r="668" spans="1:11" ht="12.75" customHeight="1">
      <c r="A668" s="409"/>
      <c r="B668" s="410"/>
      <c r="C668" s="413"/>
      <c r="D668" s="1245"/>
      <c r="E668" s="1245"/>
      <c r="F668" s="1245"/>
    </row>
    <row r="669" spans="1:11" ht="12.75" customHeight="1">
      <c r="A669" s="409"/>
      <c r="B669" s="410"/>
      <c r="C669" s="413"/>
      <c r="D669" s="1245"/>
      <c r="E669" s="1245"/>
      <c r="F669" s="1245"/>
    </row>
    <row r="670" spans="1:11" ht="12.75" customHeight="1">
      <c r="A670" s="409"/>
      <c r="B670" s="410"/>
      <c r="C670" s="413"/>
      <c r="D670" s="1245"/>
      <c r="E670" s="1245"/>
      <c r="F670" s="1245"/>
    </row>
    <row r="671" spans="1:11">
      <c r="A671" s="413"/>
      <c r="B671" s="413"/>
      <c r="C671" s="413"/>
      <c r="D671" s="373"/>
      <c r="E671" s="373"/>
      <c r="F671" s="373"/>
    </row>
    <row r="672" spans="1:11">
      <c r="A672" s="1234" t="s">
        <v>465</v>
      </c>
      <c r="B672" s="1234"/>
      <c r="C672" s="1234"/>
      <c r="D672" s="1234"/>
      <c r="E672" s="1234"/>
      <c r="F672" s="1234"/>
      <c r="G672" s="1234"/>
      <c r="H672" s="954"/>
      <c r="I672" s="955"/>
      <c r="J672" s="427"/>
      <c r="K672" s="427"/>
    </row>
    <row r="673" spans="1:11">
      <c r="A673" s="375"/>
      <c r="B673" s="375"/>
      <c r="C673" s="375"/>
      <c r="D673" s="375"/>
      <c r="E673" s="375"/>
      <c r="F673" s="375"/>
      <c r="G673" s="375"/>
      <c r="H673" s="427"/>
      <c r="I673" s="946"/>
      <c r="J673" s="427"/>
      <c r="K673" s="427"/>
    </row>
    <row r="674" spans="1:11">
      <c r="C674" s="408"/>
      <c r="D674" s="1244" t="s">
        <v>466</v>
      </c>
      <c r="E674" s="1244"/>
      <c r="F674" s="1244"/>
      <c r="H674" s="427"/>
      <c r="I674" s="946"/>
      <c r="J674" s="427"/>
      <c r="K674" s="427"/>
    </row>
    <row r="675" spans="1:11">
      <c r="A675" s="408"/>
      <c r="B675" s="408"/>
      <c r="C675" s="408"/>
      <c r="D675" s="1244" t="s">
        <v>467</v>
      </c>
      <c r="E675" s="1244"/>
      <c r="F675" s="1244"/>
      <c r="H675" s="427"/>
      <c r="I675" s="946"/>
      <c r="J675" s="427"/>
      <c r="K675" s="427"/>
    </row>
    <row r="676" spans="1:11">
      <c r="A676" s="409"/>
      <c r="B676" s="409"/>
      <c r="C676" s="409"/>
      <c r="D676" s="1246" t="s">
        <v>468</v>
      </c>
      <c r="E676" s="1246"/>
      <c r="F676" s="1246"/>
      <c r="H676" s="427"/>
      <c r="I676" s="946"/>
      <c r="J676" s="427"/>
      <c r="K676" s="427"/>
    </row>
    <row r="677" spans="1:11">
      <c r="A677" s="409"/>
      <c r="B677" s="409"/>
      <c r="C677" s="409"/>
      <c r="H677" s="427"/>
      <c r="I677" s="946"/>
      <c r="J677" s="427"/>
      <c r="K677" s="427"/>
    </row>
    <row r="678" spans="1:11" ht="14.25">
      <c r="A678" s="410"/>
      <c r="B678" s="411" t="s">
        <v>2750</v>
      </c>
      <c r="C678" s="409"/>
      <c r="D678" s="1246" t="s">
        <v>469</v>
      </c>
      <c r="E678" s="1246"/>
      <c r="F678" s="1246"/>
      <c r="H678" s="427"/>
      <c r="I678" s="946" t="s">
        <v>673</v>
      </c>
      <c r="J678" s="427"/>
      <c r="K678" s="427"/>
    </row>
    <row r="679" spans="1:11">
      <c r="A679" s="409"/>
      <c r="B679" s="409"/>
      <c r="C679" s="409"/>
      <c r="D679" s="1246" t="s">
        <v>470</v>
      </c>
      <c r="E679" s="1246"/>
      <c r="F679" s="1246"/>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25">
      <c r="A683" s="410"/>
      <c r="B683" s="411" t="s">
        <v>2750</v>
      </c>
      <c r="C683" s="409"/>
      <c r="D683" s="1245" t="s">
        <v>676</v>
      </c>
      <c r="E683" s="1245"/>
      <c r="F683" s="1245"/>
      <c r="H683" s="427"/>
      <c r="I683" s="946" t="s">
        <v>677</v>
      </c>
      <c r="J683" s="427"/>
      <c r="K683" s="427"/>
    </row>
    <row r="684" spans="1:11">
      <c r="A684" s="416"/>
      <c r="B684" s="416"/>
      <c r="C684" s="409"/>
      <c r="D684" s="1245"/>
      <c r="E684" s="1245"/>
      <c r="F684" s="1245"/>
      <c r="H684" s="427"/>
      <c r="I684" s="946"/>
      <c r="J684" s="427"/>
      <c r="K684" s="427"/>
    </row>
    <row r="685" spans="1:11">
      <c r="A685" s="409"/>
      <c r="B685" s="409"/>
      <c r="C685" s="409"/>
      <c r="D685" s="1245"/>
      <c r="E685" s="1245"/>
      <c r="F685" s="1245"/>
      <c r="H685" s="427"/>
      <c r="I685" s="946"/>
      <c r="J685" s="427"/>
      <c r="K685" s="427"/>
    </row>
    <row r="686" spans="1:11">
      <c r="A686" s="409"/>
      <c r="B686" s="409"/>
      <c r="C686" s="409"/>
      <c r="H686" s="427"/>
      <c r="I686" s="946" t="s">
        <v>678</v>
      </c>
      <c r="J686" s="427"/>
      <c r="K686" s="427"/>
    </row>
    <row r="687" spans="1:11" ht="14.25">
      <c r="A687" s="410"/>
      <c r="B687" s="411" t="s">
        <v>2750</v>
      </c>
      <c r="C687" s="409"/>
      <c r="D687" s="1246" t="s">
        <v>473</v>
      </c>
      <c r="E687" s="1246"/>
      <c r="F687" s="1246"/>
      <c r="H687" s="427"/>
      <c r="I687" s="946"/>
      <c r="J687" s="427"/>
      <c r="K687" s="427"/>
    </row>
    <row r="688" spans="1:11" ht="14.25">
      <c r="A688" s="410"/>
      <c r="B688" s="410"/>
      <c r="C688" s="409"/>
      <c r="D688" s="1246" t="s">
        <v>470</v>
      </c>
      <c r="E688" s="1246"/>
      <c r="F688" s="1246"/>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25">
      <c r="A691" s="410"/>
      <c r="B691" s="411" t="s">
        <v>2750</v>
      </c>
      <c r="C691" s="409"/>
      <c r="D691" s="1245" t="s">
        <v>475</v>
      </c>
      <c r="E691" s="1245"/>
      <c r="F691" s="1245"/>
      <c r="H691" s="427"/>
      <c r="I691" s="946" t="s">
        <v>680</v>
      </c>
      <c r="J691" s="427"/>
      <c r="K691" s="427"/>
    </row>
    <row r="692" spans="1:11">
      <c r="A692" s="409"/>
      <c r="B692" s="409"/>
      <c r="C692" s="409"/>
      <c r="D692" s="1245"/>
      <c r="E692" s="1245"/>
      <c r="F692" s="1245"/>
      <c r="H692" s="427"/>
      <c r="I692" s="946"/>
      <c r="J692" s="427"/>
      <c r="K692" s="427"/>
    </row>
    <row r="693" spans="1:11">
      <c r="A693" s="409"/>
      <c r="B693" s="409"/>
      <c r="C693" s="409"/>
      <c r="D693" s="1245"/>
      <c r="E693" s="1245"/>
      <c r="F693" s="1245"/>
      <c r="H693" s="427"/>
      <c r="I693" s="946"/>
      <c r="J693" s="427"/>
      <c r="K693" s="427"/>
    </row>
    <row r="694" spans="1:11">
      <c r="A694" s="409"/>
      <c r="B694" s="409"/>
      <c r="C694" s="409"/>
      <c r="D694" s="1245"/>
      <c r="E694" s="1245"/>
      <c r="F694" s="1245"/>
      <c r="H694" s="427"/>
      <c r="I694" s="946"/>
      <c r="J694" s="427"/>
      <c r="K694" s="427"/>
    </row>
    <row r="695" spans="1:11">
      <c r="A695" s="409"/>
      <c r="B695" s="409"/>
      <c r="C695" s="409"/>
      <c r="D695" s="1245"/>
      <c r="E695" s="1245"/>
      <c r="F695" s="1245"/>
      <c r="H695" s="427"/>
      <c r="I695" s="946"/>
      <c r="J695" s="427"/>
      <c r="K695" s="427"/>
    </row>
    <row r="696" spans="1:11">
      <c r="A696" s="409"/>
      <c r="B696" s="409"/>
      <c r="C696" s="409"/>
      <c r="D696" s="1245"/>
      <c r="E696" s="1245"/>
      <c r="F696" s="1245"/>
      <c r="H696" s="427"/>
      <c r="I696" s="946"/>
      <c r="J696" s="427"/>
      <c r="K696" s="427"/>
    </row>
    <row r="697" spans="1:11">
      <c r="A697" s="409"/>
      <c r="B697" s="409"/>
      <c r="C697" s="409"/>
      <c r="D697" s="372"/>
      <c r="E697" s="372"/>
      <c r="F697" s="372"/>
      <c r="H697" s="427"/>
      <c r="I697" s="946"/>
      <c r="J697" s="427"/>
      <c r="K697" s="427"/>
    </row>
    <row r="698" spans="1:11">
      <c r="A698" s="409"/>
      <c r="B698" s="411" t="s">
        <v>2750</v>
      </c>
      <c r="C698" s="409"/>
      <c r="D698" s="1245" t="s">
        <v>681</v>
      </c>
      <c r="E698" s="1245"/>
      <c r="F698" s="1245"/>
      <c r="H698" s="427"/>
      <c r="I698" s="946" t="s">
        <v>680</v>
      </c>
      <c r="J698" s="427"/>
      <c r="K698" s="427"/>
    </row>
    <row r="699" spans="1:11">
      <c r="A699" s="409"/>
      <c r="B699" s="409"/>
      <c r="C699" s="409"/>
      <c r="D699" s="1245"/>
      <c r="E699" s="1245"/>
      <c r="F699" s="1245"/>
      <c r="H699" s="427"/>
      <c r="I699" s="946"/>
      <c r="J699" s="427"/>
      <c r="K699" s="427"/>
    </row>
    <row r="700" spans="1:11">
      <c r="A700" s="409"/>
      <c r="B700" s="409"/>
      <c r="C700" s="409"/>
      <c r="D700" s="372"/>
      <c r="E700" s="372"/>
      <c r="F700" s="372"/>
      <c r="H700" s="427"/>
      <c r="I700" s="946"/>
      <c r="J700" s="427"/>
      <c r="K700" s="427"/>
    </row>
    <row r="701" spans="1:11" ht="14.25">
      <c r="A701" s="410"/>
      <c r="B701" s="411" t="s">
        <v>2751</v>
      </c>
      <c r="C701" s="409"/>
      <c r="D701" s="1245" t="s">
        <v>476</v>
      </c>
      <c r="E701" s="1245"/>
      <c r="F701" s="1245"/>
      <c r="H701" s="427"/>
      <c r="I701" s="946" t="s">
        <v>680</v>
      </c>
      <c r="J701" s="427"/>
      <c r="K701" s="427"/>
    </row>
    <row r="702" spans="1:11">
      <c r="A702" s="409"/>
      <c r="B702" s="409"/>
      <c r="C702" s="409"/>
      <c r="D702" s="1245"/>
      <c r="E702" s="1245"/>
      <c r="F702" s="1245"/>
      <c r="H702" s="427"/>
      <c r="I702" s="946"/>
      <c r="J702" s="427"/>
      <c r="K702" s="427"/>
    </row>
    <row r="703" spans="1:11">
      <c r="A703" s="409"/>
      <c r="B703" s="409"/>
      <c r="C703" s="409"/>
      <c r="D703" s="1245"/>
      <c r="E703" s="1245"/>
      <c r="F703" s="1245"/>
      <c r="H703" s="427"/>
      <c r="I703" s="946"/>
      <c r="J703" s="427"/>
      <c r="K703" s="427"/>
    </row>
    <row r="704" spans="1:11" ht="15" customHeight="1">
      <c r="A704" s="409"/>
      <c r="B704" s="409"/>
      <c r="C704" s="409"/>
      <c r="D704" s="1245"/>
      <c r="E704" s="1245"/>
      <c r="F704" s="1245"/>
      <c r="H704" s="427"/>
      <c r="I704" s="946"/>
      <c r="J704" s="427"/>
      <c r="K704" s="427"/>
    </row>
    <row r="705" spans="1:11" ht="15" customHeight="1">
      <c r="A705" s="409"/>
      <c r="B705" s="409"/>
      <c r="C705" s="409"/>
      <c r="D705" s="1245"/>
      <c r="E705" s="1245"/>
      <c r="F705" s="1245"/>
      <c r="H705" s="427"/>
      <c r="I705" s="946"/>
      <c r="J705" s="427"/>
      <c r="K705" s="427"/>
    </row>
    <row r="706" spans="1:11">
      <c r="A706" s="409"/>
      <c r="B706" s="409"/>
      <c r="C706" s="409"/>
      <c r="D706" s="1245"/>
      <c r="E706" s="1245"/>
      <c r="F706" s="1245"/>
      <c r="H706" s="427"/>
      <c r="I706" s="946"/>
      <c r="J706" s="427"/>
      <c r="K706" s="427"/>
    </row>
    <row r="707" spans="1:11">
      <c r="A707" s="409"/>
      <c r="B707" s="409"/>
      <c r="C707" s="409"/>
      <c r="D707" s="1245"/>
      <c r="E707" s="1245"/>
      <c r="F707" s="1245"/>
      <c r="H707" s="427"/>
      <c r="I707" s="946"/>
      <c r="J707" s="427"/>
      <c r="K707" s="427"/>
    </row>
    <row r="708" spans="1:11">
      <c r="A708" s="409"/>
      <c r="B708" s="409"/>
      <c r="C708" s="409"/>
      <c r="D708" s="1245"/>
      <c r="E708" s="1245"/>
      <c r="F708" s="1245"/>
      <c r="H708" s="427"/>
      <c r="I708" s="946"/>
      <c r="J708" s="427"/>
      <c r="K708" s="427"/>
    </row>
    <row r="709" spans="1:11" ht="15" customHeight="1">
      <c r="A709" s="409"/>
      <c r="B709" s="409"/>
      <c r="C709" s="409"/>
      <c r="D709" s="1245"/>
      <c r="E709" s="1245"/>
      <c r="F709" s="1245"/>
      <c r="H709" s="427"/>
      <c r="I709" s="946"/>
      <c r="J709" s="427"/>
      <c r="K709" s="427"/>
    </row>
    <row r="710" spans="1:11">
      <c r="A710" s="409"/>
      <c r="B710" s="409"/>
      <c r="C710" s="409"/>
      <c r="D710" s="1245"/>
      <c r="E710" s="1245"/>
      <c r="F710" s="1245"/>
      <c r="H710" s="427"/>
      <c r="I710" s="946"/>
      <c r="J710" s="427"/>
      <c r="K710" s="427"/>
    </row>
    <row r="711" spans="1:11">
      <c r="A711" s="409"/>
      <c r="B711" s="409"/>
      <c r="C711" s="409"/>
      <c r="D711" s="1245"/>
      <c r="E711" s="1245"/>
      <c r="F711" s="1245"/>
      <c r="H711" s="427"/>
      <c r="I711" s="946"/>
      <c r="J711" s="427"/>
      <c r="K711" s="427"/>
    </row>
    <row r="712" spans="1:11">
      <c r="A712" s="409"/>
      <c r="B712" s="409"/>
      <c r="C712" s="409"/>
      <c r="D712" s="1245"/>
      <c r="E712" s="1245"/>
      <c r="F712" s="1245"/>
      <c r="H712" s="427"/>
      <c r="I712" s="946"/>
      <c r="J712" s="427"/>
      <c r="K712" s="427"/>
    </row>
    <row r="713" spans="1:11">
      <c r="A713" s="409"/>
      <c r="B713" s="409"/>
      <c r="C713" s="409"/>
      <c r="D713" s="1245"/>
      <c r="E713" s="1245"/>
      <c r="F713" s="1245"/>
      <c r="H713" s="427"/>
      <c r="I713" s="946"/>
      <c r="J713" s="427"/>
      <c r="K713" s="427"/>
    </row>
    <row r="714" spans="1:11">
      <c r="A714" s="409"/>
      <c r="B714" s="411" t="s">
        <v>2751</v>
      </c>
      <c r="C714" s="409"/>
      <c r="D714" s="1245" t="s">
        <v>478</v>
      </c>
      <c r="E714" s="1245"/>
      <c r="F714" s="1245"/>
      <c r="H714" s="427"/>
      <c r="I714" s="946" t="s">
        <v>682</v>
      </c>
      <c r="J714" s="427"/>
      <c r="K714" s="427"/>
    </row>
    <row r="715" spans="1:11">
      <c r="A715" s="409"/>
      <c r="B715" s="409"/>
      <c r="C715" s="409"/>
      <c r="D715" s="1245"/>
      <c r="E715" s="1245"/>
      <c r="F715" s="1245"/>
      <c r="H715" s="427"/>
      <c r="I715" s="946"/>
      <c r="J715" s="427"/>
      <c r="K715" s="427"/>
    </row>
    <row r="716" spans="1:11">
      <c r="A716" s="409"/>
      <c r="B716" s="409"/>
      <c r="C716" s="409"/>
      <c r="D716" s="372"/>
      <c r="E716" s="372"/>
      <c r="F716" s="372"/>
      <c r="H716" s="427"/>
      <c r="I716" s="946"/>
      <c r="J716" s="427"/>
      <c r="K716" s="427"/>
    </row>
    <row r="717" spans="1:11">
      <c r="A717" s="409"/>
      <c r="B717" s="411" t="s">
        <v>2751</v>
      </c>
      <c r="C717" s="409"/>
      <c r="D717" s="1245" t="s">
        <v>480</v>
      </c>
      <c r="E717" s="1245"/>
      <c r="F717" s="1245"/>
      <c r="H717" s="427"/>
      <c r="I717" s="946" t="s">
        <v>682</v>
      </c>
      <c r="J717" s="427"/>
      <c r="K717" s="427"/>
    </row>
    <row r="718" spans="1:11">
      <c r="A718" s="409"/>
      <c r="B718" s="409"/>
      <c r="C718" s="409"/>
      <c r="D718" s="1245"/>
      <c r="E718" s="1245"/>
      <c r="F718" s="1245"/>
      <c r="H718" s="427"/>
      <c r="I718" s="946"/>
      <c r="J718" s="427"/>
      <c r="K718" s="427"/>
    </row>
    <row r="719" spans="1:11">
      <c r="A719" s="409"/>
      <c r="B719" s="409"/>
      <c r="C719" s="409"/>
      <c r="D719" s="1245"/>
      <c r="E719" s="1245"/>
      <c r="F719" s="1245"/>
      <c r="H719" s="427"/>
      <c r="I719" s="946"/>
      <c r="J719" s="427"/>
      <c r="K719" s="427"/>
    </row>
    <row r="720" spans="1:11">
      <c r="A720" s="409"/>
      <c r="B720" s="409"/>
      <c r="C720" s="409"/>
      <c r="H720" s="427"/>
      <c r="I720" s="946"/>
      <c r="J720" s="427"/>
      <c r="K720" s="427"/>
    </row>
    <row r="721" spans="1:11">
      <c r="A721" s="409"/>
      <c r="B721" s="411" t="s">
        <v>2751</v>
      </c>
      <c r="C721" s="409"/>
      <c r="D721" s="1245" t="s">
        <v>481</v>
      </c>
      <c r="E721" s="1245"/>
      <c r="F721" s="1245"/>
      <c r="H721" s="427"/>
      <c r="I721" s="946" t="s">
        <v>682</v>
      </c>
      <c r="J721" s="427"/>
      <c r="K721" s="427"/>
    </row>
    <row r="722" spans="1:11">
      <c r="A722" s="409"/>
      <c r="B722" s="409"/>
      <c r="C722" s="409"/>
      <c r="D722" s="1245"/>
      <c r="E722" s="1245"/>
      <c r="F722" s="1245"/>
      <c r="H722" s="427"/>
      <c r="I722" s="946"/>
      <c r="J722" s="427"/>
      <c r="K722" s="427"/>
    </row>
    <row r="723" spans="1:11">
      <c r="A723" s="409"/>
      <c r="B723" s="409"/>
      <c r="C723" s="409"/>
      <c r="D723" s="1245"/>
      <c r="E723" s="1245"/>
      <c r="F723" s="1245"/>
      <c r="H723" s="427"/>
      <c r="I723" s="946"/>
      <c r="J723" s="427"/>
      <c r="K723" s="427"/>
    </row>
    <row r="724" spans="1:11">
      <c r="A724" s="409"/>
      <c r="B724" s="409"/>
      <c r="C724" s="409"/>
      <c r="H724" s="427"/>
      <c r="I724" s="946"/>
      <c r="J724" s="427"/>
      <c r="K724" s="427"/>
    </row>
    <row r="725" spans="1:11" ht="14.25">
      <c r="A725" s="410"/>
      <c r="B725" s="411" t="s">
        <v>2751</v>
      </c>
      <c r="C725" s="409"/>
      <c r="D725" s="1245" t="s">
        <v>482</v>
      </c>
      <c r="E725" s="1245"/>
      <c r="F725" s="1245"/>
      <c r="H725" s="427"/>
      <c r="I725" s="946" t="s">
        <v>683</v>
      </c>
      <c r="J725" s="427"/>
      <c r="K725" s="427"/>
    </row>
    <row r="726" spans="1:11">
      <c r="A726" s="409"/>
      <c r="B726" s="409"/>
      <c r="C726" s="409"/>
      <c r="D726" s="1245"/>
      <c r="E726" s="1245"/>
      <c r="F726" s="1245"/>
      <c r="H726" s="427"/>
      <c r="I726" s="946"/>
      <c r="J726" s="427"/>
      <c r="K726" s="427"/>
    </row>
    <row r="727" spans="1:11">
      <c r="A727" s="409"/>
      <c r="B727" s="409"/>
      <c r="C727" s="409"/>
      <c r="D727" s="1245"/>
      <c r="E727" s="1245"/>
      <c r="F727" s="1245"/>
      <c r="H727" s="427"/>
      <c r="I727" s="946"/>
      <c r="J727" s="427"/>
      <c r="K727" s="427"/>
    </row>
    <row r="728" spans="1:11">
      <c r="A728" s="409"/>
      <c r="B728" s="409"/>
      <c r="C728" s="409"/>
      <c r="D728" s="1245"/>
      <c r="E728" s="1245"/>
      <c r="F728" s="1245"/>
      <c r="H728" s="427"/>
      <c r="I728" s="946"/>
      <c r="J728" s="427"/>
      <c r="K728" s="427"/>
    </row>
    <row r="729" spans="1:11">
      <c r="A729" s="409"/>
      <c r="B729" s="409"/>
      <c r="C729" s="409"/>
      <c r="D729" s="418"/>
      <c r="H729" s="427"/>
      <c r="I729" s="946"/>
      <c r="J729" s="427"/>
      <c r="K729" s="427"/>
    </row>
    <row r="730" spans="1:11" ht="14.25">
      <c r="A730" s="410"/>
      <c r="B730" s="411" t="s">
        <v>2751</v>
      </c>
      <c r="C730" s="409"/>
      <c r="D730" s="1245" t="s">
        <v>684</v>
      </c>
      <c r="E730" s="1245"/>
      <c r="F730" s="1245"/>
      <c r="H730" s="427"/>
      <c r="I730" s="946" t="s">
        <v>685</v>
      </c>
      <c r="J730" s="427"/>
      <c r="K730" s="427"/>
    </row>
    <row r="731" spans="1:11">
      <c r="A731" s="409"/>
      <c r="B731" s="409"/>
      <c r="C731" s="409"/>
      <c r="D731" s="1245"/>
      <c r="E731" s="1245"/>
      <c r="F731" s="1245"/>
      <c r="H731" s="427"/>
      <c r="I731" s="946"/>
      <c r="J731" s="427"/>
      <c r="K731" s="427"/>
    </row>
    <row r="732" spans="1:11">
      <c r="A732" s="409"/>
      <c r="B732" s="409"/>
      <c r="C732" s="409"/>
      <c r="D732" s="1245"/>
      <c r="E732" s="1245"/>
      <c r="F732" s="1245"/>
      <c r="H732" s="427"/>
      <c r="I732" s="946"/>
      <c r="J732" s="427"/>
      <c r="K732" s="427"/>
    </row>
    <row r="733" spans="1:11">
      <c r="A733" s="409"/>
      <c r="B733" s="409"/>
      <c r="C733" s="409"/>
      <c r="D733" s="1245"/>
      <c r="E733" s="1245"/>
      <c r="F733" s="1245"/>
      <c r="H733" s="427"/>
      <c r="I733" s="946"/>
      <c r="J733" s="427"/>
      <c r="K733" s="427"/>
    </row>
    <row r="734" spans="1:11">
      <c r="A734" s="409"/>
      <c r="B734" s="409"/>
      <c r="C734" s="409"/>
      <c r="D734" s="1245"/>
      <c r="E734" s="1245"/>
      <c r="F734" s="1245"/>
      <c r="H734" s="427"/>
      <c r="I734" s="946"/>
      <c r="J734" s="427"/>
      <c r="K734" s="427"/>
    </row>
    <row r="735" spans="1:11">
      <c r="A735" s="409"/>
      <c r="B735" s="409"/>
      <c r="C735" s="409"/>
      <c r="D735" s="1245"/>
      <c r="E735" s="1245"/>
      <c r="F735" s="1245"/>
      <c r="H735" s="427"/>
      <c r="I735" s="946"/>
      <c r="J735" s="427"/>
      <c r="K735" s="427"/>
    </row>
    <row r="736" spans="1:11">
      <c r="A736" s="409"/>
      <c r="B736" s="409"/>
      <c r="C736" s="409"/>
      <c r="D736" s="1245"/>
      <c r="E736" s="1245"/>
      <c r="F736" s="1245"/>
      <c r="H736" s="427"/>
      <c r="I736" s="946"/>
      <c r="J736" s="427"/>
      <c r="K736" s="427"/>
    </row>
    <row r="737" spans="1:11">
      <c r="A737" s="409"/>
      <c r="B737" s="409"/>
      <c r="C737" s="409"/>
      <c r="D737" s="1261" t="s">
        <v>686</v>
      </c>
      <c r="E737" s="1261"/>
      <c r="F737" s="1261"/>
      <c r="H737" s="427"/>
      <c r="I737" s="946"/>
      <c r="J737" s="427"/>
      <c r="K737" s="427"/>
    </row>
    <row r="738" spans="1:11">
      <c r="A738" s="409"/>
      <c r="B738" s="409"/>
      <c r="C738" s="409"/>
      <c r="D738" s="263"/>
      <c r="H738" s="427"/>
      <c r="I738" s="946"/>
      <c r="J738" s="427"/>
      <c r="K738" s="427"/>
    </row>
    <row r="739" spans="1:11">
      <c r="A739" s="1263" t="s">
        <v>485</v>
      </c>
      <c r="B739" s="1263"/>
      <c r="C739" s="1263"/>
      <c r="D739" s="1263"/>
      <c r="E739" s="1263"/>
      <c r="F739" s="1263"/>
      <c r="G739" s="1263"/>
      <c r="H739" s="954"/>
      <c r="I739" s="955"/>
      <c r="J739" s="427"/>
      <c r="K739" s="427"/>
    </row>
    <row r="740" spans="1:11">
      <c r="A740" s="409"/>
      <c r="B740" s="409"/>
      <c r="C740" s="409"/>
      <c r="D740" s="418"/>
      <c r="G740" s="427"/>
      <c r="H740" s="427"/>
      <c r="I740" s="946"/>
      <c r="J740" s="427"/>
      <c r="K740" s="427"/>
    </row>
    <row r="741" spans="1:11" ht="13.7" customHeight="1">
      <c r="C741" s="409"/>
      <c r="D741" s="1247" t="s">
        <v>486</v>
      </c>
      <c r="E741" s="1247"/>
      <c r="F741" s="1247"/>
      <c r="G741" s="427"/>
      <c r="H741" s="427"/>
      <c r="I741" s="946"/>
      <c r="J741" s="427"/>
      <c r="K741" s="427"/>
    </row>
    <row r="742" spans="1:11">
      <c r="A742" s="409"/>
      <c r="B742" s="409"/>
      <c r="C742" s="409"/>
      <c r="D742" s="1248" t="s">
        <v>487</v>
      </c>
      <c r="E742" s="1248"/>
      <c r="F742" s="1248"/>
      <c r="G742" s="427"/>
      <c r="H742" s="427"/>
      <c r="I742" s="946"/>
      <c r="J742" s="427"/>
      <c r="K742" s="427"/>
    </row>
    <row r="743" spans="1:11">
      <c r="A743" s="409"/>
      <c r="B743" s="409"/>
      <c r="C743" s="409"/>
      <c r="G743" s="427"/>
      <c r="H743" s="427"/>
      <c r="I743" s="946"/>
      <c r="J743" s="427"/>
      <c r="K743" s="427"/>
    </row>
    <row r="744" spans="1:11" ht="14.25">
      <c r="A744" s="410"/>
      <c r="B744" s="411" t="s">
        <v>2750</v>
      </c>
      <c r="D744" s="1245" t="s">
        <v>488</v>
      </c>
      <c r="E744" s="1245"/>
      <c r="F744" s="1245"/>
      <c r="G744" s="427"/>
      <c r="H744" s="427"/>
      <c r="I744" s="946" t="s">
        <v>687</v>
      </c>
      <c r="J744" s="427"/>
      <c r="K744" s="427"/>
    </row>
    <row r="745" spans="1:11" ht="10.5" customHeight="1">
      <c r="D745" s="1245"/>
      <c r="E745" s="1245"/>
      <c r="F745" s="1245"/>
      <c r="G745" s="427"/>
      <c r="H745" s="427"/>
      <c r="I745" s="946"/>
      <c r="J745" s="427"/>
      <c r="K745" s="427"/>
    </row>
    <row r="746" spans="1:11">
      <c r="D746" s="1245"/>
      <c r="E746" s="1245"/>
      <c r="F746" s="1245"/>
      <c r="G746" s="427"/>
      <c r="H746" s="427"/>
      <c r="I746" s="946"/>
      <c r="J746" s="427"/>
      <c r="K746" s="427"/>
    </row>
    <row r="747" spans="1:11">
      <c r="D747" s="1245"/>
      <c r="E747" s="1245"/>
      <c r="F747" s="1245"/>
      <c r="G747" s="427"/>
      <c r="H747" s="427"/>
      <c r="I747" s="946"/>
      <c r="J747" s="427"/>
      <c r="K747" s="427"/>
    </row>
    <row r="748" spans="1:11">
      <c r="D748" s="1245"/>
      <c r="E748" s="1245"/>
      <c r="F748" s="1245"/>
      <c r="G748" s="427"/>
      <c r="H748" s="427"/>
      <c r="I748" s="946"/>
      <c r="J748" s="427"/>
      <c r="K748" s="427"/>
    </row>
    <row r="749" spans="1:11" ht="15.75" customHeight="1">
      <c r="D749" s="1245"/>
      <c r="E749" s="1245"/>
      <c r="F749" s="1245"/>
      <c r="G749" s="427"/>
      <c r="H749" s="427"/>
      <c r="I749" s="946"/>
      <c r="J749" s="427"/>
      <c r="K749" s="427"/>
    </row>
    <row r="750" spans="1:11">
      <c r="D750" s="425"/>
      <c r="E750" s="373"/>
      <c r="F750" s="373"/>
      <c r="G750" s="427"/>
      <c r="H750" s="427"/>
      <c r="I750" s="946"/>
      <c r="J750" s="427"/>
      <c r="K750" s="427"/>
    </row>
    <row r="751" spans="1:11" s="431" customFormat="1" ht="14.25">
      <c r="A751" s="429"/>
      <c r="B751" s="411" t="s">
        <v>2750</v>
      </c>
      <c r="C751" s="430"/>
      <c r="D751" s="1245" t="s">
        <v>688</v>
      </c>
      <c r="E751" s="1245"/>
      <c r="F751" s="1245"/>
      <c r="I751" s="947" t="s">
        <v>687</v>
      </c>
    </row>
    <row r="752" spans="1:11" s="431" customFormat="1">
      <c r="A752" s="430"/>
      <c r="B752" s="430"/>
      <c r="C752" s="430"/>
      <c r="D752" s="1245"/>
      <c r="E752" s="1245"/>
      <c r="F752" s="1245"/>
      <c r="I752" s="947"/>
    </row>
    <row r="753" spans="1:11" s="431" customFormat="1">
      <c r="A753" s="430"/>
      <c r="B753" s="430"/>
      <c r="C753" s="430"/>
      <c r="D753" s="1245"/>
      <c r="E753" s="1245"/>
      <c r="F753" s="1245"/>
      <c r="I753" s="947"/>
    </row>
    <row r="754" spans="1:11" s="431" customFormat="1">
      <c r="A754" s="430"/>
      <c r="B754" s="430"/>
      <c r="C754" s="430"/>
      <c r="D754" s="1245"/>
      <c r="E754" s="1245"/>
      <c r="F754" s="1245"/>
      <c r="I754" s="947"/>
    </row>
    <row r="755" spans="1:11" s="431" customFormat="1">
      <c r="A755" s="430"/>
      <c r="B755" s="430"/>
      <c r="C755" s="430"/>
      <c r="D755" s="425"/>
      <c r="I755" s="947"/>
    </row>
    <row r="756" spans="1:11" s="431" customFormat="1" ht="14.25">
      <c r="A756" s="410"/>
      <c r="B756" s="411" t="s">
        <v>2750</v>
      </c>
      <c r="C756" s="430"/>
      <c r="D756" s="1243" t="s">
        <v>689</v>
      </c>
      <c r="E756" s="1243"/>
      <c r="F756" s="1243"/>
      <c r="I756" s="947" t="s">
        <v>690</v>
      </c>
    </row>
    <row r="757" spans="1:11" s="431" customFormat="1">
      <c r="A757" s="430"/>
      <c r="B757" s="430"/>
      <c r="C757" s="430"/>
      <c r="D757" s="1243"/>
      <c r="E757" s="1243"/>
      <c r="F757" s="1243"/>
      <c r="I757" s="947"/>
    </row>
    <row r="758" spans="1:11" s="431" customFormat="1">
      <c r="A758" s="430"/>
      <c r="B758" s="430"/>
      <c r="C758" s="430"/>
      <c r="D758" s="1243"/>
      <c r="E758" s="1243"/>
      <c r="F758" s="1243"/>
      <c r="I758" s="947"/>
    </row>
    <row r="759" spans="1:11">
      <c r="D759" s="425"/>
      <c r="E759" s="373"/>
      <c r="F759" s="373"/>
      <c r="G759" s="427"/>
      <c r="H759" s="427"/>
      <c r="I759" s="946"/>
      <c r="J759" s="427"/>
      <c r="K759" s="427"/>
    </row>
    <row r="760" spans="1:11" ht="14.25">
      <c r="A760" s="410"/>
      <c r="B760" s="411" t="s">
        <v>2751</v>
      </c>
      <c r="D760" s="1245" t="s">
        <v>691</v>
      </c>
      <c r="E760" s="1245"/>
      <c r="F760" s="1245"/>
      <c r="G760" s="427"/>
      <c r="H760" s="427"/>
      <c r="I760" s="946" t="s">
        <v>687</v>
      </c>
      <c r="J760" s="427"/>
      <c r="K760" s="427"/>
    </row>
    <row r="761" spans="1:11">
      <c r="D761" s="1245"/>
      <c r="E761" s="1245"/>
      <c r="F761" s="1245"/>
      <c r="G761" s="427"/>
      <c r="H761" s="427"/>
      <c r="I761" s="946"/>
      <c r="J761" s="427"/>
      <c r="K761" s="427"/>
    </row>
    <row r="762" spans="1:11">
      <c r="D762" s="372"/>
      <c r="E762" s="372"/>
      <c r="F762" s="372"/>
      <c r="G762" s="427"/>
      <c r="H762" s="427"/>
      <c r="I762" s="946"/>
      <c r="J762" s="427"/>
      <c r="K762" s="427"/>
    </row>
    <row r="763" spans="1:11">
      <c r="B763" s="411" t="s">
        <v>2751</v>
      </c>
      <c r="D763" s="1245" t="s">
        <v>692</v>
      </c>
      <c r="E763" s="1245"/>
      <c r="F763" s="1245"/>
      <c r="G763" s="427"/>
      <c r="H763" s="427"/>
      <c r="I763" s="946" t="s">
        <v>687</v>
      </c>
      <c r="J763" s="427"/>
      <c r="K763" s="427"/>
    </row>
    <row r="764" spans="1:11">
      <c r="D764" s="1245"/>
      <c r="E764" s="1245"/>
      <c r="F764" s="1245"/>
      <c r="G764" s="427"/>
      <c r="H764" s="427"/>
      <c r="I764" s="946"/>
      <c r="J764" s="427"/>
      <c r="K764" s="427"/>
    </row>
    <row r="765" spans="1:11">
      <c r="D765" s="1245"/>
      <c r="E765" s="1245"/>
      <c r="F765" s="1245"/>
      <c r="G765" s="427"/>
      <c r="H765" s="427"/>
      <c r="I765" s="946"/>
      <c r="J765" s="427"/>
      <c r="K765" s="427"/>
    </row>
    <row r="766" spans="1:11">
      <c r="D766" s="372"/>
      <c r="E766" s="372"/>
      <c r="F766" s="372"/>
      <c r="G766" s="427"/>
      <c r="H766" s="427"/>
      <c r="I766" s="946"/>
      <c r="J766" s="427"/>
      <c r="K766" s="427"/>
    </row>
    <row r="767" spans="1:11">
      <c r="A767" s="1296" t="s">
        <v>693</v>
      </c>
      <c r="B767" s="1296"/>
      <c r="C767" s="1296"/>
      <c r="D767" s="1296"/>
      <c r="E767" s="1296"/>
      <c r="F767" s="1296"/>
      <c r="G767" s="1296"/>
      <c r="H767" s="952"/>
      <c r="I767" s="953"/>
    </row>
    <row r="768" spans="1:11">
      <c r="A768" s="50"/>
      <c r="B768" s="50"/>
      <c r="C768" s="279"/>
      <c r="D768" s="3"/>
      <c r="E768" s="3"/>
      <c r="F768" s="3"/>
      <c r="G768" s="3"/>
    </row>
    <row r="769" spans="1:9">
      <c r="A769" s="50"/>
      <c r="B769" s="50"/>
      <c r="C769" s="279"/>
      <c r="D769" s="1297" t="s">
        <v>694</v>
      </c>
      <c r="E769" s="1297"/>
      <c r="F769" s="1297"/>
      <c r="G769" s="3"/>
    </row>
    <row r="770" spans="1:9">
      <c r="A770" s="50"/>
      <c r="B770" s="50"/>
      <c r="C770" s="279"/>
      <c r="D770" s="1232" t="s">
        <v>695</v>
      </c>
      <c r="E770" s="1232"/>
      <c r="F770" s="1232"/>
      <c r="G770" s="3"/>
    </row>
    <row r="771" spans="1:9">
      <c r="A771" s="50"/>
      <c r="B771" s="50"/>
      <c r="C771" s="279"/>
      <c r="D771" s="374"/>
      <c r="E771" s="374"/>
      <c r="F771" s="374"/>
      <c r="G771" s="3"/>
    </row>
    <row r="772" spans="1:9">
      <c r="A772" s="50"/>
      <c r="B772" s="411" t="s">
        <v>2750</v>
      </c>
      <c r="C772" s="279"/>
      <c r="D772" s="1258" t="s">
        <v>696</v>
      </c>
      <c r="E772" s="1258"/>
      <c r="F772" s="1258"/>
      <c r="G772" s="3"/>
      <c r="I772" s="946" t="s">
        <v>697</v>
      </c>
    </row>
    <row r="773" spans="1:9">
      <c r="A773" s="50"/>
      <c r="B773" s="50"/>
      <c r="C773" s="279"/>
      <c r="D773" s="1258"/>
      <c r="E773" s="1258"/>
      <c r="F773" s="1258"/>
      <c r="G773" s="3"/>
    </row>
    <row r="774" spans="1:9">
      <c r="A774" s="123"/>
      <c r="B774" s="123"/>
      <c r="C774" s="123"/>
      <c r="D774" s="1258"/>
      <c r="E774" s="1258"/>
      <c r="F774" s="1258"/>
      <c r="G774" s="85"/>
    </row>
    <row r="775" spans="1:9">
      <c r="A775" s="279"/>
      <c r="B775" s="279"/>
      <c r="C775" s="279"/>
      <c r="D775" s="122"/>
      <c r="E775" s="3"/>
      <c r="F775" s="3"/>
      <c r="G775" s="3"/>
    </row>
    <row r="776" spans="1:9">
      <c r="A776" s="120"/>
      <c r="B776" s="411" t="s">
        <v>2751</v>
      </c>
      <c r="C776" s="120"/>
      <c r="D776" s="1258" t="s">
        <v>698</v>
      </c>
      <c r="E776" s="1258"/>
      <c r="F776" s="1258"/>
      <c r="G776" s="3"/>
      <c r="I776" s="946" t="s">
        <v>697</v>
      </c>
    </row>
    <row r="777" spans="1:9">
      <c r="A777" s="120"/>
      <c r="B777" s="120"/>
      <c r="C777" s="120"/>
      <c r="D777" s="1258"/>
      <c r="E777" s="1258"/>
      <c r="F777" s="1258"/>
      <c r="G777" s="3"/>
    </row>
    <row r="778" spans="1:9">
      <c r="A778" s="120"/>
      <c r="B778" s="120"/>
      <c r="C778" s="120"/>
      <c r="D778" s="1258"/>
      <c r="E778" s="1258"/>
      <c r="F778" s="1258"/>
      <c r="G778" s="3"/>
    </row>
    <row r="779" spans="1:9">
      <c r="A779" s="123"/>
      <c r="B779" s="123"/>
      <c r="C779" s="123"/>
      <c r="D779" s="3"/>
      <c r="E779" s="909"/>
      <c r="F779" s="909"/>
      <c r="G779" s="909"/>
    </row>
    <row r="780" spans="1:9" ht="14.25">
      <c r="A780" s="124"/>
      <c r="B780" s="411" t="s">
        <v>2751</v>
      </c>
      <c r="C780" s="910"/>
      <c r="D780" s="1258" t="s">
        <v>699</v>
      </c>
      <c r="E780" s="1258"/>
      <c r="F780" s="1258"/>
      <c r="G780" s="909"/>
      <c r="I780" s="946" t="s">
        <v>697</v>
      </c>
    </row>
    <row r="781" spans="1:9" ht="14.25">
      <c r="A781" s="124"/>
      <c r="B781" s="124"/>
      <c r="C781" s="910"/>
      <c r="D781" s="1258"/>
      <c r="E781" s="1258"/>
      <c r="F781" s="1258"/>
      <c r="G781" s="909"/>
    </row>
    <row r="782" spans="1:9" ht="14.25">
      <c r="A782" s="124"/>
      <c r="B782" s="124"/>
      <c r="C782" s="910"/>
      <c r="D782" s="1258"/>
      <c r="E782" s="1258"/>
      <c r="F782" s="1258"/>
      <c r="G782" s="909"/>
    </row>
    <row r="783" spans="1:9" ht="14.25">
      <c r="A783" s="124"/>
      <c r="B783" s="124"/>
      <c r="C783" s="910"/>
      <c r="D783" s="85"/>
      <c r="E783" s="3"/>
      <c r="F783" s="3"/>
      <c r="G783" s="909"/>
    </row>
    <row r="784" spans="1:9" ht="14.25">
      <c r="A784" s="124"/>
      <c r="B784" s="411" t="s">
        <v>2751</v>
      </c>
      <c r="C784" s="910"/>
      <c r="D784" s="1258" t="s">
        <v>700</v>
      </c>
      <c r="E784" s="1258"/>
      <c r="F784" s="1258"/>
      <c r="G784" s="909"/>
      <c r="I784" s="946" t="s">
        <v>697</v>
      </c>
    </row>
    <row r="785" spans="1:9" ht="14.25">
      <c r="A785" s="124"/>
      <c r="B785" s="124"/>
      <c r="C785" s="910"/>
      <c r="D785" s="1258"/>
      <c r="E785" s="1258"/>
      <c r="F785" s="1258"/>
      <c r="G785" s="909"/>
    </row>
    <row r="786" spans="1:9" ht="14.25">
      <c r="A786" s="124"/>
      <c r="B786" s="124"/>
      <c r="C786" s="910"/>
      <c r="D786" s="1258"/>
      <c r="E786" s="1258"/>
      <c r="F786" s="1258"/>
      <c r="G786" s="909"/>
    </row>
    <row r="787" spans="1:9" ht="14.25">
      <c r="A787" s="124"/>
      <c r="B787" s="124"/>
      <c r="C787" s="910"/>
      <c r="D787" s="1258"/>
      <c r="E787" s="1258"/>
      <c r="F787" s="1258"/>
      <c r="G787" s="909"/>
    </row>
    <row r="788" spans="1:9" ht="14.25">
      <c r="A788" s="124"/>
      <c r="B788" s="124"/>
      <c r="C788" s="910"/>
      <c r="D788" s="1258"/>
      <c r="E788" s="1258"/>
      <c r="F788" s="1258"/>
      <c r="G788" s="909"/>
    </row>
    <row r="789" spans="1:9" ht="14.25">
      <c r="A789" s="124"/>
      <c r="B789" s="124"/>
      <c r="C789" s="910"/>
      <c r="D789" s="1258"/>
      <c r="E789" s="1258"/>
      <c r="F789" s="1258"/>
      <c r="G789" s="909"/>
    </row>
    <row r="790" spans="1:9" ht="14.25">
      <c r="A790" s="124"/>
      <c r="B790" s="124"/>
      <c r="C790" s="910"/>
      <c r="D790" s="1258" t="s">
        <v>701</v>
      </c>
      <c r="E790" s="1258"/>
      <c r="F790" s="1258"/>
      <c r="G790" s="909"/>
    </row>
    <row r="791" spans="1:9" ht="14.25">
      <c r="A791" s="124"/>
      <c r="B791" s="124"/>
      <c r="C791" s="910"/>
      <c r="D791" s="1258"/>
      <c r="E791" s="1258"/>
      <c r="F791" s="1258"/>
      <c r="G791" s="909"/>
    </row>
    <row r="792" spans="1:9" ht="14.25">
      <c r="A792" s="124"/>
      <c r="B792" s="124"/>
      <c r="C792" s="910"/>
      <c r="D792" s="1258"/>
      <c r="E792" s="1258"/>
      <c r="F792" s="1258"/>
      <c r="G792" s="909"/>
    </row>
    <row r="793" spans="1:9" ht="14.25">
      <c r="A793" s="124"/>
      <c r="B793" s="279"/>
      <c r="C793" s="910"/>
      <c r="D793" s="911"/>
      <c r="E793" s="911"/>
      <c r="F793" s="911"/>
      <c r="G793" s="909"/>
    </row>
    <row r="794" spans="1:9" ht="14.25">
      <c r="A794" s="124"/>
      <c r="B794" s="411" t="s">
        <v>2751</v>
      </c>
      <c r="C794" s="910"/>
      <c r="D794" s="1258" t="s">
        <v>702</v>
      </c>
      <c r="E794" s="1258"/>
      <c r="F794" s="1258"/>
      <c r="G794" s="909"/>
      <c r="I794" s="946" t="s">
        <v>697</v>
      </c>
    </row>
    <row r="795" spans="1:9" ht="14.25">
      <c r="A795" s="124"/>
      <c r="B795" s="124"/>
      <c r="C795" s="910"/>
      <c r="D795" s="1258"/>
      <c r="E795" s="1258"/>
      <c r="F795" s="1258"/>
      <c r="G795" s="909"/>
    </row>
    <row r="796" spans="1:9" ht="14.25">
      <c r="A796" s="124"/>
      <c r="B796" s="124"/>
      <c r="C796" s="910"/>
      <c r="D796" s="1258"/>
      <c r="E796" s="1258"/>
      <c r="F796" s="1258"/>
      <c r="G796" s="909"/>
    </row>
    <row r="797" spans="1:9" ht="14.25">
      <c r="A797" s="124"/>
      <c r="B797" s="124"/>
      <c r="C797" s="910"/>
      <c r="D797" s="1258"/>
      <c r="E797" s="1258"/>
      <c r="F797" s="1258"/>
      <c r="G797" s="909"/>
    </row>
    <row r="798" spans="1:9" ht="14.25">
      <c r="A798" s="124"/>
      <c r="B798" s="124"/>
      <c r="C798" s="910"/>
      <c r="D798" s="1258"/>
      <c r="E798" s="1258"/>
      <c r="F798" s="1258"/>
      <c r="G798" s="909"/>
    </row>
    <row r="799" spans="1:9" ht="14.25">
      <c r="A799" s="124"/>
      <c r="B799" s="124"/>
      <c r="C799" s="910"/>
      <c r="D799" s="1258"/>
      <c r="E799" s="1258"/>
      <c r="F799" s="1258"/>
      <c r="G799" s="909"/>
    </row>
    <row r="800" spans="1:9" ht="14.25">
      <c r="A800" s="124"/>
      <c r="B800" s="124"/>
      <c r="C800" s="910"/>
      <c r="D800" s="903"/>
      <c r="E800" s="903"/>
      <c r="F800" s="903"/>
      <c r="G800" s="909"/>
    </row>
    <row r="801" spans="1:9" ht="14.25">
      <c r="A801" s="124"/>
      <c r="B801" s="411" t="s">
        <v>2751</v>
      </c>
      <c r="C801" s="910"/>
      <c r="D801" s="1258" t="s">
        <v>703</v>
      </c>
      <c r="E801" s="1258"/>
      <c r="F801" s="1258"/>
      <c r="G801" s="909"/>
      <c r="I801" s="946" t="s">
        <v>697</v>
      </c>
    </row>
    <row r="802" spans="1:9" ht="14.25">
      <c r="A802" s="124"/>
      <c r="B802" s="124"/>
      <c r="C802" s="910"/>
      <c r="D802" s="1258"/>
      <c r="E802" s="1258"/>
      <c r="F802" s="1258"/>
      <c r="G802" s="909"/>
    </row>
    <row r="803" spans="1:9" ht="14.25">
      <c r="A803" s="124"/>
      <c r="B803" s="124"/>
      <c r="C803" s="910"/>
      <c r="D803" s="1258"/>
      <c r="E803" s="1258"/>
      <c r="F803" s="1258"/>
      <c r="G803" s="909"/>
    </row>
    <row r="804" spans="1:9" ht="14.25">
      <c r="A804" s="124"/>
      <c r="B804" s="124"/>
      <c r="C804" s="910"/>
      <c r="D804" s="1258"/>
      <c r="E804" s="1258"/>
      <c r="F804" s="1258"/>
      <c r="G804" s="909"/>
    </row>
    <row r="805" spans="1:9" ht="14.25">
      <c r="A805" s="124"/>
      <c r="B805" s="124"/>
      <c r="C805" s="910"/>
      <c r="D805" s="1258"/>
      <c r="E805" s="1258"/>
      <c r="F805" s="1258"/>
      <c r="G805" s="909"/>
    </row>
    <row r="806" spans="1:9" ht="14.25">
      <c r="A806" s="124"/>
      <c r="B806" s="124"/>
      <c r="C806" s="910"/>
      <c r="D806" s="1258"/>
      <c r="E806" s="1258"/>
      <c r="F806" s="1258"/>
      <c r="G806" s="909"/>
    </row>
    <row r="807" spans="1:9" ht="14.25">
      <c r="A807" s="124"/>
      <c r="B807" s="124"/>
      <c r="C807" s="910"/>
      <c r="D807" s="903"/>
      <c r="E807" s="903"/>
      <c r="F807" s="903"/>
      <c r="G807" s="909"/>
    </row>
    <row r="808" spans="1:9" ht="14.25">
      <c r="A808" s="124"/>
      <c r="B808" s="411" t="s">
        <v>2751</v>
      </c>
      <c r="C808" s="910"/>
      <c r="D808" s="1255" t="s">
        <v>704</v>
      </c>
      <c r="E808" s="1255"/>
      <c r="F808" s="1255"/>
      <c r="G808" s="909"/>
      <c r="I808" s="946" t="s">
        <v>697</v>
      </c>
    </row>
    <row r="809" spans="1:9" ht="14.25">
      <c r="A809" s="124"/>
      <c r="B809" s="124"/>
      <c r="C809" s="910"/>
      <c r="D809" s="1255"/>
      <c r="E809" s="1255"/>
      <c r="F809" s="1255"/>
      <c r="G809" s="909"/>
    </row>
    <row r="810" spans="1:9">
      <c r="A810" s="13"/>
      <c r="B810" s="13"/>
      <c r="C810" s="910"/>
      <c r="D810" s="1255"/>
      <c r="E810" s="1255"/>
      <c r="F810" s="1255"/>
      <c r="G810" s="909"/>
    </row>
    <row r="811" spans="1:9" ht="14.25">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62" t="s">
        <v>705</v>
      </c>
      <c r="B815" s="1262"/>
      <c r="C815" s="1262"/>
      <c r="D815" s="1262"/>
      <c r="E815" s="1262"/>
      <c r="F815" s="1262"/>
      <c r="G815" s="1262"/>
      <c r="H815" s="952"/>
      <c r="I815" s="953"/>
    </row>
    <row r="816" spans="1:9" ht="12.75" customHeight="1">
      <c r="A816" s="120"/>
      <c r="B816" s="120"/>
      <c r="C816" s="910"/>
      <c r="D816" s="909"/>
      <c r="E816" s="909"/>
      <c r="F816" s="909"/>
      <c r="G816" s="909"/>
    </row>
    <row r="817" spans="1:9" ht="12.75" customHeight="1">
      <c r="A817" s="124"/>
      <c r="B817" s="124"/>
      <c r="C817" s="279"/>
      <c r="D817" s="1251" t="s">
        <v>706</v>
      </c>
      <c r="E817" s="1251"/>
      <c r="F817" s="1251"/>
      <c r="G817" s="3"/>
    </row>
    <row r="818" spans="1:9" ht="14.25" customHeight="1">
      <c r="A818" s="124"/>
      <c r="B818" s="124"/>
      <c r="C818" s="279"/>
      <c r="D818" s="1219" t="s">
        <v>707</v>
      </c>
      <c r="E818" s="1219"/>
      <c r="F818" s="1219"/>
      <c r="G818" s="3"/>
    </row>
    <row r="819" spans="1:9" ht="12.75" customHeight="1">
      <c r="A819" s="124"/>
      <c r="B819" s="124"/>
      <c r="C819" s="279"/>
      <c r="D819" s="368"/>
      <c r="E819" s="368"/>
      <c r="F819" s="368"/>
      <c r="G819" s="3"/>
    </row>
    <row r="820" spans="1:9" ht="12.75" customHeight="1">
      <c r="A820" s="279"/>
      <c r="B820" s="411" t="s">
        <v>2750</v>
      </c>
      <c r="C820" s="910"/>
      <c r="D820" s="1219" t="s">
        <v>708</v>
      </c>
      <c r="E820" s="1219"/>
      <c r="F820" s="1219"/>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5" t="s">
        <v>709</v>
      </c>
      <c r="E823" s="1285"/>
      <c r="F823" s="1285"/>
      <c r="G823" s="3"/>
    </row>
    <row r="824" spans="1:9" ht="12.75" hidden="1" customHeight="1">
      <c r="A824" s="13"/>
      <c r="B824" s="13"/>
      <c r="C824" s="910"/>
      <c r="D824" s="1285"/>
      <c r="E824" s="1285"/>
      <c r="F824" s="1285"/>
      <c r="G824" s="3"/>
    </row>
    <row r="825" spans="1:9" ht="12.75" hidden="1" customHeight="1">
      <c r="A825" s="13"/>
      <c r="B825" s="13"/>
      <c r="C825" s="910"/>
      <c r="D825" s="1285"/>
      <c r="E825" s="1285"/>
      <c r="F825" s="1285"/>
      <c r="G825" s="3"/>
    </row>
    <row r="826" spans="1:9" ht="12.75" hidden="1" customHeight="1">
      <c r="A826" s="13"/>
      <c r="B826" s="13"/>
      <c r="C826" s="910"/>
      <c r="D826" s="1285"/>
      <c r="E826" s="1285"/>
      <c r="F826" s="1285"/>
      <c r="G826" s="3"/>
    </row>
    <row r="827" spans="1:9" ht="12.75" hidden="1" customHeight="1">
      <c r="A827" s="13"/>
      <c r="B827" s="13"/>
      <c r="C827" s="910"/>
      <c r="D827" s="1285"/>
      <c r="E827" s="1285"/>
      <c r="F827" s="1285"/>
      <c r="G827" s="3"/>
    </row>
    <row r="828" spans="1:9" ht="12.75" hidden="1" customHeight="1">
      <c r="A828" s="13"/>
      <c r="B828" s="13"/>
      <c r="C828" s="910"/>
      <c r="D828" s="1285"/>
      <c r="E828" s="1285"/>
      <c r="F828" s="1285"/>
      <c r="G828" s="3"/>
    </row>
    <row r="829" spans="1:9" ht="12.75" hidden="1" customHeight="1">
      <c r="A829" s="13"/>
      <c r="B829" s="13"/>
      <c r="C829" s="910"/>
      <c r="D829" s="1285"/>
      <c r="E829" s="1285"/>
      <c r="F829" s="1285"/>
      <c r="G829" s="3"/>
    </row>
    <row r="830" spans="1:9" ht="12.75" hidden="1" customHeight="1">
      <c r="A830" s="13"/>
      <c r="B830" s="13"/>
      <c r="C830" s="910"/>
      <c r="D830" s="1285"/>
      <c r="E830" s="1285"/>
      <c r="F830" s="1285"/>
      <c r="G830" s="3"/>
    </row>
    <row r="831" spans="1:9" ht="12.75" hidden="1" customHeight="1">
      <c r="A831" s="13"/>
      <c r="B831" s="13"/>
      <c r="C831" s="910"/>
      <c r="D831" s="1285"/>
      <c r="E831" s="1285"/>
      <c r="F831" s="1285"/>
      <c r="G831" s="3"/>
    </row>
    <row r="832" spans="1:9" ht="12.75" hidden="1" customHeight="1">
      <c r="A832" s="13"/>
      <c r="B832" s="13"/>
      <c r="C832" s="910"/>
      <c r="D832" s="1285"/>
      <c r="E832" s="1285"/>
      <c r="F832" s="1285"/>
      <c r="G832" s="3"/>
    </row>
    <row r="833" spans="1:9" ht="12.75" hidden="1" customHeight="1">
      <c r="A833" s="13"/>
      <c r="B833" s="13"/>
      <c r="C833" s="910"/>
      <c r="D833" s="912"/>
      <c r="E833" s="3"/>
      <c r="F833" s="3"/>
      <c r="G833" s="3"/>
    </row>
    <row r="834" spans="1:9" ht="12.75" customHeight="1">
      <c r="A834" s="124"/>
      <c r="B834" s="411" t="s">
        <v>2750</v>
      </c>
      <c r="C834" s="910"/>
      <c r="D834" s="1219" t="s">
        <v>710</v>
      </c>
      <c r="E834" s="1219"/>
      <c r="F834" s="1219"/>
      <c r="G834" s="3"/>
      <c r="I834" s="329" t="s">
        <v>588</v>
      </c>
    </row>
    <row r="835" spans="1:9" ht="12.75" customHeight="1">
      <c r="A835" s="124"/>
      <c r="B835" s="124"/>
      <c r="C835" s="910"/>
      <c r="D835" s="1219"/>
      <c r="E835" s="1219"/>
      <c r="F835" s="1219"/>
      <c r="G835" s="3"/>
    </row>
    <row r="836" spans="1:9" ht="12.75" customHeight="1">
      <c r="A836" s="124"/>
      <c r="B836" s="124"/>
      <c r="C836" s="910"/>
      <c r="D836" s="1219"/>
      <c r="E836" s="1219"/>
      <c r="F836" s="1219"/>
      <c r="G836" s="3"/>
    </row>
    <row r="837" spans="1:9" ht="12.75" customHeight="1">
      <c r="A837" s="124"/>
      <c r="B837" s="124"/>
      <c r="C837" s="910"/>
      <c r="D837" s="85"/>
      <c r="E837" s="3"/>
      <c r="F837" s="3"/>
      <c r="G837" s="3"/>
    </row>
    <row r="838" spans="1:9" ht="12.75" customHeight="1">
      <c r="A838" s="913"/>
      <c r="B838" s="411" t="s">
        <v>2751</v>
      </c>
      <c r="C838" s="910"/>
      <c r="D838" s="1251" t="s">
        <v>711</v>
      </c>
      <c r="E838" s="1251"/>
      <c r="F838" s="1251"/>
      <c r="G838" s="3"/>
    </row>
    <row r="839" spans="1:9" ht="12.75" customHeight="1">
      <c r="A839" s="279"/>
      <c r="B839" s="913"/>
      <c r="C839" s="910"/>
      <c r="D839" s="1251"/>
      <c r="E839" s="1251"/>
      <c r="F839" s="1251"/>
      <c r="G839" s="3"/>
    </row>
    <row r="840" spans="1:9" ht="12.75" customHeight="1">
      <c r="A840" s="124"/>
      <c r="B840" s="279"/>
      <c r="C840" s="910"/>
      <c r="D840" s="1219" t="s">
        <v>712</v>
      </c>
      <c r="E840" s="1219"/>
      <c r="F840" s="1219"/>
      <c r="G840" s="3"/>
    </row>
    <row r="841" spans="1:9" ht="12.75" customHeight="1">
      <c r="A841" s="124"/>
      <c r="B841" s="124"/>
      <c r="C841" s="910"/>
      <c r="D841" s="1219"/>
      <c r="E841" s="1219"/>
      <c r="F841" s="1219"/>
      <c r="G841" s="3"/>
    </row>
    <row r="842" spans="1:9" ht="12.75" customHeight="1">
      <c r="A842" s="124"/>
      <c r="B842" s="124"/>
      <c r="C842" s="910"/>
      <c r="D842" s="1219"/>
      <c r="E842" s="1219"/>
      <c r="F842" s="1219"/>
      <c r="G842" s="3"/>
    </row>
    <row r="843" spans="1:9" ht="12.75" customHeight="1">
      <c r="A843" s="124"/>
      <c r="B843" s="124"/>
      <c r="C843" s="910"/>
      <c r="D843" s="1219"/>
      <c r="E843" s="1219"/>
      <c r="F843" s="1219"/>
      <c r="G843" s="3"/>
    </row>
    <row r="844" spans="1:9" ht="12.75" customHeight="1">
      <c r="A844" s="124"/>
      <c r="B844" s="124"/>
      <c r="C844" s="910"/>
      <c r="D844" s="1219"/>
      <c r="E844" s="1219"/>
      <c r="F844" s="1219"/>
      <c r="G844" s="3"/>
    </row>
    <row r="845" spans="1:9" ht="12.75" customHeight="1">
      <c r="A845" s="124"/>
      <c r="B845" s="124"/>
      <c r="C845" s="910"/>
      <c r="D845" s="1219"/>
      <c r="E845" s="1219"/>
      <c r="F845" s="1219"/>
      <c r="G845" s="3"/>
    </row>
    <row r="846" spans="1:9" ht="12.75" customHeight="1">
      <c r="A846" s="124"/>
      <c r="B846" s="124"/>
      <c r="C846" s="910"/>
      <c r="D846" s="85"/>
      <c r="E846" s="3"/>
      <c r="F846" s="3"/>
      <c r="G846" s="3"/>
    </row>
    <row r="847" spans="1:9" ht="12.75" customHeight="1">
      <c r="A847" s="124"/>
      <c r="B847" s="411" t="s">
        <v>2750</v>
      </c>
      <c r="C847" s="910"/>
      <c r="D847" s="1219" t="s">
        <v>713</v>
      </c>
      <c r="E847" s="1219"/>
      <c r="F847" s="1219"/>
      <c r="G847" s="3"/>
      <c r="I847" s="329" t="s">
        <v>592</v>
      </c>
    </row>
    <row r="848" spans="1:9" ht="12.75" customHeight="1">
      <c r="A848" s="124"/>
      <c r="B848" s="124"/>
      <c r="C848" s="910"/>
      <c r="D848" s="1219" t="s">
        <v>714</v>
      </c>
      <c r="E848" s="1219"/>
      <c r="F848" s="1219"/>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2750</v>
      </c>
      <c r="C851" s="910"/>
      <c r="D851" s="1219" t="s">
        <v>715</v>
      </c>
      <c r="E851" s="1219"/>
      <c r="F851" s="1219"/>
      <c r="G851" s="3"/>
      <c r="I851" s="329" t="s">
        <v>596</v>
      </c>
    </row>
    <row r="852" spans="1:9" ht="12.75" customHeight="1">
      <c r="A852" s="124"/>
      <c r="B852" s="124"/>
      <c r="C852" s="910"/>
      <c r="D852" s="1219"/>
      <c r="E852" s="1219"/>
      <c r="F852" s="1219"/>
      <c r="G852" s="3"/>
    </row>
    <row r="853" spans="1:9" ht="12.75" customHeight="1">
      <c r="A853" s="124"/>
      <c r="B853" s="124"/>
      <c r="C853" s="910"/>
      <c r="D853" s="1219"/>
      <c r="E853" s="1219"/>
      <c r="F853" s="1219"/>
      <c r="G853" s="3"/>
    </row>
    <row r="854" spans="1:9" ht="12.75" customHeight="1">
      <c r="A854" s="124"/>
      <c r="B854" s="124"/>
      <c r="C854" s="910"/>
      <c r="D854" s="1219"/>
      <c r="E854" s="1219"/>
      <c r="F854" s="1219"/>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717</v>
      </c>
      <c r="E858" s="1235"/>
      <c r="F858" s="1235"/>
      <c r="G858" s="909"/>
    </row>
    <row r="859" spans="1:9" ht="12.75" customHeight="1">
      <c r="A859" s="279"/>
      <c r="B859" s="279"/>
      <c r="C859" s="123"/>
      <c r="D859" s="1284" t="s">
        <v>718</v>
      </c>
      <c r="E859" s="1284"/>
      <c r="F859" s="1284"/>
      <c r="G859" s="909"/>
    </row>
    <row r="860" spans="1:9" ht="12.75" customHeight="1">
      <c r="A860" s="279"/>
      <c r="B860" s="279"/>
      <c r="C860" s="123"/>
      <c r="D860" s="916"/>
      <c r="E860" s="916"/>
      <c r="F860" s="916"/>
      <c r="G860" s="909"/>
    </row>
    <row r="861" spans="1:9" ht="12.75" customHeight="1">
      <c r="A861" s="124"/>
      <c r="B861" s="411" t="s">
        <v>2750</v>
      </c>
      <c r="C861" s="279"/>
      <c r="D861" s="1230" t="s">
        <v>719</v>
      </c>
      <c r="E861" s="1230"/>
      <c r="F861" s="1230"/>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2750</v>
      </c>
      <c r="C864" s="279"/>
      <c r="D864" s="1219" t="s">
        <v>720</v>
      </c>
      <c r="E864" s="1237"/>
      <c r="F864" s="1237"/>
      <c r="G864" s="3"/>
      <c r="I864" s="329" t="s">
        <v>596</v>
      </c>
    </row>
    <row r="865" spans="1:9" ht="12.75" customHeight="1">
      <c r="A865" s="279"/>
      <c r="B865" s="279"/>
      <c r="C865" s="279"/>
      <c r="D865" s="1237"/>
      <c r="E865" s="1237"/>
      <c r="F865" s="1237"/>
      <c r="G865" s="3"/>
    </row>
    <row r="866" spans="1:9" ht="12.75" customHeight="1">
      <c r="A866" s="279"/>
      <c r="B866" s="279"/>
      <c r="C866" s="279"/>
      <c r="D866" s="85"/>
      <c r="E866" s="3"/>
      <c r="F866" s="3"/>
      <c r="G866" s="3"/>
    </row>
    <row r="867" spans="1:9" ht="12.75" customHeight="1">
      <c r="A867" s="279"/>
      <c r="B867" s="411" t="s">
        <v>2751</v>
      </c>
      <c r="C867" s="279"/>
      <c r="D867" s="1282" t="s">
        <v>721</v>
      </c>
      <c r="E867" s="1282"/>
      <c r="F867" s="1282"/>
      <c r="G867" s="909"/>
    </row>
    <row r="868" spans="1:9" ht="12.75" customHeight="1">
      <c r="A868" s="279"/>
      <c r="B868" s="917"/>
      <c r="C868" s="279"/>
      <c r="D868" s="1282"/>
      <c r="E868" s="1282"/>
      <c r="F868" s="1282"/>
      <c r="G868" s="909"/>
    </row>
    <row r="869" spans="1:9" ht="12.75" customHeight="1">
      <c r="A869" s="124"/>
      <c r="B869"/>
      <c r="C869" s="279"/>
      <c r="D869" s="1219" t="s">
        <v>712</v>
      </c>
      <c r="E869" s="1219"/>
      <c r="F869" s="1219"/>
      <c r="G869" s="909"/>
    </row>
    <row r="870" spans="1:9" ht="12.75" customHeight="1">
      <c r="A870" s="124"/>
      <c r="B870" s="124"/>
      <c r="C870" s="279"/>
      <c r="D870" s="1219"/>
      <c r="E870" s="1219"/>
      <c r="F870" s="1219"/>
      <c r="G870" s="909"/>
    </row>
    <row r="871" spans="1:9" ht="12.75" customHeight="1">
      <c r="A871" s="124"/>
      <c r="B871" s="124"/>
      <c r="C871" s="279"/>
      <c r="D871" s="1219"/>
      <c r="E871" s="1219"/>
      <c r="F871" s="1219"/>
      <c r="G871" s="909"/>
    </row>
    <row r="872" spans="1:9" ht="12.75" customHeight="1">
      <c r="A872" s="124"/>
      <c r="B872" s="124"/>
      <c r="C872" s="279"/>
      <c r="D872" s="1219"/>
      <c r="E872" s="1219"/>
      <c r="F872" s="1219"/>
      <c r="G872" s="909"/>
    </row>
    <row r="873" spans="1:9" ht="12.75" customHeight="1">
      <c r="A873" s="124"/>
      <c r="B873" s="124"/>
      <c r="C873" s="279"/>
      <c r="D873" s="1219"/>
      <c r="E873" s="1219"/>
      <c r="F873" s="1219"/>
      <c r="G873" s="909"/>
    </row>
    <row r="874" spans="1:9" ht="12.75" customHeight="1">
      <c r="A874" s="124"/>
      <c r="B874" s="124"/>
      <c r="C874" s="279"/>
      <c r="D874" s="1219"/>
      <c r="E874" s="1219"/>
      <c r="F874" s="1219"/>
      <c r="G874" s="909"/>
    </row>
    <row r="875" spans="1:9" ht="12.75" customHeight="1">
      <c r="A875" s="124"/>
      <c r="B875" s="124"/>
      <c r="C875" s="279"/>
      <c r="D875" s="85"/>
      <c r="E875" s="909"/>
      <c r="F875" s="909"/>
      <c r="G875" s="909"/>
    </row>
    <row r="876" spans="1:9" ht="12.75" customHeight="1">
      <c r="A876" s="124"/>
      <c r="B876" s="411" t="s">
        <v>2751</v>
      </c>
      <c r="C876" s="279"/>
      <c r="D876" s="1250" t="s">
        <v>713</v>
      </c>
      <c r="E876" s="1250"/>
      <c r="F876" s="1250"/>
      <c r="G876" s="909"/>
      <c r="I876" s="329" t="s">
        <v>592</v>
      </c>
    </row>
    <row r="877" spans="1:9" ht="12.75" customHeight="1">
      <c r="A877" s="124"/>
      <c r="B877" s="124"/>
      <c r="C877" s="279"/>
      <c r="D877" s="1250" t="s">
        <v>714</v>
      </c>
      <c r="E877" s="1250"/>
      <c r="F877" s="1250"/>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2751</v>
      </c>
      <c r="C880" s="279"/>
      <c r="D880" s="1219" t="s">
        <v>715</v>
      </c>
      <c r="E880" s="1219"/>
      <c r="F880" s="1219"/>
      <c r="G880" s="909"/>
      <c r="I880" s="329" t="s">
        <v>596</v>
      </c>
    </row>
    <row r="881" spans="1:9" ht="12.75" customHeight="1">
      <c r="A881" s="124"/>
      <c r="B881" s="124"/>
      <c r="C881" s="279"/>
      <c r="D881" s="1219"/>
      <c r="E881" s="1219"/>
      <c r="F881" s="1219"/>
      <c r="G881" s="909"/>
    </row>
    <row r="882" spans="1:9" ht="12.75" customHeight="1">
      <c r="A882" s="124"/>
      <c r="B882" s="124"/>
      <c r="C882" s="279"/>
      <c r="D882" s="1219"/>
      <c r="E882" s="1219"/>
      <c r="F882" s="1219"/>
      <c r="G882" s="909"/>
    </row>
    <row r="883" spans="1:9" ht="12.75" customHeight="1">
      <c r="A883" s="124"/>
      <c r="B883" s="124"/>
      <c r="C883" s="279"/>
      <c r="D883" s="1219"/>
      <c r="E883" s="1219"/>
      <c r="F883" s="1219"/>
      <c r="G883" s="909"/>
    </row>
    <row r="884" spans="1:9" ht="12.75" customHeight="1">
      <c r="A884" s="85"/>
      <c r="B884" s="85"/>
      <c r="C884" s="910"/>
      <c r="D884" s="909"/>
      <c r="E884" s="909"/>
      <c r="F884" s="909"/>
      <c r="G884" s="909"/>
    </row>
    <row r="885" spans="1:9" ht="12.75" customHeight="1">
      <c r="A885" s="1262" t="s">
        <v>723</v>
      </c>
      <c r="B885" s="1262"/>
      <c r="C885" s="1262"/>
      <c r="D885" s="1262"/>
      <c r="E885" s="1262"/>
      <c r="F885" s="1262"/>
      <c r="G885" s="1262"/>
      <c r="H885" s="952"/>
      <c r="I885" s="953"/>
    </row>
    <row r="886" spans="1:9" ht="12.75" customHeight="1">
      <c r="A886" s="50"/>
      <c r="B886" s="50"/>
      <c r="C886" s="50"/>
      <c r="D886" s="50"/>
      <c r="E886" s="50"/>
      <c r="F886" s="50"/>
      <c r="G886" s="50"/>
    </row>
    <row r="887" spans="1:9" ht="12.75" customHeight="1">
      <c r="A887" s="50"/>
      <c r="B887" s="50"/>
      <c r="C887" s="50"/>
      <c r="D887" s="1257" t="s">
        <v>724</v>
      </c>
      <c r="E887" s="1257"/>
      <c r="F887" s="1257"/>
      <c r="G887" s="50"/>
    </row>
    <row r="888" spans="1:9" ht="12.75" customHeight="1">
      <c r="A888" s="50"/>
      <c r="B888" s="50"/>
      <c r="C888" s="50"/>
      <c r="D888" s="902"/>
      <c r="E888" s="902"/>
      <c r="F888" s="902"/>
      <c r="G888" s="50"/>
    </row>
    <row r="889" spans="1:9" ht="12.75" customHeight="1">
      <c r="A889" s="50"/>
      <c r="B889" s="411" t="s">
        <v>2750</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7" t="s">
        <v>727</v>
      </c>
      <c r="E891" s="1257"/>
      <c r="F891" s="1257"/>
      <c r="G891" s="909"/>
    </row>
    <row r="892" spans="1:9" ht="12.75" customHeight="1">
      <c r="A892" s="120"/>
      <c r="B892" s="120"/>
      <c r="C892" s="120"/>
      <c r="D892" s="1230" t="s">
        <v>728</v>
      </c>
      <c r="E892" s="1230"/>
      <c r="F892" s="1230"/>
      <c r="G892" s="909"/>
    </row>
    <row r="893" spans="1:9" ht="12.75" customHeight="1">
      <c r="A893" s="910"/>
      <c r="B893" s="910"/>
      <c r="C893" s="910"/>
      <c r="D893" s="2"/>
      <c r="E893" s="909"/>
      <c r="F893" s="909"/>
      <c r="G893" s="909"/>
    </row>
    <row r="894" spans="1:9" ht="12.75" customHeight="1">
      <c r="A894" s="124"/>
      <c r="B894" s="411" t="s">
        <v>2750</v>
      </c>
      <c r="C894" s="279"/>
      <c r="D894" s="1219" t="s">
        <v>729</v>
      </c>
      <c r="E894" s="1219"/>
      <c r="F894" s="1219"/>
      <c r="G894" s="3"/>
      <c r="I894" s="329" t="s">
        <v>730</v>
      </c>
    </row>
    <row r="895" spans="1:9" ht="12.75" customHeight="1">
      <c r="A895" s="279"/>
      <c r="B895" s="279"/>
      <c r="C895" s="279"/>
      <c r="D895" s="1219"/>
      <c r="E895" s="1219"/>
      <c r="F895" s="1219"/>
      <c r="G895" s="3"/>
    </row>
    <row r="896" spans="1:9" ht="12.75" customHeight="1">
      <c r="A896" s="120"/>
      <c r="B896" s="120"/>
      <c r="C896" s="120"/>
      <c r="D896" s="1219" t="s">
        <v>731</v>
      </c>
      <c r="E896" s="1219"/>
      <c r="F896" s="1219"/>
      <c r="G896" s="909"/>
    </row>
    <row r="897" spans="1:9" ht="12.75" customHeight="1">
      <c r="A897" s="120"/>
      <c r="B897" s="120"/>
      <c r="C897" s="120"/>
      <c r="D897" s="1219"/>
      <c r="E897" s="1219"/>
      <c r="F897" s="1219"/>
      <c r="G897" s="909"/>
    </row>
    <row r="898" spans="1:9" ht="12.75" customHeight="1">
      <c r="A898" s="120"/>
      <c r="B898" s="120"/>
      <c r="C898" s="120"/>
      <c r="D898" s="3"/>
      <c r="E898" s="3"/>
      <c r="F898" s="909"/>
      <c r="G898" s="909"/>
    </row>
    <row r="899" spans="1:9" ht="12.75" customHeight="1">
      <c r="A899" s="124"/>
      <c r="B899" s="411" t="s">
        <v>2750</v>
      </c>
      <c r="C899" s="123"/>
      <c r="D899" s="1229" t="s">
        <v>732</v>
      </c>
      <c r="E899" s="1229"/>
      <c r="F899" s="1229"/>
      <c r="G899" s="909"/>
      <c r="I899" s="329" t="s">
        <v>733</v>
      </c>
    </row>
    <row r="900" spans="1:9" ht="12.75" customHeight="1">
      <c r="A900" s="124"/>
      <c r="B900" s="124"/>
      <c r="C900" s="123"/>
      <c r="D900" s="1229"/>
      <c r="E900" s="1229"/>
      <c r="F900" s="1229"/>
      <c r="G900" s="909"/>
    </row>
    <row r="901" spans="1:9" ht="12.75" customHeight="1">
      <c r="A901" s="124"/>
      <c r="B901" s="124"/>
      <c r="C901" s="123"/>
      <c r="D901" s="1229"/>
      <c r="E901" s="1229"/>
      <c r="F901" s="1229"/>
      <c r="G901" s="909"/>
    </row>
    <row r="902" spans="1:9" ht="12.75" customHeight="1">
      <c r="A902" s="124"/>
      <c r="B902" s="124"/>
      <c r="C902" s="123"/>
      <c r="D902" s="1229"/>
      <c r="E902" s="1229"/>
      <c r="F902" s="1229"/>
      <c r="G902" s="909"/>
    </row>
    <row r="903" spans="1:9" ht="12.75" customHeight="1">
      <c r="A903" s="124"/>
      <c r="B903" s="124"/>
      <c r="C903" s="123"/>
      <c r="D903" s="1229"/>
      <c r="E903" s="1229"/>
      <c r="F903" s="1229"/>
      <c r="G903" s="909"/>
    </row>
    <row r="904" spans="1:9" ht="12.75" customHeight="1">
      <c r="A904" s="123"/>
      <c r="B904" s="123"/>
      <c r="C904" s="123"/>
      <c r="D904" s="1229"/>
      <c r="E904" s="1229"/>
      <c r="F904" s="1229"/>
      <c r="G904" s="909"/>
    </row>
    <row r="905" spans="1:9" ht="12.75" customHeight="1">
      <c r="A905" s="123"/>
      <c r="B905" s="123"/>
      <c r="C905" s="123"/>
      <c r="D905" s="1229"/>
      <c r="E905" s="1229"/>
      <c r="F905" s="1229"/>
      <c r="G905" s="909"/>
    </row>
    <row r="906" spans="1:9" ht="12.75" customHeight="1">
      <c r="A906" s="123"/>
      <c r="B906" s="123"/>
      <c r="C906" s="123"/>
      <c r="D906" s="1229"/>
      <c r="E906" s="1229"/>
      <c r="F906" s="1229"/>
      <c r="G906" s="909"/>
    </row>
    <row r="907" spans="1:9" ht="12.75" customHeight="1">
      <c r="A907" s="123"/>
      <c r="B907" s="123"/>
      <c r="C907" s="123"/>
      <c r="D907" s="259"/>
      <c r="E907" s="259"/>
      <c r="F907" s="259"/>
      <c r="G907" s="909"/>
    </row>
    <row r="908" spans="1:9" ht="12.75" customHeight="1">
      <c r="A908" s="910"/>
      <c r="B908" s="411" t="s">
        <v>2751</v>
      </c>
      <c r="C908" s="910"/>
      <c r="D908" s="1219" t="s">
        <v>734</v>
      </c>
      <c r="E908" s="1219"/>
      <c r="F908" s="1219"/>
      <c r="G908" s="909"/>
    </row>
    <row r="909" spans="1:9" ht="12.75" customHeight="1">
      <c r="A909" s="910"/>
      <c r="B909" s="910"/>
      <c r="C909" s="910"/>
      <c r="D909" s="1219"/>
      <c r="E909" s="1219"/>
      <c r="F909" s="1219"/>
      <c r="G909" s="909"/>
    </row>
    <row r="910" spans="1:9" ht="12.75" customHeight="1">
      <c r="A910" s="910"/>
      <c r="B910" s="910"/>
      <c r="C910" s="910"/>
      <c r="D910" s="909"/>
      <c r="E910" s="909"/>
      <c r="F910" s="909"/>
      <c r="G910" s="909"/>
    </row>
    <row r="911" spans="1:9" ht="12.75" customHeight="1">
      <c r="A911" s="910"/>
      <c r="B911" s="411" t="s">
        <v>2751</v>
      </c>
      <c r="C911" s="910"/>
      <c r="D911" s="1255" t="s">
        <v>735</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2751</v>
      </c>
      <c r="C916" s="910"/>
      <c r="D916" s="1230" t="s">
        <v>736</v>
      </c>
      <c r="E916" s="1230"/>
      <c r="F916" s="1230"/>
      <c r="G916" s="909"/>
    </row>
    <row r="917" spans="1:9" ht="12.75" customHeight="1">
      <c r="A917" s="910"/>
      <c r="B917" s="910"/>
      <c r="C917" s="910"/>
      <c r="D917" s="85"/>
      <c r="E917" s="909"/>
      <c r="F917" s="909"/>
      <c r="G917" s="909"/>
    </row>
    <row r="918" spans="1:9" ht="12.75" customHeight="1">
      <c r="A918" s="910"/>
      <c r="B918" s="411" t="s">
        <v>2751</v>
      </c>
      <c r="C918" s="910"/>
      <c r="D918" s="1230" t="s">
        <v>737</v>
      </c>
      <c r="E918" s="1230"/>
      <c r="F918" s="1230"/>
      <c r="G918" s="909"/>
    </row>
    <row r="919" spans="1:9" ht="12.75" customHeight="1">
      <c r="A919" s="123"/>
      <c r="B919" s="123"/>
      <c r="C919" s="123"/>
      <c r="D919" s="2"/>
      <c r="E919" s="3"/>
      <c r="F919" s="909"/>
      <c r="G919" s="909"/>
    </row>
    <row r="920" spans="1:9" ht="12.75" customHeight="1">
      <c r="A920" s="918"/>
      <c r="B920" s="411" t="s">
        <v>2750</v>
      </c>
      <c r="C920" s="919"/>
      <c r="D920" s="1229" t="s">
        <v>738</v>
      </c>
      <c r="E920" s="1229"/>
      <c r="F920" s="1229"/>
      <c r="G920" s="920"/>
      <c r="I920" s="329" t="s">
        <v>739</v>
      </c>
    </row>
    <row r="921" spans="1:9" ht="12.75" customHeight="1">
      <c r="A921" s="918"/>
      <c r="B921" s="918"/>
      <c r="C921" s="919"/>
      <c r="D921" s="1229"/>
      <c r="E921" s="1229"/>
      <c r="F921" s="1229"/>
      <c r="G921" s="920"/>
    </row>
    <row r="922" spans="1:9" ht="12.75" customHeight="1">
      <c r="A922" s="918"/>
      <c r="B922" s="918"/>
      <c r="C922" s="919"/>
      <c r="D922" s="1229"/>
      <c r="E922" s="1229"/>
      <c r="F922" s="1229"/>
      <c r="G922" s="920"/>
    </row>
    <row r="923" spans="1:9" ht="12.75" customHeight="1">
      <c r="A923" s="918"/>
      <c r="B923" s="918"/>
      <c r="C923" s="919"/>
      <c r="D923" s="1229"/>
      <c r="E923" s="1229"/>
      <c r="F923" s="1229"/>
      <c r="G923" s="920"/>
    </row>
    <row r="924" spans="1:9" ht="12.75" customHeight="1">
      <c r="A924" s="918"/>
      <c r="B924" s="918"/>
      <c r="C924" s="919"/>
      <c r="D924" s="1229"/>
      <c r="E924" s="1229"/>
      <c r="F924" s="1229"/>
      <c r="G924" s="920"/>
    </row>
    <row r="925" spans="1:9" ht="12.75" customHeight="1">
      <c r="A925" s="918"/>
      <c r="B925" s="918"/>
      <c r="C925" s="919"/>
      <c r="D925" s="1229"/>
      <c r="E925" s="1229"/>
      <c r="F925" s="1229"/>
      <c r="G925" s="920"/>
    </row>
    <row r="926" spans="1:9" ht="12.75" customHeight="1">
      <c r="A926" s="918"/>
      <c r="B926" s="918"/>
      <c r="C926" s="919"/>
      <c r="D926" s="1229"/>
      <c r="E926" s="1229"/>
      <c r="F926" s="1229"/>
      <c r="G926" s="920"/>
    </row>
    <row r="927" spans="1:9" ht="12.75" customHeight="1">
      <c r="A927" s="918"/>
      <c r="B927" s="918"/>
      <c r="C927" s="919"/>
      <c r="D927" s="1229"/>
      <c r="E927" s="1229"/>
      <c r="F927" s="1229"/>
      <c r="G927" s="920"/>
    </row>
    <row r="928" spans="1:9" ht="12.75" customHeight="1">
      <c r="A928" s="918"/>
      <c r="B928" s="918"/>
      <c r="C928" s="919"/>
      <c r="D928" s="1229"/>
      <c r="E928" s="1229"/>
      <c r="F928" s="1229"/>
      <c r="G928" s="920"/>
    </row>
    <row r="929" spans="1:9" ht="12.75" customHeight="1">
      <c r="A929" s="123"/>
      <c r="B929" s="123"/>
      <c r="C929" s="123"/>
      <c r="D929" s="2"/>
      <c r="E929" s="3"/>
      <c r="F929" s="909"/>
      <c r="G929" s="909"/>
    </row>
    <row r="930" spans="1:9" ht="12.75" customHeight="1">
      <c r="A930" s="124"/>
      <c r="B930" s="411" t="s">
        <v>2750</v>
      </c>
      <c r="C930" s="123"/>
      <c r="D930" s="1283" t="s">
        <v>740</v>
      </c>
      <c r="E930" s="1283"/>
      <c r="F930" s="1283"/>
      <c r="G930" s="909"/>
      <c r="I930" s="329" t="s">
        <v>739</v>
      </c>
    </row>
    <row r="931" spans="1:9" ht="12.75" customHeight="1">
      <c r="A931" s="124"/>
      <c r="B931" s="124"/>
      <c r="C931" s="123"/>
      <c r="D931" s="1283"/>
      <c r="E931" s="1283"/>
      <c r="F931" s="1283"/>
      <c r="G931" s="909"/>
    </row>
    <row r="932" spans="1:9" ht="12.75" customHeight="1">
      <c r="A932" s="124"/>
      <c r="B932" s="124"/>
      <c r="C932" s="123"/>
      <c r="D932" s="1283"/>
      <c r="E932" s="1283"/>
      <c r="F932" s="1283"/>
      <c r="G932" s="909"/>
    </row>
    <row r="933" spans="1:9" ht="12.75" customHeight="1">
      <c r="A933" s="124"/>
      <c r="B933" s="124"/>
      <c r="C933" s="123"/>
      <c r="D933" s="1283"/>
      <c r="E933" s="1283"/>
      <c r="F933" s="1283"/>
      <c r="G933" s="909"/>
    </row>
    <row r="934" spans="1:9" ht="12.75" customHeight="1">
      <c r="A934" s="124"/>
      <c r="B934" s="124"/>
      <c r="C934" s="123"/>
      <c r="D934" s="1283"/>
      <c r="E934" s="1283"/>
      <c r="F934" s="1283"/>
      <c r="G934" s="909"/>
    </row>
    <row r="935" spans="1:9" ht="12.75" customHeight="1">
      <c r="A935" s="124"/>
      <c r="B935" s="124"/>
      <c r="C935" s="123"/>
      <c r="D935" s="1283"/>
      <c r="E935" s="1283"/>
      <c r="F935" s="1283"/>
      <c r="G935" s="909"/>
    </row>
    <row r="936" spans="1:9" ht="12.75" customHeight="1">
      <c r="A936" s="124"/>
      <c r="B936" s="124"/>
      <c r="C936" s="123"/>
      <c r="D936" s="1283"/>
      <c r="E936" s="1283"/>
      <c r="F936" s="1283"/>
      <c r="G936" s="909"/>
    </row>
    <row r="937" spans="1:9" ht="12.75" customHeight="1">
      <c r="A937" s="124"/>
      <c r="B937" s="124"/>
      <c r="C937" s="123"/>
      <c r="D937" s="948"/>
      <c r="E937" s="948"/>
      <c r="F937" s="948"/>
      <c r="G937" s="909"/>
    </row>
    <row r="938" spans="1:9" ht="12.75" customHeight="1">
      <c r="A938" s="124"/>
      <c r="B938" s="411" t="s">
        <v>2750</v>
      </c>
      <c r="C938" s="123"/>
      <c r="D938" s="1228" t="s">
        <v>741</v>
      </c>
      <c r="E938" s="1228"/>
      <c r="F938" s="1228"/>
      <c r="G938" s="909"/>
    </row>
    <row r="939" spans="1:9" ht="12.75" customHeight="1">
      <c r="A939" s="124"/>
      <c r="B939" s="124"/>
      <c r="C939" s="123"/>
      <c r="D939" s="1228"/>
      <c r="E939" s="1228"/>
      <c r="F939" s="1228"/>
      <c r="G939" s="909"/>
    </row>
    <row r="940" spans="1:9" ht="12.75" customHeight="1">
      <c r="A940" s="124"/>
      <c r="B940" s="124"/>
      <c r="C940" s="123"/>
      <c r="D940" s="1228"/>
      <c r="E940" s="1228"/>
      <c r="F940" s="1228"/>
      <c r="G940" s="909"/>
    </row>
    <row r="941" spans="1:9" ht="12.75" customHeight="1">
      <c r="A941" s="124"/>
      <c r="B941" s="124"/>
      <c r="C941" s="123"/>
      <c r="D941" s="1228"/>
      <c r="E941" s="1228"/>
      <c r="F941" s="1228"/>
      <c r="G941" s="909"/>
    </row>
    <row r="942" spans="1:9" ht="12.75" customHeight="1">
      <c r="A942" s="124"/>
      <c r="B942" s="124"/>
      <c r="C942" s="123"/>
      <c r="D942" s="1228"/>
      <c r="E942" s="1228"/>
      <c r="F942" s="1228"/>
      <c r="G942" s="909"/>
    </row>
    <row r="943" spans="1:9" ht="12.75" customHeight="1">
      <c r="A943" s="124"/>
      <c r="B943" s="124"/>
      <c r="C943" s="123"/>
      <c r="D943" s="1228"/>
      <c r="E943" s="1228"/>
      <c r="F943" s="1228"/>
      <c r="G943" s="909"/>
    </row>
    <row r="944" spans="1:9" ht="12.75" customHeight="1">
      <c r="A944" s="124"/>
      <c r="B944" s="124"/>
      <c r="C944" s="123"/>
      <c r="D944" s="948"/>
      <c r="E944" s="948"/>
      <c r="F944" s="948"/>
      <c r="G944" s="909"/>
    </row>
    <row r="945" spans="1:9" ht="12.75" customHeight="1">
      <c r="A945" s="910"/>
      <c r="B945" s="411" t="s">
        <v>2751</v>
      </c>
      <c r="C945" s="910"/>
      <c r="D945" s="1255" t="s">
        <v>742</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2751</v>
      </c>
      <c r="C950" s="123"/>
      <c r="D950" s="1229" t="s">
        <v>743</v>
      </c>
      <c r="E950" s="1229"/>
      <c r="F950" s="1229"/>
      <c r="G950" s="909"/>
      <c r="I950" s="329" t="s">
        <v>739</v>
      </c>
    </row>
    <row r="951" spans="1:9" ht="12.75" customHeight="1">
      <c r="A951" s="124"/>
      <c r="B951" s="124"/>
      <c r="C951" s="123"/>
      <c r="D951" s="1229"/>
      <c r="E951" s="1229"/>
      <c r="F951" s="1229"/>
      <c r="G951" s="909"/>
    </row>
    <row r="952" spans="1:9" ht="12.75" customHeight="1">
      <c r="A952" s="124"/>
      <c r="B952" s="124"/>
      <c r="C952" s="123"/>
      <c r="D952" s="1229"/>
      <c r="E952" s="1229"/>
      <c r="F952" s="1229"/>
      <c r="G952" s="909"/>
    </row>
    <row r="953" spans="1:9" ht="12.75" customHeight="1">
      <c r="A953" s="124"/>
      <c r="B953" s="124"/>
      <c r="C953" s="123"/>
      <c r="D953" s="1229"/>
      <c r="E953" s="1229"/>
      <c r="F953" s="1229"/>
      <c r="G953" s="909"/>
    </row>
    <row r="954" spans="1:9" ht="12.75" customHeight="1">
      <c r="A954" s="910"/>
      <c r="B954" s="910"/>
      <c r="C954" s="910"/>
      <c r="D954" s="901"/>
      <c r="E954" s="901"/>
      <c r="F954" s="901"/>
      <c r="G954" s="901"/>
    </row>
    <row r="955" spans="1:9" ht="12.75" customHeight="1">
      <c r="A955" s="279"/>
      <c r="B955" s="279"/>
      <c r="C955" s="279"/>
      <c r="D955" s="1235" t="s">
        <v>744</v>
      </c>
      <c r="E955" s="1235"/>
      <c r="F955" s="1235"/>
      <c r="G955" s="3"/>
    </row>
    <row r="956" spans="1:9" ht="12.75" customHeight="1">
      <c r="A956" s="124"/>
      <c r="B956" s="411" t="s">
        <v>2750</v>
      </c>
      <c r="C956" s="279"/>
      <c r="D956" s="1230" t="s">
        <v>745</v>
      </c>
      <c r="E956" s="1230"/>
      <c r="F956" s="1230"/>
      <c r="G956" s="3"/>
      <c r="I956" s="329" t="s">
        <v>739</v>
      </c>
    </row>
    <row r="957" spans="1:9" ht="12.75" customHeight="1">
      <c r="A957" s="279"/>
      <c r="B957" s="279"/>
      <c r="C957" s="279"/>
      <c r="D957" s="3"/>
      <c r="E957" s="3"/>
      <c r="F957" s="3"/>
      <c r="G957" s="3"/>
    </row>
    <row r="958" spans="1:9" ht="12.75" customHeight="1">
      <c r="A958" s="279"/>
      <c r="B958" s="279"/>
      <c r="C958" s="279"/>
      <c r="D958" s="1235" t="s">
        <v>746</v>
      </c>
      <c r="E958" s="1235"/>
      <c r="F958" s="1235"/>
      <c r="G958"/>
    </row>
    <row r="959" spans="1:9" ht="12.75" customHeight="1">
      <c r="A959" s="124"/>
      <c r="B959" s="411" t="s">
        <v>2750</v>
      </c>
      <c r="C959" s="279"/>
      <c r="D959" s="1219" t="s">
        <v>747</v>
      </c>
      <c r="E959" s="1219"/>
      <c r="F959" s="1219"/>
      <c r="G959"/>
      <c r="I959" s="329" t="s">
        <v>739</v>
      </c>
    </row>
    <row r="960" spans="1:9" ht="12.75" customHeight="1">
      <c r="A960" s="124"/>
      <c r="B960" s="124"/>
      <c r="C960" s="279"/>
      <c r="D960" s="1219"/>
      <c r="E960" s="1219"/>
      <c r="F960" s="1219"/>
      <c r="G960"/>
    </row>
    <row r="961" spans="1:9" ht="12.75" customHeight="1">
      <c r="A961" s="124"/>
      <c r="B961" s="124"/>
      <c r="C961" s="279"/>
      <c r="D961" s="1219"/>
      <c r="E961" s="1219"/>
      <c r="F961" s="1219"/>
      <c r="G961"/>
    </row>
    <row r="962" spans="1:9" ht="12.75" customHeight="1">
      <c r="A962" s="124"/>
      <c r="B962" s="124"/>
      <c r="C962" s="279"/>
      <c r="D962" s="1219"/>
      <c r="E962" s="1219"/>
      <c r="F962" s="1219"/>
      <c r="G962"/>
    </row>
    <row r="963" spans="1:9" ht="12.75" customHeight="1">
      <c r="A963" s="124"/>
      <c r="B963" s="124"/>
      <c r="C963" s="279"/>
      <c r="D963" s="1219"/>
      <c r="E963" s="1219"/>
      <c r="F963" s="1219"/>
      <c r="G963"/>
    </row>
    <row r="964" spans="1:9" ht="12.75" customHeight="1">
      <c r="A964" s="124"/>
      <c r="B964" s="124"/>
      <c r="C964" s="279"/>
      <c r="D964" s="1219"/>
      <c r="E964" s="1219"/>
      <c r="F964" s="1219"/>
      <c r="G964"/>
    </row>
    <row r="965" spans="1:9" ht="12.75" customHeight="1">
      <c r="A965" s="124"/>
      <c r="B965" s="124"/>
      <c r="C965" s="279"/>
      <c r="D965" s="1219"/>
      <c r="E965" s="1219"/>
      <c r="F965" s="1219"/>
      <c r="G965"/>
    </row>
    <row r="966" spans="1:9" ht="12.75" customHeight="1">
      <c r="A966" s="124"/>
      <c r="B966" s="124"/>
      <c r="C966" s="279"/>
      <c r="D966" s="1219"/>
      <c r="E966" s="1219"/>
      <c r="F966" s="1219"/>
      <c r="G966"/>
    </row>
    <row r="967" spans="1:9" ht="12.75" customHeight="1">
      <c r="A967" s="124"/>
      <c r="B967" s="124"/>
      <c r="C967" s="279"/>
      <c r="D967" s="1219"/>
      <c r="E967" s="1219"/>
      <c r="F967" s="1219"/>
      <c r="G967"/>
    </row>
    <row r="968" spans="1:9" ht="12.75" customHeight="1">
      <c r="A968" s="124"/>
      <c r="B968" s="124"/>
      <c r="C968" s="279"/>
      <c r="D968" s="1219"/>
      <c r="E968" s="1219"/>
      <c r="F968" s="1219"/>
      <c r="G968"/>
    </row>
    <row r="969" spans="1:9" ht="12.75" customHeight="1">
      <c r="A969" s="124"/>
      <c r="B969" s="124"/>
      <c r="C969" s="279"/>
      <c r="D969" s="1219"/>
      <c r="E969" s="1219"/>
      <c r="F969" s="1219"/>
      <c r="G969"/>
    </row>
    <row r="970" spans="1:9" ht="12.75" customHeight="1">
      <c r="A970" s="124"/>
      <c r="B970" s="124"/>
      <c r="C970" s="279"/>
      <c r="D970" s="1219"/>
      <c r="E970" s="1219"/>
      <c r="F970" s="1219"/>
      <c r="G970"/>
    </row>
    <row r="971" spans="1:9" ht="12.75" customHeight="1">
      <c r="A971" s="124"/>
      <c r="B971" s="124"/>
      <c r="C971" s="279"/>
      <c r="D971" s="1219"/>
      <c r="E971" s="1219"/>
      <c r="F971" s="1219"/>
      <c r="G971"/>
    </row>
    <row r="972" spans="1:9" ht="12.75" customHeight="1">
      <c r="A972" s="124"/>
      <c r="B972" s="124"/>
      <c r="C972" s="279"/>
      <c r="D972" s="1219"/>
      <c r="E972" s="1219"/>
      <c r="F972" s="1219"/>
      <c r="G972"/>
    </row>
    <row r="973" spans="1:9" ht="12.75" customHeight="1">
      <c r="A973" s="124"/>
      <c r="B973" s="124"/>
      <c r="C973" s="279"/>
      <c r="D973" s="1219"/>
      <c r="E973" s="1219"/>
      <c r="F973" s="1219"/>
      <c r="G973" s="3"/>
    </row>
    <row r="974" spans="1:9" ht="12.75" customHeight="1">
      <c r="A974" s="279"/>
      <c r="B974" s="279"/>
      <c r="C974" s="279"/>
      <c r="D974" s="3"/>
      <c r="E974" s="3"/>
      <c r="F974" s="3"/>
      <c r="G974" s="3"/>
    </row>
    <row r="975" spans="1:9" ht="12.75" customHeight="1">
      <c r="A975" s="1262" t="s">
        <v>748</v>
      </c>
      <c r="B975" s="1262"/>
      <c r="C975" s="1262"/>
      <c r="D975" s="1262"/>
      <c r="E975" s="1262"/>
      <c r="F975" s="1262"/>
      <c r="G975" s="1262"/>
      <c r="H975" s="952"/>
      <c r="I975" s="953"/>
    </row>
    <row r="976" spans="1:9" ht="12.75" customHeight="1">
      <c r="A976" s="85"/>
      <c r="B976" s="85"/>
      <c r="C976" s="279"/>
      <c r="D976" s="3"/>
      <c r="E976" s="3"/>
      <c r="F976" s="3"/>
      <c r="G976" s="3"/>
    </row>
    <row r="977" spans="1:9" ht="12.75" customHeight="1">
      <c r="A977" s="279"/>
      <c r="B977" s="279"/>
      <c r="C977" s="910"/>
      <c r="D977" s="1235" t="s">
        <v>749</v>
      </c>
      <c r="E977" s="1235"/>
      <c r="F977" s="1235"/>
      <c r="G977" s="3"/>
    </row>
    <row r="978" spans="1:9" ht="12.75" customHeight="1">
      <c r="A978" s="120"/>
      <c r="B978" s="120"/>
      <c r="C978" s="120"/>
      <c r="D978" s="1230" t="s">
        <v>750</v>
      </c>
      <c r="E978" s="1230"/>
      <c r="F978" s="1230"/>
      <c r="G978" s="3"/>
    </row>
    <row r="979" spans="1:9" ht="12.75" customHeight="1">
      <c r="A979" s="120"/>
      <c r="B979" s="120"/>
      <c r="C979" s="120"/>
      <c r="D979" s="3"/>
      <c r="E979" s="3"/>
      <c r="F979" s="909"/>
      <c r="G979"/>
    </row>
    <row r="980" spans="1:9" ht="12.75" customHeight="1">
      <c r="A980" s="279"/>
      <c r="B980" s="411" t="s">
        <v>2750</v>
      </c>
      <c r="C980" s="279"/>
      <c r="D980" s="1281" t="s">
        <v>751</v>
      </c>
      <c r="E980" s="1281"/>
      <c r="F980" s="1281"/>
      <c r="G980"/>
      <c r="I980" s="329" t="s">
        <v>752</v>
      </c>
    </row>
    <row r="981" spans="1:9" ht="12.75" customHeight="1">
      <c r="A981" s="279"/>
      <c r="B981" s="279"/>
      <c r="C981" s="279"/>
      <c r="D981" s="1281"/>
      <c r="E981" s="1281"/>
      <c r="F981" s="1281"/>
      <c r="G981"/>
    </row>
    <row r="982" spans="1:9" ht="12.75" customHeight="1">
      <c r="A982" s="279"/>
      <c r="B982" s="279"/>
      <c r="C982" s="279"/>
      <c r="D982" s="963"/>
      <c r="E982" s="961" t="s">
        <v>753</v>
      </c>
      <c r="F982" s="963"/>
      <c r="G982"/>
    </row>
    <row r="983" spans="1:9" ht="12.75" customHeight="1">
      <c r="A983" s="279"/>
      <c r="B983" s="279"/>
      <c r="C983" s="279"/>
      <c r="D983" s="1223" t="s">
        <v>754</v>
      </c>
      <c r="E983" s="1223"/>
      <c r="F983" s="1223"/>
      <c r="G983"/>
    </row>
    <row r="984" spans="1:9" ht="12.75" customHeight="1">
      <c r="A984" s="279"/>
      <c r="B984" s="279"/>
      <c r="C984" s="279"/>
      <c r="D984" s="1223"/>
      <c r="E984" s="1223"/>
      <c r="F984" s="1223"/>
      <c r="G984"/>
    </row>
    <row r="985" spans="1:9" ht="12.75" customHeight="1">
      <c r="A985" s="123"/>
      <c r="B985" s="123"/>
      <c r="C985" s="123"/>
      <c r="D985" s="1223"/>
      <c r="E985" s="1223"/>
      <c r="F985" s="1223"/>
      <c r="G985"/>
    </row>
    <row r="986" spans="1:9" ht="12.75" customHeight="1">
      <c r="A986" s="123"/>
      <c r="B986" s="123"/>
      <c r="C986" s="123"/>
      <c r="D986" s="1223"/>
      <c r="E986" s="1223"/>
      <c r="F986" s="1223"/>
      <c r="G986"/>
    </row>
    <row r="987" spans="1:9" ht="12.75" customHeight="1">
      <c r="A987" s="123"/>
      <c r="B987" s="123"/>
      <c r="C987" s="123"/>
      <c r="D987" s="259"/>
      <c r="E987" s="259"/>
      <c r="F987" s="259"/>
      <c r="G987"/>
    </row>
    <row r="988" spans="1:9" ht="12.75" customHeight="1">
      <c r="A988" s="123"/>
      <c r="B988" s="411" t="s">
        <v>2750</v>
      </c>
      <c r="C988" s="123"/>
      <c r="D988" s="1219" t="s">
        <v>755</v>
      </c>
      <c r="E988" s="1219"/>
      <c r="F988" s="1219"/>
      <c r="G988"/>
    </row>
    <row r="989" spans="1:9" ht="12.75" customHeight="1">
      <c r="A989" s="123"/>
      <c r="B989" s="123"/>
      <c r="C989" s="123"/>
      <c r="D989" s="1219"/>
      <c r="E989" s="1219"/>
      <c r="F989" s="1219"/>
      <c r="G989"/>
    </row>
    <row r="990" spans="1:9" ht="12.75" customHeight="1">
      <c r="A990" s="123"/>
      <c r="B990" s="123"/>
      <c r="C990" s="123"/>
      <c r="D990" s="1219"/>
      <c r="E990" s="1219"/>
      <c r="F990" s="1219"/>
      <c r="G990"/>
    </row>
    <row r="991" spans="1:9" ht="12.75" customHeight="1">
      <c r="A991" s="123"/>
      <c r="B991" s="123"/>
      <c r="C991" s="123"/>
      <c r="D991" s="1219"/>
      <c r="E991" s="1219"/>
      <c r="F991" s="1219"/>
      <c r="G991"/>
    </row>
    <row r="992" spans="1:9" ht="12.75" customHeight="1">
      <c r="A992" s="123"/>
      <c r="B992" s="123"/>
      <c r="C992" s="123"/>
      <c r="D992" s="368"/>
      <c r="E992" s="368"/>
      <c r="F992" s="368"/>
      <c r="G992"/>
    </row>
    <row r="993" spans="1:7" ht="12.75" customHeight="1">
      <c r="A993" s="123"/>
      <c r="B993" s="411" t="s">
        <v>2751</v>
      </c>
      <c r="C993" s="123"/>
      <c r="D993" s="1219" t="s">
        <v>756</v>
      </c>
      <c r="E993" s="1219"/>
      <c r="F993" s="1219"/>
      <c r="G993"/>
    </row>
    <row r="994" spans="1:7" ht="12.75" customHeight="1">
      <c r="A994" s="123"/>
      <c r="B994" s="123"/>
      <c r="C994" s="123"/>
      <c r="D994" s="1219"/>
      <c r="E994" s="1219"/>
      <c r="F994" s="1219"/>
      <c r="G994"/>
    </row>
    <row r="995" spans="1:7" ht="12.75" customHeight="1">
      <c r="A995" s="123"/>
      <c r="B995" s="123"/>
      <c r="C995" s="123"/>
      <c r="D995" s="368"/>
      <c r="E995" s="368"/>
      <c r="F995" s="368"/>
      <c r="G995"/>
    </row>
    <row r="996" spans="1:7" ht="12.75" customHeight="1">
      <c r="A996" s="124"/>
      <c r="B996" s="411" t="s">
        <v>2750</v>
      </c>
      <c r="C996" s="279"/>
      <c r="D996" s="1230" t="s">
        <v>757</v>
      </c>
      <c r="E996" s="1230"/>
      <c r="F996" s="1230"/>
      <c r="G996"/>
    </row>
    <row r="997" spans="1:7" ht="12.75" customHeight="1">
      <c r="A997" s="279"/>
      <c r="B997" s="279"/>
      <c r="C997" s="279"/>
      <c r="D997" s="3"/>
      <c r="E997" s="3"/>
      <c r="F997" s="3"/>
      <c r="G997"/>
    </row>
    <row r="998" spans="1:7" ht="12.75" customHeight="1">
      <c r="A998" s="124"/>
      <c r="B998" s="411" t="s">
        <v>2751</v>
      </c>
      <c r="C998" s="279"/>
      <c r="D998" s="1230" t="s">
        <v>758</v>
      </c>
      <c r="E998" s="1230"/>
      <c r="F998" s="1230"/>
      <c r="G998"/>
    </row>
    <row r="999" spans="1:7" ht="12.75" customHeight="1">
      <c r="A999" s="279"/>
      <c r="B999" s="279"/>
      <c r="C999" s="279"/>
      <c r="D999" s="85"/>
      <c r="E999" s="3"/>
      <c r="F999" s="3"/>
      <c r="G999"/>
    </row>
    <row r="1000" spans="1:7" ht="12.75" customHeight="1">
      <c r="A1000" s="124"/>
      <c r="B1000" s="411" t="s">
        <v>2750</v>
      </c>
      <c r="C1000" s="279"/>
      <c r="D1000" s="1230" t="s">
        <v>759</v>
      </c>
      <c r="E1000" s="1230"/>
      <c r="F1000" s="1230"/>
      <c r="G1000"/>
    </row>
    <row r="1001" spans="1:7" ht="12.75" customHeight="1">
      <c r="A1001" s="279"/>
      <c r="B1001" s="279"/>
      <c r="C1001" s="279"/>
      <c r="D1001" s="85"/>
      <c r="E1001" s="3"/>
      <c r="F1001" s="3"/>
      <c r="G1001"/>
    </row>
    <row r="1002" spans="1:7" ht="12.75" customHeight="1">
      <c r="A1002" s="124"/>
      <c r="B1002" s="411" t="s">
        <v>2751</v>
      </c>
      <c r="C1002" s="279"/>
      <c r="D1002" s="1219" t="s">
        <v>760</v>
      </c>
      <c r="E1002" s="1219"/>
      <c r="F1002" s="1219"/>
      <c r="G1002"/>
    </row>
    <row r="1003" spans="1:7" ht="12.75" customHeight="1">
      <c r="A1003" s="124"/>
      <c r="B1003" s="124"/>
      <c r="C1003" s="279"/>
      <c r="D1003" s="1219"/>
      <c r="E1003" s="1219"/>
      <c r="F1003" s="1219"/>
      <c r="G1003"/>
    </row>
    <row r="1004" spans="1:7" ht="12.75" customHeight="1">
      <c r="A1004" s="124"/>
      <c r="B1004" s="124"/>
      <c r="C1004" s="279"/>
      <c r="D1004" s="85"/>
      <c r="E1004" s="3"/>
      <c r="F1004" s="3"/>
      <c r="G1004" s="3"/>
    </row>
    <row r="1005" spans="1:7" ht="12.75" customHeight="1">
      <c r="A1005" s="180"/>
      <c r="B1005" s="411" t="s">
        <v>2751</v>
      </c>
      <c r="C1005" s="921"/>
      <c r="D1005" s="1258" t="s">
        <v>761</v>
      </c>
      <c r="E1005" s="1258"/>
      <c r="F1005" s="1258"/>
      <c r="G1005" s="922"/>
    </row>
    <row r="1006" spans="1:7" ht="12.75" customHeight="1">
      <c r="A1006" s="921"/>
      <c r="B1006" s="921"/>
      <c r="C1006" s="921"/>
      <c r="D1006" s="1258"/>
      <c r="E1006" s="1258"/>
      <c r="F1006" s="1258"/>
      <c r="G1006" s="922"/>
    </row>
    <row r="1007" spans="1:7" ht="12.75" customHeight="1">
      <c r="A1007" s="921"/>
      <c r="B1007" s="921"/>
      <c r="C1007" s="921"/>
      <c r="D1007" s="905"/>
      <c r="E1007" s="922"/>
      <c r="F1007" s="922"/>
      <c r="G1007" s="922"/>
    </row>
    <row r="1008" spans="1:7" ht="12.75" customHeight="1">
      <c r="A1008" s="180"/>
      <c r="B1008" s="411" t="s">
        <v>2751</v>
      </c>
      <c r="C1008" s="921"/>
      <c r="D1008" s="1275" t="s">
        <v>762</v>
      </c>
      <c r="E1008" s="1275"/>
      <c r="F1008" s="1275"/>
      <c r="G1008" s="922"/>
    </row>
    <row r="1009" spans="1:9" ht="12.75" customHeight="1">
      <c r="A1009" s="921"/>
      <c r="B1009" s="921"/>
      <c r="C1009" s="921"/>
      <c r="D1009" s="905"/>
      <c r="E1009" s="922"/>
      <c r="F1009" s="922"/>
      <c r="G1009" s="922"/>
    </row>
    <row r="1010" spans="1:9" ht="12.75" customHeight="1">
      <c r="A1010" s="124"/>
      <c r="B1010" s="411" t="s">
        <v>2750</v>
      </c>
      <c r="C1010" s="279"/>
      <c r="D1010" s="1230" t="s">
        <v>763</v>
      </c>
      <c r="E1010" s="1230"/>
      <c r="F1010" s="1230"/>
      <c r="G1010" s="3"/>
    </row>
    <row r="1011" spans="1:9" ht="12.75" customHeight="1">
      <c r="A1011" s="124"/>
      <c r="B1011" s="124"/>
      <c r="C1011" s="279"/>
      <c r="D1011" s="85"/>
      <c r="E1011" s="3"/>
      <c r="F1011" s="3"/>
      <c r="G1011" s="3"/>
    </row>
    <row r="1012" spans="1:9" ht="12.75" customHeight="1">
      <c r="A1012" s="124"/>
      <c r="B1012" s="411" t="s">
        <v>2751</v>
      </c>
      <c r="C1012" s="279"/>
      <c r="D1012" s="1219" t="s">
        <v>764</v>
      </c>
      <c r="E1012" s="1219"/>
      <c r="F1012" s="1219"/>
      <c r="G1012" s="3"/>
    </row>
    <row r="1013" spans="1:9" ht="12.75" customHeight="1">
      <c r="A1013" s="124"/>
      <c r="B1013" s="124"/>
      <c r="C1013" s="279"/>
      <c r="D1013" s="1219"/>
      <c r="E1013" s="1219"/>
      <c r="F1013" s="1219"/>
      <c r="G1013" s="3"/>
    </row>
    <row r="1014" spans="1:9" ht="12.75" customHeight="1">
      <c r="A1014" s="279"/>
      <c r="B1014" s="279"/>
      <c r="C1014" s="279"/>
      <c r="D1014" s="3"/>
      <c r="E1014" s="3"/>
      <c r="F1014" s="3"/>
      <c r="G1014" s="3"/>
    </row>
    <row r="1015" spans="1:9" ht="12.75" customHeight="1">
      <c r="A1015" s="1262" t="s">
        <v>765</v>
      </c>
      <c r="B1015" s="1262"/>
      <c r="C1015" s="1262"/>
      <c r="D1015" s="1262"/>
      <c r="E1015" s="1262"/>
      <c r="F1015" s="1262"/>
      <c r="G1015" s="1262"/>
      <c r="H1015" s="952"/>
      <c r="I1015" s="953"/>
    </row>
    <row r="1016" spans="1:9" ht="12.75" customHeight="1">
      <c r="A1016" s="279"/>
      <c r="B1016" s="279"/>
      <c r="C1016" s="279"/>
      <c r="D1016" s="3"/>
      <c r="E1016" s="3"/>
      <c r="F1016" s="3"/>
      <c r="G1016" s="3"/>
    </row>
    <row r="1017" spans="1:9" ht="12.75" customHeight="1">
      <c r="A1017" s="279"/>
      <c r="B1017" s="279"/>
      <c r="C1017" s="279"/>
      <c r="D1017" s="1257" t="s">
        <v>766</v>
      </c>
      <c r="E1017" s="1257"/>
      <c r="F1017" s="1257"/>
      <c r="G1017" s="3"/>
    </row>
    <row r="1018" spans="1:9" ht="12.75" customHeight="1">
      <c r="A1018" s="279"/>
      <c r="B1018" s="279"/>
      <c r="C1018" s="279"/>
      <c r="D1018" s="1275" t="s">
        <v>767</v>
      </c>
      <c r="E1018" s="1275"/>
      <c r="F1018" s="1275"/>
      <c r="G1018" s="3"/>
    </row>
    <row r="1019" spans="1:9" ht="12.75" customHeight="1">
      <c r="A1019" s="120"/>
      <c r="B1019" s="120"/>
      <c r="C1019" s="120"/>
      <c r="D1019" s="3"/>
      <c r="E1019" s="3"/>
      <c r="F1019" s="3"/>
      <c r="G1019" s="3"/>
    </row>
    <row r="1020" spans="1:9" ht="12.75" customHeight="1">
      <c r="A1020" s="124"/>
      <c r="B1020" s="124"/>
      <c r="C1020" s="123"/>
      <c r="D1020" s="1257" t="s">
        <v>768</v>
      </c>
      <c r="E1020" s="1257"/>
      <c r="F1020" s="1257"/>
      <c r="G1020" s="3"/>
      <c r="I1020" s="329" t="s">
        <v>769</v>
      </c>
    </row>
    <row r="1021" spans="1:9" ht="12.75" customHeight="1">
      <c r="A1021" s="279"/>
      <c r="B1021" s="411" t="s">
        <v>2750</v>
      </c>
      <c r="C1021" s="279"/>
      <c r="D1021" s="1275" t="s">
        <v>770</v>
      </c>
      <c r="E1021" s="1275"/>
      <c r="F1021" s="1275"/>
      <c r="G1021" s="3"/>
    </row>
    <row r="1022" spans="1:9" ht="12.75" customHeight="1">
      <c r="A1022" s="279"/>
      <c r="B1022" s="124"/>
      <c r="C1022" s="279"/>
      <c r="D1022" s="1275" t="s">
        <v>771</v>
      </c>
      <c r="E1022" s="1275"/>
      <c r="F1022" s="1275"/>
      <c r="G1022" s="3"/>
    </row>
    <row r="1023" spans="1:9" ht="12.75" customHeight="1">
      <c r="A1023" s="279"/>
      <c r="B1023" s="279"/>
      <c r="C1023" s="279"/>
      <c r="D1023" s="1275"/>
      <c r="E1023" s="1275"/>
      <c r="F1023" s="1275"/>
      <c r="G1023" s="3"/>
    </row>
    <row r="1024" spans="1:9" ht="12.75" customHeight="1">
      <c r="A1024" s="1262" t="s">
        <v>772</v>
      </c>
      <c r="B1024" s="1262"/>
      <c r="C1024" s="1262"/>
      <c r="D1024" s="1262"/>
      <c r="E1024" s="1262"/>
      <c r="F1024" s="1262"/>
      <c r="G1024" s="1262"/>
      <c r="H1024" s="952"/>
      <c r="I1024" s="953"/>
    </row>
    <row r="1025" spans="1:9" ht="12.75" customHeight="1">
      <c r="A1025" s="85"/>
      <c r="B1025" s="85"/>
      <c r="C1025" s="279"/>
      <c r="D1025" s="3"/>
      <c r="E1025" s="3"/>
      <c r="F1025" s="3"/>
      <c r="G1025" s="3"/>
    </row>
    <row r="1026" spans="1:9" ht="12.75" hidden="1" customHeight="1">
      <c r="A1026" s="85"/>
      <c r="B1026" s="327"/>
      <c r="D1026" s="1264" t="s">
        <v>773</v>
      </c>
      <c r="E1026" s="1264"/>
      <c r="F1026" s="1264"/>
      <c r="G1026" s="3"/>
    </row>
    <row r="1027" spans="1:9" ht="12.75" hidden="1" customHeight="1">
      <c r="A1027" s="85"/>
      <c r="B1027" s="411" t="s">
        <v>294</v>
      </c>
      <c r="D1027" s="1266" t="s">
        <v>770</v>
      </c>
      <c r="E1027" s="1266"/>
      <c r="F1027" s="1266"/>
      <c r="G1027" s="3"/>
    </row>
    <row r="1028" spans="1:9" ht="12.75" hidden="1" customHeight="1">
      <c r="A1028" s="85"/>
      <c r="B1028" s="327"/>
      <c r="D1028" s="1266" t="s">
        <v>774</v>
      </c>
      <c r="E1028" s="1266"/>
      <c r="F1028" s="1266"/>
      <c r="G1028" s="3"/>
    </row>
    <row r="1029" spans="1:9" ht="12.75" hidden="1" customHeight="1">
      <c r="A1029" s="85"/>
      <c r="B1029" s="327"/>
      <c r="D1029" s="371"/>
      <c r="E1029" s="371"/>
      <c r="F1029" s="371"/>
      <c r="G1029" s="3"/>
    </row>
    <row r="1030" spans="1:9" ht="12.75" customHeight="1">
      <c r="A1030" s="85"/>
      <c r="B1030" s="85"/>
      <c r="C1030" s="279"/>
      <c r="D1030" s="1276" t="s">
        <v>494</v>
      </c>
      <c r="E1030" s="1276"/>
      <c r="F1030" s="1276"/>
      <c r="G1030" s="3"/>
      <c r="I1030" s="329" t="s">
        <v>775</v>
      </c>
    </row>
    <row r="1031" spans="1:9" ht="12.75" customHeight="1">
      <c r="A1031" s="241"/>
      <c r="B1031" s="241"/>
      <c r="C1031" s="241"/>
      <c r="D1031" s="1250" t="s">
        <v>495</v>
      </c>
      <c r="E1031" s="1250"/>
      <c r="F1031" s="1250"/>
      <c r="G1031" s="74"/>
    </row>
    <row r="1032" spans="1:9" ht="12.75" customHeight="1">
      <c r="A1032" s="124"/>
      <c r="B1032" s="411" t="s">
        <v>2751</v>
      </c>
      <c r="C1032" s="279"/>
      <c r="D1032" s="1250" t="s">
        <v>496</v>
      </c>
      <c r="E1032" s="1250"/>
      <c r="F1032" s="1250"/>
      <c r="G1032" s="3"/>
    </row>
    <row r="1033" spans="1:9" ht="12.75" customHeight="1">
      <c r="A1033" s="279"/>
      <c r="B1033" s="279"/>
      <c r="C1033" s="279"/>
      <c r="D1033" s="961" t="s">
        <v>776</v>
      </c>
      <c r="E1033" s="72"/>
      <c r="F1033" s="72"/>
      <c r="G1033" s="3"/>
    </row>
    <row r="1034" spans="1:9">
      <c r="A1034" s="327"/>
      <c r="B1034" s="327"/>
      <c r="C1034" s="327"/>
    </row>
    <row r="1035" spans="1:9">
      <c r="A1035" s="1262" t="s">
        <v>777</v>
      </c>
      <c r="B1035" s="1262"/>
      <c r="C1035" s="1262"/>
      <c r="D1035" s="1262"/>
      <c r="E1035" s="1262"/>
      <c r="F1035" s="1262"/>
      <c r="G1035" s="1262"/>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2751</v>
      </c>
      <c r="C1040" s="327"/>
      <c r="D1040" s="1278" t="s">
        <v>780</v>
      </c>
      <c r="E1040" s="1278"/>
      <c r="F1040" s="1278"/>
      <c r="I1040" s="329" t="s">
        <v>781</v>
      </c>
    </row>
    <row r="1041" spans="1:9">
      <c r="A1041" s="327"/>
      <c r="B1041" s="327"/>
      <c r="C1041" s="327"/>
      <c r="D1041" s="1278"/>
      <c r="E1041" s="1278"/>
      <c r="F1041" s="1278"/>
    </row>
    <row r="1042" spans="1:9">
      <c r="A1042" s="327"/>
      <c r="B1042" s="327"/>
      <c r="C1042" s="327"/>
      <c r="D1042" s="1278"/>
      <c r="E1042" s="1278"/>
      <c r="F1042" s="1278"/>
    </row>
    <row r="1043" spans="1:9">
      <c r="A1043" s="327"/>
      <c r="B1043" s="327"/>
      <c r="C1043" s="327"/>
      <c r="D1043" s="1278"/>
      <c r="E1043" s="1278"/>
      <c r="F1043" s="1278"/>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2750</v>
      </c>
      <c r="C1048" s="327"/>
      <c r="D1048" s="327" t="s">
        <v>725</v>
      </c>
      <c r="I1048" s="329" t="s">
        <v>784</v>
      </c>
    </row>
    <row r="1049" spans="1:9">
      <c r="A1049" s="327"/>
      <c r="B1049" s="327"/>
      <c r="C1049" s="327"/>
    </row>
    <row r="1050" spans="1:9">
      <c r="A1050" s="327"/>
      <c r="B1050" s="411" t="s">
        <v>2750</v>
      </c>
      <c r="C1050" s="327"/>
      <c r="D1050" s="1278" t="s">
        <v>785</v>
      </c>
      <c r="E1050" s="1278"/>
      <c r="F1050" s="1278"/>
      <c r="I1050" s="329" t="s">
        <v>786</v>
      </c>
    </row>
    <row r="1051" spans="1:9">
      <c r="A1051" s="327"/>
      <c r="B1051" s="327"/>
      <c r="C1051" s="327"/>
      <c r="D1051" s="1278"/>
      <c r="E1051" s="1278"/>
      <c r="F1051" s="1278"/>
    </row>
    <row r="1052" spans="1:9">
      <c r="A1052" s="327"/>
      <c r="B1052" s="327"/>
      <c r="C1052" s="327"/>
      <c r="D1052" s="1278"/>
      <c r="E1052" s="1278"/>
      <c r="F1052" s="1278"/>
    </row>
    <row r="1053" spans="1:9">
      <c r="A1053" s="327"/>
      <c r="B1053" s="327"/>
      <c r="C1053" s="327"/>
      <c r="D1053" s="1278"/>
      <c r="E1053" s="1278"/>
      <c r="F1053" s="1278"/>
    </row>
    <row r="1054" spans="1:9">
      <c r="A1054" s="327"/>
      <c r="B1054" s="327"/>
      <c r="C1054" s="327"/>
      <c r="D1054" s="1278"/>
      <c r="E1054" s="1278"/>
      <c r="F1054" s="1278"/>
    </row>
    <row r="1055" spans="1:9">
      <c r="A1055" s="327"/>
      <c r="B1055" s="327"/>
      <c r="C1055" s="327"/>
    </row>
    <row r="1056" spans="1:9">
      <c r="A1056" s="1262" t="s">
        <v>787</v>
      </c>
      <c r="B1056" s="1262"/>
      <c r="C1056" s="1262"/>
      <c r="D1056" s="1262"/>
      <c r="E1056" s="1262"/>
      <c r="F1056" s="1262"/>
      <c r="G1056" s="1262"/>
      <c r="H1056" s="952"/>
      <c r="I1056" s="953"/>
    </row>
    <row r="1057" spans="1:9">
      <c r="A1057" s="327"/>
      <c r="B1057" s="327"/>
      <c r="C1057" s="327"/>
    </row>
    <row r="1058" spans="1:9">
      <c r="A1058" s="327"/>
      <c r="B1058" s="327"/>
      <c r="C1058" s="327"/>
    </row>
    <row r="1059" spans="1:9">
      <c r="A1059" s="327"/>
      <c r="B1059" s="411" t="s">
        <v>2750</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2751</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2751</v>
      </c>
      <c r="C1065" s="327"/>
      <c r="D1065" s="86" t="s">
        <v>794</v>
      </c>
      <c r="I1065" s="329" t="s">
        <v>795</v>
      </c>
    </row>
    <row r="1066" spans="1:9">
      <c r="A1066" s="327"/>
      <c r="B1066" s="327"/>
      <c r="C1066" s="327"/>
      <c r="D1066" s="1219" t="s">
        <v>796</v>
      </c>
      <c r="E1066" s="1219"/>
      <c r="F1066" s="1219"/>
    </row>
    <row r="1067" spans="1:9">
      <c r="A1067" s="327"/>
      <c r="B1067" s="327"/>
      <c r="C1067" s="327"/>
      <c r="D1067" s="1219"/>
      <c r="E1067" s="1219"/>
      <c r="F1067" s="1219"/>
    </row>
    <row r="1068" spans="1:9">
      <c r="A1068" s="327"/>
      <c r="B1068" s="327"/>
      <c r="C1068" s="327"/>
      <c r="D1068" s="1219"/>
      <c r="E1068" s="1219"/>
      <c r="F1068" s="1219"/>
    </row>
    <row r="1069" spans="1:9">
      <c r="A1069" s="327"/>
      <c r="B1069" s="327"/>
      <c r="C1069" s="327"/>
      <c r="D1069" s="1219"/>
      <c r="E1069" s="1219"/>
      <c r="F1069" s="1219"/>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2751</v>
      </c>
      <c r="C1073" s="327"/>
      <c r="D1073" s="1277" t="s">
        <v>800</v>
      </c>
      <c r="E1073" s="1277"/>
      <c r="F1073" s="1277"/>
    </row>
    <row r="1074" spans="1:9">
      <c r="A1074" s="327"/>
      <c r="B1074" s="327"/>
      <c r="C1074" s="327"/>
      <c r="D1074" s="1277"/>
      <c r="E1074" s="1277"/>
      <c r="F1074" s="1277"/>
    </row>
    <row r="1075" spans="1:9">
      <c r="A1075" s="327"/>
      <c r="B1075" s="327"/>
      <c r="C1075" s="327"/>
      <c r="D1075" s="1277"/>
      <c r="E1075" s="1277"/>
      <c r="F1075" s="1277"/>
    </row>
    <row r="1076" spans="1:9">
      <c r="A1076" s="327"/>
      <c r="B1076" s="327"/>
      <c r="C1076" s="327"/>
      <c r="D1076" s="1277"/>
      <c r="E1076" s="1277"/>
      <c r="F1076" s="1277"/>
    </row>
    <row r="1077" spans="1:9">
      <c r="A1077" s="327"/>
      <c r="B1077" s="327"/>
      <c r="C1077" s="327"/>
      <c r="D1077" s="1277"/>
      <c r="E1077" s="1277"/>
      <c r="F1077" s="1277"/>
    </row>
    <row r="1078" spans="1:9">
      <c r="A1078" s="327"/>
      <c r="B1078" s="327"/>
      <c r="C1078" s="327"/>
      <c r="D1078" s="452" t="s">
        <v>801</v>
      </c>
    </row>
    <row r="1079" spans="1:9">
      <c r="A1079" s="327"/>
      <c r="B1079" s="327"/>
      <c r="C1079" s="327"/>
    </row>
    <row r="1080" spans="1:9">
      <c r="A1080" s="1262" t="s">
        <v>802</v>
      </c>
      <c r="B1080" s="1262"/>
      <c r="C1080" s="1262"/>
      <c r="D1080" s="1262"/>
      <c r="E1080" s="1262"/>
      <c r="F1080" s="1262"/>
      <c r="G1080" s="1262"/>
      <c r="H1080" s="952"/>
      <c r="I1080" s="953"/>
    </row>
    <row r="1081" spans="1:9">
      <c r="A1081" s="327"/>
      <c r="B1081" s="327"/>
      <c r="C1081" s="327"/>
    </row>
    <row r="1082" spans="1:9">
      <c r="A1082" s="327"/>
      <c r="B1082" s="327"/>
      <c r="C1082" s="327"/>
    </row>
    <row r="1083" spans="1:9" ht="12.75" customHeight="1">
      <c r="A1083" s="327"/>
      <c r="B1083" s="411" t="s">
        <v>2751</v>
      </c>
      <c r="C1083" s="327"/>
      <c r="D1083" s="1279" t="s">
        <v>803</v>
      </c>
      <c r="E1083" s="1279"/>
      <c r="F1083" s="1279"/>
      <c r="I1083" s="329" t="s">
        <v>804</v>
      </c>
    </row>
    <row r="1084" spans="1:9">
      <c r="A1084" s="327"/>
      <c r="B1084" s="327"/>
      <c r="C1084" s="327"/>
      <c r="D1084" s="1279"/>
      <c r="E1084" s="1279"/>
      <c r="F1084" s="1279"/>
    </row>
    <row r="1085" spans="1:9">
      <c r="A1085" s="327"/>
      <c r="B1085" s="327"/>
      <c r="C1085" s="327"/>
      <c r="D1085" s="1280" t="s">
        <v>805</v>
      </c>
      <c r="E1085" s="1219"/>
      <c r="F1085" s="1219"/>
    </row>
    <row r="1086" spans="1:9">
      <c r="A1086" s="327"/>
      <c r="B1086" s="327"/>
      <c r="C1086" s="327"/>
      <c r="D1086" s="452"/>
    </row>
    <row r="1087" spans="1:9">
      <c r="A1087" s="327"/>
      <c r="B1087" s="411" t="s">
        <v>2751</v>
      </c>
      <c r="C1087" s="327"/>
      <c r="D1087" s="1277" t="s">
        <v>806</v>
      </c>
      <c r="E1087" s="1277"/>
      <c r="F1087" s="1277"/>
      <c r="I1087" s="329" t="s">
        <v>807</v>
      </c>
    </row>
    <row r="1088" spans="1:9">
      <c r="A1088" s="327"/>
      <c r="B1088" s="327"/>
      <c r="C1088" s="327"/>
      <c r="D1088" s="1277"/>
      <c r="E1088" s="1277"/>
      <c r="F1088" s="1277"/>
    </row>
    <row r="1089" spans="1:9">
      <c r="A1089" s="327"/>
      <c r="B1089" s="327"/>
      <c r="C1089" s="327"/>
      <c r="D1089" s="452"/>
    </row>
    <row r="1090" spans="1:9">
      <c r="A1090" s="327"/>
      <c r="B1090" s="411" t="s">
        <v>2751</v>
      </c>
      <c r="C1090" s="327"/>
      <c r="D1090" s="1277" t="s">
        <v>808</v>
      </c>
      <c r="E1090" s="1277"/>
      <c r="F1090" s="1277"/>
      <c r="I1090" s="329" t="s">
        <v>809</v>
      </c>
    </row>
    <row r="1091" spans="1:9">
      <c r="A1091" s="327"/>
      <c r="B1091" s="327"/>
      <c r="C1091" s="327"/>
      <c r="D1091" s="1277"/>
      <c r="E1091" s="1277"/>
      <c r="F1091" s="1277"/>
    </row>
    <row r="1092" spans="1:9">
      <c r="A1092" s="327"/>
      <c r="B1092" s="327"/>
      <c r="C1092" s="327"/>
      <c r="D1092" s="1277"/>
      <c r="E1092" s="1277"/>
      <c r="F1092" s="1277"/>
    </row>
    <row r="1093" spans="1:9">
      <c r="A1093" s="327"/>
      <c r="B1093" s="327"/>
      <c r="C1093" s="327"/>
      <c r="D1093" s="1277"/>
      <c r="E1093" s="1277"/>
      <c r="F1093" s="1277"/>
    </row>
    <row r="1094" spans="1:9">
      <c r="A1094" s="327"/>
      <c r="B1094" s="327"/>
      <c r="C1094" s="327"/>
      <c r="D1094" s="1277"/>
      <c r="E1094" s="1277"/>
      <c r="F1094" s="1277"/>
    </row>
    <row r="1095" spans="1:9">
      <c r="A1095" s="327"/>
      <c r="B1095" s="327"/>
      <c r="C1095" s="327"/>
      <c r="D1095" s="1277"/>
      <c r="E1095" s="1277"/>
      <c r="F1095" s="1277"/>
    </row>
    <row r="1096" spans="1:9">
      <c r="A1096" s="327"/>
      <c r="B1096" s="327"/>
      <c r="C1096" s="327"/>
      <c r="D1096" s="452" t="s">
        <v>810</v>
      </c>
      <c r="I1096" s="327"/>
    </row>
    <row r="1097" spans="1:9">
      <c r="A1097" s="327"/>
      <c r="B1097" s="411" t="s">
        <v>2751</v>
      </c>
      <c r="C1097" s="327"/>
      <c r="D1097" s="1277" t="s">
        <v>811</v>
      </c>
      <c r="E1097" s="1277"/>
      <c r="F1097" s="1277"/>
      <c r="I1097" s="329" t="s">
        <v>812</v>
      </c>
    </row>
    <row r="1098" spans="1:9">
      <c r="A1098" s="327"/>
      <c r="B1098" s="327"/>
      <c r="C1098" s="327"/>
      <c r="D1098" s="1277"/>
      <c r="E1098" s="1277"/>
      <c r="F1098" s="1277"/>
    </row>
    <row r="1099" spans="1:9">
      <c r="A1099" s="327"/>
      <c r="B1099" s="327"/>
      <c r="C1099" s="327"/>
      <c r="D1099" s="1277"/>
      <c r="E1099" s="1277"/>
      <c r="F1099" s="1277"/>
    </row>
    <row r="1100" spans="1:9">
      <c r="A1100" s="327"/>
      <c r="B1100" s="327"/>
      <c r="C1100" s="327"/>
      <c r="D1100" s="452"/>
    </row>
    <row r="1101" spans="1:9">
      <c r="A1101" s="327"/>
      <c r="B1101" s="411" t="s">
        <v>2750</v>
      </c>
      <c r="C1101" s="327"/>
      <c r="D1101" s="1223" t="s">
        <v>813</v>
      </c>
      <c r="E1101" s="1223"/>
      <c r="F1101" s="1223"/>
      <c r="I1101" s="329" t="s">
        <v>685</v>
      </c>
    </row>
    <row r="1102" spans="1:9">
      <c r="A1102" s="327"/>
      <c r="B1102" s="327"/>
      <c r="C1102" s="327"/>
      <c r="D1102" s="1223"/>
      <c r="E1102" s="1223"/>
      <c r="F1102" s="1223"/>
    </row>
    <row r="1103" spans="1:9">
      <c r="A1103" s="327"/>
      <c r="B1103" s="327"/>
      <c r="C1103" s="327"/>
      <c r="D1103" s="1223"/>
      <c r="E1103" s="1223"/>
      <c r="F1103" s="1223"/>
    </row>
    <row r="1104" spans="1:9">
      <c r="A1104" s="327"/>
      <c r="B1104" s="327"/>
      <c r="C1104" s="327"/>
      <c r="D1104" s="901"/>
      <c r="E1104" s="901"/>
      <c r="F1104" s="901"/>
    </row>
    <row r="1105" spans="1:9" ht="15.75" customHeight="1">
      <c r="A1105" s="327"/>
      <c r="B1105" s="411" t="s">
        <v>2751</v>
      </c>
      <c r="C1105" s="327"/>
      <c r="D1105" s="1219" t="s">
        <v>814</v>
      </c>
      <c r="E1105" s="1219"/>
      <c r="F1105" s="1219"/>
      <c r="I1105" s="329" t="s">
        <v>815</v>
      </c>
    </row>
    <row r="1106" spans="1:9">
      <c r="A1106" s="327"/>
      <c r="B1106" s="327"/>
      <c r="C1106" s="327"/>
      <c r="D1106" s="1219"/>
      <c r="E1106" s="1219"/>
      <c r="F1106" s="1219"/>
    </row>
    <row r="1107" spans="1:9">
      <c r="A1107" s="327"/>
      <c r="B1107" s="327"/>
      <c r="C1107" s="327"/>
      <c r="D1107" s="1219"/>
      <c r="E1107" s="1219"/>
      <c r="F1107" s="1219"/>
    </row>
    <row r="1108" spans="1:9">
      <c r="A1108" s="327"/>
      <c r="B1108" s="327"/>
      <c r="C1108" s="327"/>
      <c r="D1108" s="1219"/>
      <c r="E1108" s="1219"/>
      <c r="F1108" s="1219"/>
    </row>
    <row r="1109" spans="1:9">
      <c r="A1109" s="327"/>
      <c r="B1109" s="327"/>
      <c r="C1109" s="327"/>
      <c r="D1109" s="901"/>
      <c r="E1109" s="901"/>
      <c r="F1109" s="901"/>
    </row>
    <row r="1110" spans="1:9" ht="38.25">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4"/>
      <c r="H1523" s="1244"/>
      <c r="I1523" s="124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382" zoomScale="120" zoomScaleNormal="120" zoomScaleSheetLayoutView="80" workbookViewId="0">
      <selection activeCell="J841" sqref="J841"/>
    </sheetView>
  </sheetViews>
  <sheetFormatPr defaultColWidth="0" defaultRowHeight="12.95" customHeight="1" zeroHeight="1"/>
  <cols>
    <col min="1" max="31" width="2.42578125" customWidth="1"/>
    <col min="32" max="32" width="3.42578125" customWidth="1"/>
    <col min="33"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33" t="s">
        <v>817</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c r="AK8" s="1533"/>
      <c r="AL8" s="1533"/>
      <c r="AM8" s="821"/>
      <c r="AN8" s="821"/>
      <c r="AO8" s="821"/>
      <c r="AP8" s="821"/>
      <c r="AQ8" s="821"/>
      <c r="AR8" s="821"/>
      <c r="AS8" s="821"/>
      <c r="AT8" s="821"/>
      <c r="AU8" s="821"/>
      <c r="AV8" s="821"/>
      <c r="AW8" s="821"/>
      <c r="AX8" s="821"/>
      <c r="AY8" s="821"/>
    </row>
    <row r="9" spans="1:51" ht="12.95" customHeight="1">
      <c r="A9" s="1254" t="s">
        <v>818</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2.95" customHeight="1">
      <c r="A10" s="1254" t="s">
        <v>819</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2.95" customHeight="1">
      <c r="A11" s="1254" t="s">
        <v>820</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2.95" customHeight="1">
      <c r="A12" s="1710" t="s">
        <v>821</v>
      </c>
      <c r="B12" s="1710"/>
      <c r="C12" s="1710"/>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1710"/>
      <c r="AM12" s="279"/>
      <c r="AN12" s="279"/>
      <c r="AO12" s="279"/>
      <c r="AP12" s="279"/>
      <c r="AQ12" s="279"/>
      <c r="AR12" s="279"/>
      <c r="AS12" s="279"/>
      <c r="AT12" s="279"/>
      <c r="AU12" s="279"/>
      <c r="AV12" s="279"/>
      <c r="AW12" s="279"/>
      <c r="AX12" s="279"/>
      <c r="AY12" s="279"/>
    </row>
    <row r="13" spans="1:51" ht="12.95" customHeight="1">
      <c r="A13" s="1217" t="s">
        <v>822</v>
      </c>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822"/>
      <c r="AN13" s="822"/>
      <c r="AO13" s="822"/>
      <c r="AP13" s="822"/>
      <c r="AQ13" s="822"/>
      <c r="AR13" s="822"/>
      <c r="AS13" s="822"/>
      <c r="AT13" s="822"/>
      <c r="AU13" s="822"/>
      <c r="AV13" s="822"/>
      <c r="AW13" s="822"/>
      <c r="AX13" s="822"/>
      <c r="AY13" s="822"/>
    </row>
    <row r="14" spans="1:51" ht="12.95" customHeight="1" thickBot="1">
      <c r="A14" s="1218"/>
      <c r="B14" s="1218"/>
      <c r="C14" s="1218"/>
      <c r="D14" s="1218"/>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1218"/>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690" t="s">
        <v>824</v>
      </c>
      <c r="I16" s="1690"/>
      <c r="J16" s="1690"/>
      <c r="K16" s="1690"/>
      <c r="L16" s="1690"/>
      <c r="M16" s="1690"/>
      <c r="N16" s="1690"/>
      <c r="O16" s="1690"/>
      <c r="P16" s="1690"/>
      <c r="Q16" s="1690"/>
      <c r="R16" s="1690"/>
      <c r="S16" s="1690"/>
      <c r="T16" s="1690"/>
      <c r="U16" s="1690"/>
      <c r="V16" s="1690"/>
      <c r="W16" s="1690"/>
      <c r="X16" s="1690"/>
      <c r="Y16" s="1690"/>
      <c r="Z16" s="1690"/>
      <c r="AA16" s="1690"/>
      <c r="AB16" s="1690"/>
      <c r="AC16" s="1690"/>
      <c r="AD16" s="1690"/>
      <c r="AE16" s="1690"/>
      <c r="AF16" s="1690"/>
      <c r="AG16" s="1690"/>
      <c r="AH16" s="1690"/>
      <c r="AI16" s="1690"/>
      <c r="AJ16" s="1690"/>
    </row>
    <row r="17" spans="1:52" ht="12.95" customHeight="1"/>
    <row r="18" spans="1:52" ht="12.95" customHeight="1">
      <c r="A18" s="50" t="s">
        <v>825</v>
      </c>
      <c r="C18" s="3"/>
      <c r="D18" s="3"/>
      <c r="E18" s="3"/>
      <c r="F18" s="3"/>
      <c r="G18" s="3"/>
      <c r="H18" s="1540" t="s">
        <v>826</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row>
    <row r="19" spans="1:52" ht="12.95" customHeight="1"/>
    <row r="20" spans="1:52" ht="12.95" customHeight="1">
      <c r="A20" s="1707" t="s">
        <v>827</v>
      </c>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c r="AL20" s="1707"/>
      <c r="AM20" s="823"/>
      <c r="AN20" s="823"/>
      <c r="AO20" s="823"/>
      <c r="AP20" s="823"/>
      <c r="AQ20" s="823"/>
      <c r="AR20" s="823"/>
      <c r="AS20" s="823"/>
      <c r="AT20" s="823"/>
      <c r="AU20" s="823"/>
      <c r="AV20" s="823"/>
      <c r="AW20" s="823"/>
      <c r="AX20" s="823"/>
      <c r="AY20" s="823"/>
    </row>
    <row r="21" spans="1:52" ht="12.95" customHeight="1">
      <c r="A21" s="1711" t="s">
        <v>828</v>
      </c>
      <c r="B21" s="1711"/>
      <c r="C21" s="1711"/>
      <c r="D21" s="1711"/>
      <c r="E21" s="1711"/>
      <c r="F21" s="1711"/>
      <c r="G21" s="1711"/>
      <c r="H21" s="1711"/>
      <c r="I21" s="1711"/>
      <c r="J21" s="1711"/>
      <c r="K21" s="1711"/>
      <c r="L21" s="1711"/>
      <c r="M21" s="1711"/>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c r="AL21" s="1711"/>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706">
        <f>'Basis &amp; Credits'!AB56</f>
        <v>3909763.7</v>
      </c>
      <c r="N26" s="1706"/>
      <c r="O26" s="1706"/>
      <c r="P26" s="1706"/>
      <c r="Q26" s="1706"/>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7">
        <f>'Basis &amp; Credits'!AB77</f>
        <v>0</v>
      </c>
      <c r="N27" s="1347"/>
      <c r="O27" s="1347"/>
      <c r="P27" s="1347"/>
      <c r="Q27" s="1347"/>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08" t="s">
        <v>837</v>
      </c>
      <c r="P33" s="1308"/>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705"/>
      <c r="H122" s="1705"/>
      <c r="I122" s="3" t="s">
        <v>909</v>
      </c>
      <c r="L122" s="1705"/>
      <c r="M122" s="1705"/>
      <c r="N122" s="1705"/>
      <c r="O122" s="1700" t="s">
        <v>910</v>
      </c>
      <c r="P122" s="1700"/>
      <c r="Q122" s="1700"/>
      <c r="R122" s="170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46"/>
      <c r="D124" s="1746"/>
      <c r="E124" s="1746"/>
      <c r="F124" s="1746"/>
      <c r="G124" s="1746"/>
      <c r="H124" s="1746"/>
      <c r="I124" s="1746"/>
      <c r="J124" s="1746"/>
      <c r="K124" s="1746"/>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705"/>
      <c r="Z126" s="1705"/>
      <c r="AA126" s="1705"/>
      <c r="AB126" s="1705"/>
      <c r="AC126" s="1705"/>
      <c r="AD126" s="1705"/>
      <c r="AE126" s="1705"/>
      <c r="AF126" s="1705"/>
      <c r="AG126" s="1705"/>
      <c r="AH126" s="1705"/>
      <c r="AI126" s="1705"/>
      <c r="AJ126" s="1705"/>
      <c r="AK126" s="1705"/>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705" t="s">
        <v>914</v>
      </c>
      <c r="Z129" s="1705"/>
      <c r="AA129" s="1705"/>
      <c r="AB129" s="1705"/>
      <c r="AC129" s="1705"/>
      <c r="AD129" s="1705"/>
      <c r="AE129" s="1705"/>
      <c r="AF129" s="1705"/>
      <c r="AG129" s="1705"/>
      <c r="AH129" s="1705"/>
      <c r="AI129" s="1705"/>
      <c r="AJ129" s="1705"/>
      <c r="AK129" s="1705"/>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915</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705" t="s">
        <v>916</v>
      </c>
      <c r="Z132" s="1705"/>
      <c r="AA132" s="1705"/>
      <c r="AB132" s="1705"/>
      <c r="AC132" s="1705"/>
      <c r="AD132" s="1705"/>
      <c r="AE132" s="1705"/>
      <c r="AF132" s="1705"/>
      <c r="AG132" s="1705"/>
      <c r="AH132" s="1705"/>
      <c r="AI132" s="1705"/>
      <c r="AJ132" s="1705"/>
      <c r="AK132" s="1705"/>
      <c r="AL132" s="3"/>
      <c r="AM132" s="3"/>
      <c r="AN132" s="3"/>
      <c r="AO132" s="3"/>
      <c r="AP132" s="3"/>
      <c r="AQ132" s="3"/>
      <c r="AR132" s="3"/>
      <c r="AS132" s="3"/>
      <c r="AT132" s="3"/>
      <c r="AU132" s="3"/>
      <c r="AV132" s="3"/>
      <c r="AW132" s="3"/>
      <c r="AX132" s="3"/>
      <c r="AY132" s="3"/>
    </row>
    <row r="133" spans="1:51" ht="12.95" customHeight="1">
      <c r="A133" s="3"/>
      <c r="W133" s="3"/>
      <c r="X133" s="3"/>
      <c r="Y133" s="3"/>
      <c r="Z133" s="3" t="s">
        <v>917</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918</v>
      </c>
      <c r="O153" s="1540" t="s">
        <v>919</v>
      </c>
      <c r="P153" s="1540"/>
      <c r="Q153" s="1540"/>
      <c r="R153" s="1540"/>
      <c r="S153" s="1540"/>
      <c r="T153" s="1540"/>
      <c r="U153" s="1540"/>
      <c r="V153" s="1540"/>
      <c r="W153" s="1540"/>
      <c r="X153" s="1540"/>
      <c r="Y153" s="1540"/>
      <c r="Z153" s="1540"/>
      <c r="AA153" s="1540"/>
      <c r="AB153" s="1540"/>
      <c r="AC153" s="1540"/>
      <c r="AD153" s="1540"/>
      <c r="AE153" s="1540"/>
      <c r="AF153" s="1540"/>
      <c r="AG153" s="1540"/>
      <c r="AH153" s="1540"/>
    </row>
    <row r="154" spans="1:72" ht="12.95" customHeight="1">
      <c r="D154" s="224" t="s">
        <v>920</v>
      </c>
      <c r="O154" s="1305" t="s">
        <v>921</v>
      </c>
      <c r="P154" s="1305"/>
      <c r="Q154" s="1305"/>
      <c r="R154" s="1305"/>
      <c r="S154" s="1305"/>
      <c r="T154" s="1305"/>
      <c r="U154" s="1305"/>
      <c r="V154" s="1305"/>
      <c r="W154" s="1305"/>
      <c r="X154" s="1305"/>
      <c r="Y154" s="1305"/>
      <c r="Z154" s="1305"/>
      <c r="AA154" s="1305"/>
      <c r="AB154" s="1305"/>
      <c r="AC154" s="1305"/>
      <c r="AD154" s="1305"/>
      <c r="AE154" s="1305"/>
      <c r="AF154" s="1305"/>
      <c r="AG154" s="1305"/>
      <c r="AH154" s="1305"/>
    </row>
    <row r="155" spans="1:72" ht="12.95" customHeight="1">
      <c r="D155" s="8" t="s">
        <v>922</v>
      </c>
      <c r="F155" s="8"/>
      <c r="G155" s="8"/>
      <c r="H155" s="8"/>
      <c r="I155" s="8"/>
      <c r="J155" s="8"/>
      <c r="K155" s="8"/>
      <c r="L155" s="8"/>
      <c r="M155" s="8"/>
      <c r="N155" s="8"/>
      <c r="O155" s="1697" t="s">
        <v>923</v>
      </c>
      <c r="P155" s="1697"/>
      <c r="Q155" s="1697"/>
      <c r="R155" s="1697"/>
      <c r="S155" s="1697"/>
      <c r="T155" s="1697"/>
      <c r="U155" s="1697"/>
      <c r="V155" s="1697"/>
      <c r="W155" s="1697"/>
      <c r="X155" s="1697"/>
      <c r="Y155" s="1697"/>
      <c r="Z155" s="1697"/>
      <c r="AA155" s="1697"/>
      <c r="AB155" s="1697"/>
      <c r="AC155" s="1697"/>
      <c r="AD155" s="1697"/>
      <c r="AE155" s="1697"/>
      <c r="AF155" s="1697"/>
      <c r="AG155" s="1697"/>
      <c r="AH155" s="1697"/>
    </row>
    <row r="156" spans="1:72" ht="12.95" customHeight="1">
      <c r="D156" t="s">
        <v>924</v>
      </c>
      <c r="O156" s="1540" t="s">
        <v>925</v>
      </c>
      <c r="P156" s="1307"/>
      <c r="Q156" s="1307"/>
      <c r="R156" s="1307"/>
      <c r="S156" s="1307"/>
      <c r="T156" s="1307"/>
      <c r="U156" s="1307"/>
      <c r="V156" s="1307"/>
      <c r="W156" s="1307"/>
      <c r="X156" s="1307"/>
      <c r="Y156" s="1307"/>
      <c r="Z156" s="1307"/>
      <c r="AA156" s="1307"/>
      <c r="AB156" s="1307"/>
      <c r="AC156" s="1307"/>
      <c r="AD156" s="1307"/>
      <c r="AE156" s="1307"/>
      <c r="AF156" s="1307"/>
      <c r="AG156" s="1307"/>
      <c r="AH156" s="1307"/>
      <c r="BT156" t="s">
        <v>294</v>
      </c>
    </row>
    <row r="157" spans="1:72" ht="12.95" customHeight="1">
      <c r="D157" t="s">
        <v>926</v>
      </c>
      <c r="O157" s="1540" t="s">
        <v>927</v>
      </c>
      <c r="P157" s="1540"/>
      <c r="Q157" s="1540"/>
      <c r="R157" s="1540"/>
      <c r="S157" s="1540"/>
      <c r="T157" s="1540"/>
      <c r="U157" s="1540"/>
      <c r="V157" s="1540"/>
      <c r="W157" s="1540"/>
      <c r="X157" s="1540"/>
      <c r="Y157" s="8"/>
      <c r="Z157" s="8"/>
      <c r="AA157" s="8"/>
      <c r="AB157" s="8"/>
      <c r="AC157" s="8"/>
      <c r="AD157" s="8"/>
      <c r="AE157" s="8"/>
      <c r="AF157" s="8"/>
      <c r="BN157" s="140" t="s">
        <v>928</v>
      </c>
      <c r="BT157" t="s">
        <v>929</v>
      </c>
    </row>
    <row r="158" spans="1:72" ht="12.95" customHeight="1">
      <c r="D158" t="s">
        <v>930</v>
      </c>
      <c r="O158" s="1783">
        <v>94041</v>
      </c>
      <c r="P158" s="1783"/>
      <c r="Q158" s="1783"/>
      <c r="R158" s="1783"/>
      <c r="S158" s="9"/>
      <c r="T158" s="9"/>
      <c r="U158" s="9"/>
      <c r="V158" s="9"/>
      <c r="W158" s="9"/>
      <c r="X158" s="9"/>
      <c r="Y158" s="9"/>
      <c r="Z158" s="9"/>
      <c r="AA158" s="9"/>
      <c r="AB158" s="9"/>
      <c r="AC158" s="9"/>
      <c r="AD158" s="9"/>
      <c r="AE158" s="9"/>
      <c r="AF158" s="9"/>
      <c r="BN158" s="140" t="s">
        <v>931</v>
      </c>
      <c r="BT158" t="s">
        <v>932</v>
      </c>
    </row>
    <row r="159" spans="1:72" ht="12.95" customHeight="1">
      <c r="D159" t="s">
        <v>933</v>
      </c>
      <c r="O159" s="1590" t="s">
        <v>934</v>
      </c>
      <c r="P159" s="1784"/>
      <c r="Q159" s="1784"/>
      <c r="R159" s="1784"/>
      <c r="S159" s="1784"/>
      <c r="T159" s="1784"/>
      <c r="V159" s="73" t="s">
        <v>935</v>
      </c>
      <c r="W159" s="1698"/>
      <c r="X159" s="1698"/>
      <c r="Y159" s="10"/>
      <c r="Z159" s="10"/>
      <c r="AA159" s="10"/>
      <c r="AB159" s="10"/>
      <c r="AC159" s="10"/>
      <c r="AD159" s="10"/>
      <c r="AE159" s="10"/>
      <c r="AF159" s="10"/>
      <c r="BN159" s="140" t="s">
        <v>936</v>
      </c>
      <c r="BT159" t="s">
        <v>937</v>
      </c>
    </row>
    <row r="160" spans="1:72" ht="12.95" customHeight="1">
      <c r="D160" t="s">
        <v>938</v>
      </c>
      <c r="O160" s="1590" t="s">
        <v>939</v>
      </c>
      <c r="P160" s="1784"/>
      <c r="Q160" s="1784"/>
      <c r="R160" s="1784"/>
      <c r="S160" s="1784"/>
      <c r="T160" s="1784"/>
      <c r="U160" s="10"/>
      <c r="V160" s="10"/>
      <c r="W160" s="10"/>
      <c r="X160" s="10"/>
      <c r="Y160" s="10"/>
      <c r="Z160" s="10"/>
      <c r="AA160" s="10"/>
      <c r="AB160" s="10"/>
      <c r="AC160" s="10"/>
      <c r="AD160" s="10"/>
      <c r="AE160" s="10"/>
      <c r="AF160" s="10"/>
      <c r="BN160" s="140" t="s">
        <v>940</v>
      </c>
      <c r="BT160" t="s">
        <v>941</v>
      </c>
    </row>
    <row r="161" spans="1:72" ht="12.95" customHeight="1">
      <c r="D161" t="s">
        <v>942</v>
      </c>
      <c r="O161" s="1702" t="s">
        <v>943</v>
      </c>
      <c r="P161" s="1702"/>
      <c r="Q161" s="1702"/>
      <c r="R161" s="1702"/>
      <c r="S161" s="1702"/>
      <c r="T161" s="1702"/>
      <c r="U161" s="1702"/>
      <c r="V161" s="1702"/>
      <c r="W161" s="1702"/>
      <c r="X161" s="1702"/>
      <c r="Y161" s="1702"/>
      <c r="Z161" s="1702"/>
      <c r="AA161" s="1702"/>
      <c r="AB161" s="1702"/>
      <c r="AC161" s="1702"/>
      <c r="AD161" s="1702"/>
      <c r="AE161" s="1702"/>
      <c r="AF161" s="1702"/>
      <c r="AG161" s="1702"/>
      <c r="AH161" s="1702"/>
      <c r="BJ161" t="s">
        <v>837</v>
      </c>
      <c r="BN161" s="140" t="s">
        <v>944</v>
      </c>
      <c r="BT161" t="s">
        <v>945</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946</v>
      </c>
      <c r="BN162" s="140" t="s">
        <v>947</v>
      </c>
      <c r="BT162" t="s">
        <v>948</v>
      </c>
    </row>
    <row r="163" spans="1:72" ht="12.95" customHeight="1">
      <c r="C163" s="24" t="s">
        <v>949</v>
      </c>
      <c r="D163" s="3" t="s">
        <v>950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951</v>
      </c>
      <c r="BT163" t="s">
        <v>952</v>
      </c>
    </row>
    <row r="164" spans="1:72" ht="12.95" customHeight="1">
      <c r="C164" s="24"/>
      <c r="D164" s="1747" t="s">
        <v>953</v>
      </c>
      <c r="E164" s="1747"/>
      <c r="F164" s="1747"/>
      <c r="G164" s="1747"/>
      <c r="H164" s="1747"/>
      <c r="I164" s="1747"/>
      <c r="J164" s="1747"/>
      <c r="K164" s="1747"/>
      <c r="L164" s="1747"/>
      <c r="M164" s="1747"/>
      <c r="N164" s="1747"/>
      <c r="O164" s="1747"/>
      <c r="P164" s="1747"/>
      <c r="Q164" s="1747"/>
      <c r="R164" s="1747"/>
      <c r="S164" s="1747"/>
      <c r="T164" s="1747"/>
      <c r="U164" s="1747"/>
      <c r="V164" s="1747"/>
      <c r="W164" s="1747"/>
      <c r="X164" s="1747"/>
      <c r="Y164" s="1747"/>
      <c r="Z164" s="1747"/>
      <c r="AA164" s="1747"/>
      <c r="AB164" s="1747"/>
      <c r="AC164" s="1747"/>
      <c r="AD164" s="1747"/>
      <c r="AE164" s="1747"/>
      <c r="AF164" s="1747"/>
      <c r="AG164" s="1747"/>
      <c r="AH164" s="1747"/>
      <c r="BN164" s="140" t="s">
        <v>954</v>
      </c>
      <c r="BT164" t="s">
        <v>955</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956</v>
      </c>
      <c r="BT165" t="s">
        <v>957</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958</v>
      </c>
      <c r="BT166" t="s">
        <v>959</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960</v>
      </c>
      <c r="BT167" t="s">
        <v>961</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962</v>
      </c>
      <c r="BT168" t="s">
        <v>963</v>
      </c>
    </row>
    <row r="169" spans="1:72" ht="12.95" customHeight="1">
      <c r="A169" s="1581" t="s">
        <v>964</v>
      </c>
      <c r="B169" s="1581"/>
      <c r="C169" s="1581"/>
      <c r="D169" s="1581"/>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D169" s="1581"/>
      <c r="AE169" s="1581"/>
      <c r="AF169" s="1581"/>
      <c r="AG169" s="1581"/>
      <c r="AH169" s="1581"/>
      <c r="AI169" s="1581"/>
      <c r="AJ169" s="1581"/>
      <c r="AK169" s="1581"/>
      <c r="AL169" s="1581"/>
      <c r="AM169" s="71"/>
      <c r="AN169" s="71"/>
      <c r="AO169" s="71"/>
      <c r="AP169" s="71"/>
      <c r="AQ169" s="71"/>
      <c r="AR169" s="71"/>
      <c r="AS169" s="71"/>
      <c r="AT169" s="71"/>
      <c r="AU169" s="71"/>
      <c r="AV169" s="71"/>
      <c r="AW169" s="71"/>
      <c r="AX169" s="71"/>
      <c r="AY169" s="71"/>
      <c r="BN169" s="140" t="s">
        <v>965</v>
      </c>
      <c r="BT169" t="s">
        <v>966</v>
      </c>
    </row>
    <row r="170" spans="1:72" ht="12.95" customHeight="1" thickBot="1">
      <c r="A170" s="1582"/>
      <c r="B170" s="1582"/>
      <c r="C170" s="1582"/>
      <c r="D170" s="1582"/>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D170" s="1582"/>
      <c r="AE170" s="1582"/>
      <c r="AF170" s="1582"/>
      <c r="AG170" s="1582"/>
      <c r="AH170" s="1582"/>
      <c r="AI170" s="1582"/>
      <c r="AJ170" s="1582"/>
      <c r="AK170" s="1582"/>
      <c r="AL170" s="1582"/>
      <c r="AM170" s="71"/>
      <c r="AN170" s="71"/>
      <c r="AO170" s="71"/>
      <c r="AP170" s="71"/>
      <c r="AQ170" s="71"/>
      <c r="AR170" s="71"/>
      <c r="AS170" s="71"/>
      <c r="AT170" s="71"/>
      <c r="AU170" s="71"/>
      <c r="AV170" s="71"/>
      <c r="AW170" s="71"/>
      <c r="AX170" s="71"/>
      <c r="AY170" s="71"/>
      <c r="BN170" s="140" t="s">
        <v>967</v>
      </c>
      <c r="BT170" t="s">
        <v>968</v>
      </c>
    </row>
    <row r="171" spans="1:72" ht="12.95" customHeight="1" thickTop="1">
      <c r="BN171" s="140" t="s">
        <v>969</v>
      </c>
      <c r="BT171" t="s">
        <v>970</v>
      </c>
    </row>
    <row r="172" spans="1:72" ht="12.95" customHeight="1">
      <c r="A172" s="2" t="s">
        <v>971</v>
      </c>
      <c r="C172" s="2" t="s">
        <v>90</v>
      </c>
      <c r="BN172" s="140" t="s">
        <v>972</v>
      </c>
      <c r="BT172" t="s">
        <v>973</v>
      </c>
    </row>
    <row r="173" spans="1:72" ht="12.95" customHeight="1">
      <c r="C173" s="21"/>
      <c r="D173" t="s">
        <v>974</v>
      </c>
      <c r="J173" s="1696" t="s">
        <v>975</v>
      </c>
      <c r="K173" s="1696"/>
      <c r="L173" s="1696"/>
      <c r="M173" s="1696"/>
      <c r="N173" s="1696"/>
      <c r="O173" s="1696"/>
      <c r="P173" s="1696"/>
      <c r="Q173" s="1696"/>
      <c r="R173" s="1696"/>
      <c r="S173" s="1696"/>
      <c r="U173" s="22"/>
      <c r="X173" s="22"/>
      <c r="BN173" s="140" t="s">
        <v>976</v>
      </c>
      <c r="BT173" t="s">
        <v>977</v>
      </c>
    </row>
    <row r="174" spans="1:72" ht="12.95" customHeight="1">
      <c r="C174" s="21"/>
      <c r="D174" s="3" t="s">
        <v>978</v>
      </c>
      <c r="J174" s="1307" t="s">
        <v>979</v>
      </c>
      <c r="K174" s="1307"/>
      <c r="L174" s="1307"/>
      <c r="M174" s="1307"/>
      <c r="N174" s="1307"/>
      <c r="O174" s="1307"/>
      <c r="P174" s="1307"/>
      <c r="Q174" s="1307"/>
      <c r="R174" s="1307"/>
      <c r="S174" s="1307"/>
      <c r="T174" s="1307"/>
      <c r="U174" s="1307"/>
      <c r="V174" s="1307"/>
      <c r="W174" s="1307"/>
      <c r="X174" s="1307"/>
      <c r="Y174" s="1307"/>
      <c r="Z174" s="1307"/>
      <c r="AA174" s="1307"/>
      <c r="AB174" s="1307"/>
      <c r="BN174" s="140" t="s">
        <v>980</v>
      </c>
      <c r="BT174" t="s">
        <v>981</v>
      </c>
    </row>
    <row r="175" spans="1:72" ht="12.95" customHeight="1">
      <c r="C175" s="8"/>
      <c r="D175" s="3" t="s">
        <v>982</v>
      </c>
      <c r="O175" s="24"/>
      <c r="U175" s="1308"/>
      <c r="V175" s="1308"/>
      <c r="BN175" s="140" t="s">
        <v>983</v>
      </c>
      <c r="BT175" t="s">
        <v>984</v>
      </c>
    </row>
    <row r="176" spans="1:72" ht="12.95" customHeight="1">
      <c r="C176" s="8"/>
      <c r="D176" s="23"/>
      <c r="E176" t="s">
        <v>985</v>
      </c>
      <c r="O176" s="24"/>
      <c r="P176" t="s">
        <v>986</v>
      </c>
      <c r="T176" s="24" t="s">
        <v>987</v>
      </c>
      <c r="U176" s="1314"/>
      <c r="V176" s="1314"/>
      <c r="W176" s="1" t="s">
        <v>988</v>
      </c>
      <c r="X176" s="1703"/>
      <c r="Y176" s="1703"/>
      <c r="BN176" s="140" t="s">
        <v>989</v>
      </c>
      <c r="BT176" t="s">
        <v>990</v>
      </c>
    </row>
    <row r="177" spans="1:72" ht="12.95" customHeight="1">
      <c r="C177" s="21"/>
      <c r="D177" t="s">
        <v>991</v>
      </c>
      <c r="R177" s="1308"/>
      <c r="S177" s="1308"/>
      <c r="BN177" s="140" t="s">
        <v>992</v>
      </c>
      <c r="BT177" t="s">
        <v>993</v>
      </c>
    </row>
    <row r="178" spans="1:72" ht="12.95" customHeight="1">
      <c r="C178" s="21"/>
      <c r="D178" s="3" t="s">
        <v>994</v>
      </c>
      <c r="AA178" t="s">
        <v>986</v>
      </c>
      <c r="AE178" s="24" t="s">
        <v>987</v>
      </c>
      <c r="AF178" s="1541"/>
      <c r="AG178" s="1541"/>
      <c r="AH178" s="1" t="s">
        <v>988</v>
      </c>
      <c r="AI178" s="1594"/>
      <c r="AJ178" s="1594"/>
      <c r="AK178" s="1594"/>
      <c r="BN178" s="140" t="s">
        <v>995</v>
      </c>
      <c r="BT178" t="s">
        <v>996</v>
      </c>
    </row>
    <row r="179" spans="1:72" ht="12.95" customHeight="1">
      <c r="C179" s="21"/>
      <c r="BN179" s="140" t="s">
        <v>997</v>
      </c>
      <c r="BT179" t="s">
        <v>998</v>
      </c>
    </row>
    <row r="180" spans="1:72" ht="12.95" customHeight="1">
      <c r="C180" s="21"/>
      <c r="D180" t="s">
        <v>999</v>
      </c>
      <c r="X180" s="1308"/>
      <c r="Y180" s="1308"/>
      <c r="BN180" s="140" t="s">
        <v>1000</v>
      </c>
      <c r="BT180" t="s">
        <v>1001</v>
      </c>
    </row>
    <row r="181" spans="1:72" ht="12.95" customHeight="1">
      <c r="C181" s="8"/>
      <c r="E181" s="3" t="s">
        <v>1002</v>
      </c>
      <c r="BN181" s="140" t="s">
        <v>1003</v>
      </c>
      <c r="BT181" t="s">
        <v>1004</v>
      </c>
    </row>
    <row r="182" spans="1:72" ht="12.95" customHeight="1">
      <c r="C182" s="455"/>
      <c r="BN182" s="140" t="s">
        <v>1005</v>
      </c>
      <c r="BT182" t="s">
        <v>1006</v>
      </c>
    </row>
    <row r="183" spans="1:72" ht="12.95" customHeight="1">
      <c r="A183" s="2" t="s">
        <v>1007</v>
      </c>
      <c r="C183" s="2" t="s">
        <v>92</v>
      </c>
      <c r="BN183" s="140" t="s">
        <v>1008</v>
      </c>
      <c r="BT183" t="s">
        <v>1009</v>
      </c>
    </row>
    <row r="184" spans="1:72" ht="12.95" customHeight="1">
      <c r="C184" s="19"/>
      <c r="D184" t="s">
        <v>1010</v>
      </c>
      <c r="I184" s="1306" t="s">
        <v>826</v>
      </c>
      <c r="J184" s="1306"/>
      <c r="K184" s="1306"/>
      <c r="L184" s="1306"/>
      <c r="M184" s="1306"/>
      <c r="N184" s="1306"/>
      <c r="O184" s="1306"/>
      <c r="P184" s="1306"/>
      <c r="Q184" s="1306"/>
      <c r="R184" s="1306"/>
      <c r="S184" s="1306"/>
      <c r="T184" s="1306"/>
      <c r="U184" s="1306"/>
      <c r="V184" s="1306"/>
      <c r="W184" s="1306"/>
      <c r="X184" s="1306"/>
      <c r="Y184" s="1306"/>
      <c r="Z184" s="1306"/>
      <c r="AA184" s="1306"/>
      <c r="AB184" s="1306"/>
      <c r="AC184" s="1306"/>
      <c r="AD184" s="1306"/>
      <c r="AE184" s="1306"/>
      <c r="BC184" t="s">
        <v>1011</v>
      </c>
      <c r="BN184" s="140" t="s">
        <v>1012</v>
      </c>
      <c r="BT184" t="s">
        <v>1013</v>
      </c>
    </row>
    <row r="185" spans="1:72" ht="12.95" customHeight="1">
      <c r="C185" s="19"/>
      <c r="D185" t="s">
        <v>1014</v>
      </c>
      <c r="I185" s="1326" t="s">
        <v>1015</v>
      </c>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BC185" t="s">
        <v>1016</v>
      </c>
      <c r="BN185" s="140" t="s">
        <v>1017</v>
      </c>
      <c r="BT185" t="s">
        <v>1018</v>
      </c>
    </row>
    <row r="186" spans="1:72" ht="12.95" customHeight="1">
      <c r="C186" s="19"/>
      <c r="E186" t="s">
        <v>1019</v>
      </c>
      <c r="BN186" s="140" t="s">
        <v>1020</v>
      </c>
      <c r="BT186" t="s">
        <v>1021</v>
      </c>
    </row>
    <row r="187" spans="1:72" ht="12.95" customHeight="1">
      <c r="C187" s="19"/>
      <c r="E187" s="1709"/>
      <c r="F187" s="1709"/>
      <c r="G187" s="1709"/>
      <c r="H187" s="1709"/>
      <c r="I187" s="1709"/>
      <c r="J187" s="1709"/>
      <c r="K187" s="1709"/>
      <c r="L187" s="1709"/>
      <c r="M187" s="1709"/>
      <c r="N187" s="1709"/>
      <c r="O187" s="1709"/>
      <c r="P187" s="1709"/>
      <c r="Q187" s="1709"/>
      <c r="R187" s="1709"/>
      <c r="S187" s="1709"/>
      <c r="T187" s="1709"/>
      <c r="U187" s="1709"/>
      <c r="V187" s="1709"/>
      <c r="W187" s="1709"/>
      <c r="X187" s="1709"/>
      <c r="Y187" s="1709"/>
      <c r="Z187" s="1709"/>
      <c r="AA187" s="1709"/>
      <c r="AB187" s="1709"/>
      <c r="AC187" s="1709"/>
      <c r="AD187" s="1709"/>
      <c r="AE187" s="1709"/>
      <c r="BN187" s="140" t="s">
        <v>1022</v>
      </c>
      <c r="BT187" t="s">
        <v>1023</v>
      </c>
    </row>
    <row r="188" spans="1:72" ht="12.95" customHeight="1">
      <c r="C188" s="19"/>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140" t="s">
        <v>1024</v>
      </c>
      <c r="BT188" t="s">
        <v>1025</v>
      </c>
    </row>
    <row r="189" spans="1:72" ht="12.95" customHeight="1">
      <c r="C189" s="19"/>
      <c r="D189" t="s">
        <v>1026</v>
      </c>
      <c r="I189" s="1307" t="s">
        <v>927</v>
      </c>
      <c r="J189" s="1307"/>
      <c r="K189" s="1307"/>
      <c r="L189" s="1307"/>
      <c r="M189" s="1307"/>
      <c r="N189" s="1307"/>
      <c r="O189" s="1307"/>
      <c r="P189" s="1307"/>
      <c r="Q189" t="s">
        <v>1027</v>
      </c>
      <c r="T189" s="1307" t="s">
        <v>1028</v>
      </c>
      <c r="U189" s="1307"/>
      <c r="V189" s="1307"/>
      <c r="W189" s="1307"/>
      <c r="X189" s="1307"/>
      <c r="Y189" s="1307"/>
      <c r="Z189" s="1307"/>
      <c r="AA189" s="1307"/>
      <c r="AB189" s="1307"/>
      <c r="AC189" s="1307"/>
      <c r="AD189" s="1307"/>
      <c r="AE189" s="1307"/>
      <c r="BC189" t="s">
        <v>294</v>
      </c>
      <c r="BH189" s="3" t="s">
        <v>299</v>
      </c>
      <c r="BN189" s="140" t="s">
        <v>1029</v>
      </c>
      <c r="BT189" t="s">
        <v>1030</v>
      </c>
    </row>
    <row r="190" spans="1:72" ht="12.95" customHeight="1">
      <c r="C190" s="19"/>
      <c r="D190" t="s">
        <v>1031</v>
      </c>
      <c r="I190" s="1326">
        <v>94043</v>
      </c>
      <c r="J190" s="1326"/>
      <c r="K190" s="1326"/>
      <c r="L190" s="1326"/>
      <c r="M190" s="1326"/>
      <c r="N190" s="1326"/>
      <c r="O190" t="s">
        <v>1032</v>
      </c>
      <c r="T190" s="1708">
        <v>5092.0200000000004</v>
      </c>
      <c r="U190" s="1708"/>
      <c r="V190" s="1708"/>
      <c r="W190" s="1708"/>
      <c r="X190" s="1708"/>
      <c r="Y190" s="1708"/>
      <c r="Z190" s="1708"/>
      <c r="AA190" s="1708"/>
      <c r="AB190" s="1708"/>
      <c r="AC190" s="1708"/>
      <c r="AD190" s="1708"/>
      <c r="AE190" s="1708"/>
      <c r="BC190" t="s">
        <v>1033</v>
      </c>
      <c r="BH190" t="s">
        <v>1033</v>
      </c>
      <c r="BN190" s="140" t="s">
        <v>1034</v>
      </c>
      <c r="BT190" t="s">
        <v>1035</v>
      </c>
    </row>
    <row r="191" spans="1:72" ht="12.95" customHeight="1">
      <c r="C191" s="19"/>
      <c r="D191" t="s">
        <v>1036</v>
      </c>
      <c r="N191" s="1709" t="s">
        <v>1037</v>
      </c>
      <c r="O191" s="1709"/>
      <c r="P191" s="1709"/>
      <c r="Q191" s="1709"/>
      <c r="R191" s="1709"/>
      <c r="S191" s="1709"/>
      <c r="T191" s="1709"/>
      <c r="U191" s="1709"/>
      <c r="V191" s="1709"/>
      <c r="W191" s="1709"/>
      <c r="X191" s="1709"/>
      <c r="Y191" s="1709"/>
      <c r="Z191" s="1709"/>
      <c r="AA191" s="1709"/>
      <c r="AB191" s="1709"/>
      <c r="AC191" s="1709"/>
      <c r="AD191" s="1709"/>
      <c r="AE191" s="1709"/>
      <c r="BC191" t="s">
        <v>1038</v>
      </c>
      <c r="BH191" t="s">
        <v>1038</v>
      </c>
      <c r="BN191" s="140" t="s">
        <v>1039</v>
      </c>
      <c r="BT191" t="s">
        <v>1040</v>
      </c>
    </row>
    <row r="192" spans="1:72" ht="12.95" customHeight="1">
      <c r="C192" s="19"/>
      <c r="M192" s="33"/>
      <c r="N192" s="1538"/>
      <c r="O192" s="1538"/>
      <c r="P192" s="1538"/>
      <c r="Q192" s="1538"/>
      <c r="R192" s="1538"/>
      <c r="S192" s="1538"/>
      <c r="T192" s="1538"/>
      <c r="U192" s="1538"/>
      <c r="V192" s="1538"/>
      <c r="W192" s="1538"/>
      <c r="X192" s="1538"/>
      <c r="Y192" s="1538"/>
      <c r="Z192" s="1538"/>
      <c r="AA192" s="1538"/>
      <c r="AB192" s="1538"/>
      <c r="AC192" s="1538"/>
      <c r="AD192" s="1538"/>
      <c r="AE192" s="1538"/>
      <c r="BC192" t="s">
        <v>1041</v>
      </c>
      <c r="BH192" s="3" t="s">
        <v>1042</v>
      </c>
      <c r="BN192" s="140" t="s">
        <v>1043</v>
      </c>
      <c r="BT192" t="s">
        <v>1044</v>
      </c>
    </row>
    <row r="193" spans="1:74" ht="12.95" customHeight="1">
      <c r="C193" s="19"/>
      <c r="D193" t="s">
        <v>1045</v>
      </c>
      <c r="M193" s="33"/>
      <c r="N193" s="816"/>
      <c r="O193" s="816"/>
      <c r="P193" s="816"/>
      <c r="Q193" s="816"/>
      <c r="R193" s="816"/>
      <c r="S193" s="816"/>
      <c r="T193" s="1691" t="s">
        <v>1046</v>
      </c>
      <c r="U193" s="1691"/>
      <c r="V193" s="1691"/>
      <c r="W193" s="1691"/>
      <c r="X193" s="1691"/>
      <c r="Y193" s="1691"/>
      <c r="Z193" s="1691"/>
      <c r="AA193" s="1691"/>
      <c r="AB193" s="1691"/>
      <c r="AC193" s="1691"/>
      <c r="AD193" s="1691"/>
      <c r="AE193" s="1691"/>
      <c r="AF193" s="1691"/>
      <c r="AG193" s="1691"/>
      <c r="AH193" s="1691"/>
      <c r="AI193" s="1691"/>
      <c r="BC193" t="s">
        <v>1047</v>
      </c>
      <c r="BH193" s="3" t="s">
        <v>1048</v>
      </c>
      <c r="BN193" s="140" t="s">
        <v>1049</v>
      </c>
      <c r="BT193" t="s">
        <v>1050</v>
      </c>
    </row>
    <row r="194" spans="1:74" ht="12.95" customHeight="1">
      <c r="C194" s="19"/>
      <c r="D194" t="s">
        <v>1051</v>
      </c>
      <c r="T194" s="1308" t="s">
        <v>946</v>
      </c>
      <c r="U194" s="1308"/>
      <c r="W194" t="s">
        <v>1052</v>
      </c>
      <c r="AH194" s="1308">
        <v>16</v>
      </c>
      <c r="AI194" s="1308"/>
      <c r="BC194" t="s">
        <v>1053</v>
      </c>
      <c r="BN194" s="140" t="s">
        <v>1054</v>
      </c>
      <c r="BT194" t="s">
        <v>1055</v>
      </c>
    </row>
    <row r="195" spans="1:74" ht="12.95" customHeight="1">
      <c r="C195" s="19"/>
      <c r="D195" t="s">
        <v>1056</v>
      </c>
      <c r="T195" s="1463" t="s">
        <v>837</v>
      </c>
      <c r="U195" s="1463"/>
      <c r="W195" t="s">
        <v>1057</v>
      </c>
      <c r="AH195" s="1308">
        <v>23</v>
      </c>
      <c r="AI195" s="1308"/>
      <c r="BC195" t="s">
        <v>1058</v>
      </c>
      <c r="BN195" s="140" t="s">
        <v>1059</v>
      </c>
      <c r="BT195" t="s">
        <v>1060</v>
      </c>
    </row>
    <row r="196" spans="1:74" ht="12.95" customHeight="1">
      <c r="C196" s="19"/>
      <c r="D196" s="3" t="s">
        <v>1061</v>
      </c>
      <c r="T196" s="1463" t="s">
        <v>837</v>
      </c>
      <c r="U196" s="1463"/>
      <c r="W196" t="s">
        <v>1062</v>
      </c>
      <c r="AH196" s="1308">
        <v>13</v>
      </c>
      <c r="AI196" s="1308"/>
      <c r="BN196" s="140" t="s">
        <v>1063</v>
      </c>
      <c r="BT196" t="s">
        <v>1064</v>
      </c>
    </row>
    <row r="197" spans="1:74" ht="12.95" customHeight="1">
      <c r="C197" s="19"/>
      <c r="D197" s="3" t="s">
        <v>1065</v>
      </c>
      <c r="T197" s="1463" t="s">
        <v>299</v>
      </c>
      <c r="U197" s="1463"/>
      <c r="AH197" s="14"/>
      <c r="AI197" s="14"/>
      <c r="BC197" t="s">
        <v>294</v>
      </c>
      <c r="BN197" s="140" t="s">
        <v>1066</v>
      </c>
      <c r="BT197" t="s">
        <v>1067</v>
      </c>
    </row>
    <row r="198" spans="1:74" s="14" customFormat="1" ht="12.95" customHeight="1">
      <c r="A198"/>
      <c r="B198"/>
      <c r="C198" s="19"/>
      <c r="E198"/>
      <c r="F198"/>
      <c r="G198"/>
      <c r="H198"/>
      <c r="I198"/>
      <c r="J198"/>
      <c r="K198"/>
      <c r="L198"/>
      <c r="M198"/>
      <c r="N198"/>
      <c r="O198"/>
      <c r="P198"/>
      <c r="Q198"/>
      <c r="R198"/>
      <c r="S198"/>
      <c r="T198"/>
      <c r="U198"/>
      <c r="V198"/>
      <c r="W198"/>
      <c r="X198" s="957" t="s">
        <v>1068</v>
      </c>
      <c r="Y198" s="1308" t="s">
        <v>837</v>
      </c>
      <c r="Z198" s="1308"/>
      <c r="AA198"/>
      <c r="AB198"/>
      <c r="AC198"/>
      <c r="AD198"/>
      <c r="AE198"/>
      <c r="AF198"/>
      <c r="AG198"/>
      <c r="AJ198"/>
      <c r="AK198"/>
      <c r="AL198"/>
      <c r="AM198"/>
      <c r="AN198"/>
      <c r="AO198"/>
      <c r="AP198"/>
      <c r="AQ198"/>
      <c r="AR198"/>
      <c r="AS198"/>
      <c r="AT198"/>
      <c r="AU198"/>
      <c r="AV198"/>
      <c r="AW198"/>
      <c r="AX198"/>
      <c r="AY198"/>
      <c r="AZ198" s="26"/>
      <c r="BA198" s="26"/>
      <c r="BC198" t="s">
        <v>1069</v>
      </c>
      <c r="BD198"/>
      <c r="BN198" s="140" t="s">
        <v>1070</v>
      </c>
      <c r="BO198"/>
      <c r="BP198"/>
      <c r="BQ198"/>
      <c r="BR198"/>
      <c r="BS198"/>
      <c r="BT198" t="s">
        <v>1071</v>
      </c>
      <c r="BU198"/>
      <c r="BV198" s="27"/>
    </row>
    <row r="199" spans="1:74" s="14" customFormat="1" ht="12.95" customHeight="1">
      <c r="A199"/>
      <c r="B199"/>
      <c r="C199" s="19"/>
      <c r="D199" t="s">
        <v>1072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1073</v>
      </c>
      <c r="BD199"/>
      <c r="BN199" s="140" t="s">
        <v>1074</v>
      </c>
      <c r="BO199"/>
      <c r="BP199"/>
      <c r="BQ199"/>
      <c r="BR199"/>
      <c r="BS199"/>
      <c r="BT199" s="28" t="s">
        <v>1028</v>
      </c>
      <c r="BU199"/>
      <c r="BV199" s="27"/>
    </row>
    <row r="200" spans="1:74" s="14" customFormat="1" ht="12.95" customHeight="1">
      <c r="A200"/>
      <c r="B200"/>
      <c r="C200" s="19"/>
      <c r="D200" s="146" t="s">
        <v>1075</v>
      </c>
      <c r="E200"/>
      <c r="F200"/>
      <c r="G200"/>
      <c r="H200"/>
      <c r="I200"/>
      <c r="J200"/>
      <c r="K200"/>
      <c r="L200"/>
      <c r="M200"/>
      <c r="N200"/>
      <c r="O200"/>
      <c r="P200"/>
      <c r="Q200"/>
      <c r="R200"/>
      <c r="S200"/>
      <c r="T200" s="1"/>
      <c r="U200" s="1"/>
      <c r="V200"/>
      <c r="W200" s="146" t="s">
        <v>1076</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1077</v>
      </c>
      <c r="BD200" s="363"/>
      <c r="BN200" s="140" t="s">
        <v>1078</v>
      </c>
      <c r="BO200"/>
      <c r="BP200"/>
      <c r="BQ200"/>
      <c r="BR200"/>
      <c r="BS200"/>
      <c r="BT200" s="28" t="s">
        <v>1079</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1080</v>
      </c>
      <c r="BD201" s="363"/>
      <c r="BN201" s="140" t="s">
        <v>1081</v>
      </c>
      <c r="BO201" s="27"/>
      <c r="BP201" s="28"/>
      <c r="BQ201" s="28"/>
      <c r="BR201" s="28"/>
      <c r="BS201" s="28"/>
      <c r="BT201" s="28" t="s">
        <v>1082</v>
      </c>
      <c r="BU201"/>
    </row>
    <row r="202" spans="1:74" ht="12.95" customHeight="1">
      <c r="A202" s="2" t="s">
        <v>1083</v>
      </c>
      <c r="C202" s="2" t="s">
        <v>1084</v>
      </c>
      <c r="BC202" t="s">
        <v>1085</v>
      </c>
      <c r="BD202" s="363"/>
      <c r="BN202" s="140" t="s">
        <v>1086</v>
      </c>
      <c r="BO202" s="14"/>
      <c r="BP202" s="28"/>
      <c r="BQ202" s="28"/>
      <c r="BR202" s="28"/>
      <c r="BS202" s="28"/>
      <c r="BT202" s="28" t="s">
        <v>1087</v>
      </c>
    </row>
    <row r="203" spans="1:74" ht="12.95" customHeight="1">
      <c r="D203" s="1306" t="s">
        <v>1088</v>
      </c>
      <c r="E203" s="1306"/>
      <c r="F203" s="1306"/>
      <c r="G203" s="1306"/>
      <c r="H203" s="1306"/>
      <c r="I203" s="1306"/>
      <c r="J203" s="1306"/>
      <c r="K203" s="1306"/>
      <c r="L203" s="1306"/>
      <c r="M203" s="1306"/>
      <c r="P203" s="1706">
        <f>M26</f>
        <v>3909763.7</v>
      </c>
      <c r="Q203" s="1695"/>
      <c r="R203" s="1695"/>
      <c r="S203" s="1695"/>
      <c r="T203" s="1695"/>
      <c r="U203" s="1695"/>
      <c r="Z203" s="1693" t="s">
        <v>1089</v>
      </c>
      <c r="AA203" s="1693"/>
      <c r="AB203" s="1693"/>
      <c r="AC203" s="1693"/>
      <c r="AD203" s="1693"/>
      <c r="AE203" s="1693"/>
      <c r="AF203" s="1693"/>
      <c r="BC203" t="s">
        <v>1090</v>
      </c>
      <c r="BN203" s="140" t="s">
        <v>1091</v>
      </c>
      <c r="BO203" s="14"/>
      <c r="BP203" s="28"/>
      <c r="BQ203" s="28"/>
      <c r="BR203" s="28"/>
      <c r="BS203" s="28"/>
      <c r="BT203" s="28" t="s">
        <v>1092</v>
      </c>
    </row>
    <row r="204" spans="1:74" ht="12.95" customHeight="1">
      <c r="C204" s="19"/>
      <c r="D204" s="1692" t="s">
        <v>1093</v>
      </c>
      <c r="E204" s="1306"/>
      <c r="F204" s="1306"/>
      <c r="G204" s="1306"/>
      <c r="H204" s="1306"/>
      <c r="I204" s="1306"/>
      <c r="J204" s="1306"/>
      <c r="K204" s="1306"/>
      <c r="L204" s="1306"/>
      <c r="M204" s="1306"/>
      <c r="P204" s="1695">
        <f>M27</f>
        <v>0</v>
      </c>
      <c r="Q204" s="1695"/>
      <c r="R204" s="1695"/>
      <c r="S204" s="1695"/>
      <c r="T204" s="1695"/>
      <c r="U204" s="1695"/>
      <c r="V204" s="20"/>
      <c r="W204" s="3" t="s">
        <v>1094</v>
      </c>
      <c r="Z204" s="1693"/>
      <c r="AA204" s="1693"/>
      <c r="AB204" s="1693"/>
      <c r="AC204" s="1693"/>
      <c r="AD204" s="1693"/>
      <c r="AE204" s="1693"/>
      <c r="AF204" s="1693"/>
      <c r="AG204" t="s">
        <v>1095</v>
      </c>
      <c r="AP204" s="1308" t="s">
        <v>837</v>
      </c>
      <c r="AQ204" s="1308"/>
      <c r="BC204" t="s">
        <v>1096</v>
      </c>
      <c r="BN204" s="140" t="s">
        <v>1097</v>
      </c>
      <c r="BT204" s="28" t="s">
        <v>1098</v>
      </c>
      <c r="BU204" s="14"/>
    </row>
    <row r="205" spans="1:74" ht="12.95" customHeight="1">
      <c r="D205" s="25"/>
      <c r="E205" s="25"/>
      <c r="F205" s="25"/>
      <c r="G205" s="25"/>
      <c r="H205" s="25"/>
      <c r="I205" s="25"/>
      <c r="J205" s="25"/>
      <c r="K205" s="25"/>
      <c r="L205" s="25"/>
      <c r="M205" s="25"/>
      <c r="N205" s="25"/>
      <c r="O205" s="25"/>
      <c r="P205" s="25"/>
      <c r="Z205" s="1694"/>
      <c r="AA205" s="1694"/>
      <c r="AB205" s="1694"/>
      <c r="AC205" s="1694"/>
      <c r="AD205" s="1694"/>
      <c r="AE205" s="1694"/>
      <c r="AF205" s="1694"/>
      <c r="BC205" t="s">
        <v>1099</v>
      </c>
      <c r="BN205" s="140" t="s">
        <v>1100</v>
      </c>
      <c r="BT205" s="28" t="s">
        <v>1101</v>
      </c>
      <c r="BU205" s="14"/>
    </row>
    <row r="206" spans="1:74" ht="12.95" customHeight="1">
      <c r="A206" s="2" t="s">
        <v>1102</v>
      </c>
      <c r="C206" s="2" t="s">
        <v>1103</v>
      </c>
      <c r="BC206" s="364" t="s">
        <v>1104</v>
      </c>
      <c r="BN206" s="140" t="s">
        <v>1105</v>
      </c>
      <c r="BT206" s="28" t="s">
        <v>1106</v>
      </c>
      <c r="BU206" s="14"/>
    </row>
    <row r="207" spans="1:74" ht="12.95" customHeight="1">
      <c r="C207" s="19"/>
      <c r="D207" s="1540" t="s">
        <v>1107</v>
      </c>
      <c r="E207" s="1540"/>
      <c r="F207" s="1540"/>
      <c r="G207" s="1540"/>
      <c r="H207" s="1540"/>
      <c r="I207" s="1540"/>
      <c r="J207" s="1540"/>
      <c r="K207" s="1540"/>
      <c r="L207" s="1540"/>
      <c r="M207" s="1540"/>
      <c r="BC207" s="3" t="s">
        <v>1108</v>
      </c>
      <c r="BN207" s="140" t="s">
        <v>1109</v>
      </c>
      <c r="BT207" s="28" t="s">
        <v>1110</v>
      </c>
    </row>
    <row r="208" spans="1:74" ht="12.95" customHeight="1">
      <c r="BC208" t="s">
        <v>1111</v>
      </c>
      <c r="BN208" s="140" t="s">
        <v>1112</v>
      </c>
      <c r="BT208" s="28" t="s">
        <v>1113</v>
      </c>
    </row>
    <row r="209" spans="1:72" ht="12.95" customHeight="1">
      <c r="A209" s="2" t="s">
        <v>1114</v>
      </c>
      <c r="C209" s="2" t="s">
        <v>1115</v>
      </c>
      <c r="BC209" t="s">
        <v>1116</v>
      </c>
      <c r="BN209" s="140" t="s">
        <v>1117</v>
      </c>
      <c r="BT209" s="28" t="s">
        <v>1118</v>
      </c>
    </row>
    <row r="210" spans="1:72" ht="12.95" customHeight="1">
      <c r="C210" s="19"/>
      <c r="D210" s="1540" t="s">
        <v>1033</v>
      </c>
      <c r="E210" s="1540"/>
      <c r="F210" s="1540"/>
      <c r="G210" s="1540"/>
      <c r="H210" s="1540"/>
      <c r="I210" s="1540"/>
      <c r="J210" s="1540"/>
      <c r="K210" s="1540"/>
      <c r="L210" s="1540"/>
      <c r="M210" s="1540"/>
      <c r="BN210" s="140" t="s">
        <v>1119</v>
      </c>
      <c r="BT210" s="28" t="s">
        <v>1120</v>
      </c>
    </row>
    <row r="211" spans="1:72" ht="12.95" customHeight="1">
      <c r="C211" s="19"/>
      <c r="D211" t="s">
        <v>1121</v>
      </c>
      <c r="Y211" s="1308">
        <v>42</v>
      </c>
      <c r="Z211" s="1308"/>
      <c r="AB211" s="1688">
        <f>IFERROR(Y211/AG439,"")</f>
        <v>0.5</v>
      </c>
      <c r="AC211" s="1689"/>
      <c r="BN211" s="140" t="s">
        <v>1122</v>
      </c>
      <c r="BT211" s="28" t="s">
        <v>1123</v>
      </c>
    </row>
    <row r="212" spans="1:72" ht="12.95" customHeight="1">
      <c r="D212" s="1077" t="s">
        <v>1124</v>
      </c>
      <c r="BC212" t="s">
        <v>294</v>
      </c>
      <c r="BN212" s="140" t="s">
        <v>1125</v>
      </c>
      <c r="BT212" s="28" t="s">
        <v>1126</v>
      </c>
    </row>
    <row r="213" spans="1:72" ht="12.95" customHeight="1">
      <c r="D213" s="1740" t="s">
        <v>1033</v>
      </c>
      <c r="E213" s="1740"/>
      <c r="F213" s="1740"/>
      <c r="G213" s="1740"/>
      <c r="H213" s="1740"/>
      <c r="I213" s="1740"/>
      <c r="J213" s="1740"/>
      <c r="K213" s="1740"/>
      <c r="L213" s="1740"/>
      <c r="M213" s="1740"/>
      <c r="N213" s="1740"/>
      <c r="O213" s="1740"/>
      <c r="P213" s="1740"/>
      <c r="Q213" s="1740"/>
      <c r="R213" s="1740"/>
      <c r="S213" s="1740"/>
      <c r="T213" s="1740"/>
      <c r="U213" s="1740"/>
      <c r="V213" s="1740"/>
      <c r="W213" s="1740"/>
      <c r="X213" s="1740"/>
      <c r="Y213" s="1740"/>
      <c r="Z213" s="1740"/>
      <c r="BC213" t="s">
        <v>1127</v>
      </c>
      <c r="BN213" s="140" t="s">
        <v>1128</v>
      </c>
      <c r="BT213" s="28" t="s">
        <v>1129</v>
      </c>
    </row>
    <row r="214" spans="1:72" ht="12.95" customHeight="1">
      <c r="D214" s="3" t="s">
        <v>1130</v>
      </c>
      <c r="Z214" s="33"/>
      <c r="AB214" s="1739"/>
      <c r="AC214" s="1739"/>
      <c r="AD214" s="1739"/>
      <c r="AE214" s="1739"/>
      <c r="AF214" s="1739"/>
      <c r="AG214" s="1739"/>
      <c r="AH214" s="1739"/>
      <c r="AI214" s="1739"/>
      <c r="AJ214" s="1739"/>
      <c r="AK214" s="1739"/>
      <c r="AL214" s="1739"/>
      <c r="AM214" s="19"/>
      <c r="AN214" s="19"/>
      <c r="AO214" s="19"/>
      <c r="AP214" s="19"/>
      <c r="AQ214" s="19"/>
      <c r="AR214" s="19"/>
      <c r="AS214" s="19"/>
      <c r="AT214" s="19"/>
      <c r="AU214" s="19"/>
      <c r="AV214" s="19"/>
      <c r="AW214" s="19"/>
      <c r="AX214" s="19"/>
      <c r="AY214" s="19"/>
      <c r="BC214" t="s">
        <v>1131</v>
      </c>
      <c r="BN214" s="140" t="s">
        <v>1132</v>
      </c>
      <c r="BT214" s="28" t="s">
        <v>1133</v>
      </c>
    </row>
    <row r="215" spans="1:72" ht="12.95" customHeight="1">
      <c r="D215" s="3" t="s">
        <v>1134</v>
      </c>
      <c r="Z215" s="33"/>
      <c r="AB215" s="1739"/>
      <c r="AC215" s="1739"/>
      <c r="AD215" s="1739"/>
      <c r="AE215" s="1739"/>
      <c r="AF215" s="1739"/>
      <c r="AG215" s="1739"/>
      <c r="AH215" s="1739"/>
      <c r="AI215" s="1739"/>
      <c r="AJ215" s="1739"/>
      <c r="AK215" s="1739"/>
      <c r="AL215" s="1739"/>
      <c r="AM215" s="19"/>
      <c r="AN215" s="19"/>
      <c r="AO215" s="19"/>
      <c r="AP215" s="19"/>
      <c r="AQ215" s="19"/>
      <c r="AR215" s="19"/>
      <c r="AS215" s="19"/>
      <c r="AT215" s="19"/>
      <c r="AU215" s="19"/>
      <c r="AV215" s="19"/>
      <c r="AW215" s="19"/>
      <c r="AX215" s="19"/>
      <c r="AY215" s="19"/>
      <c r="BC215" t="s">
        <v>1135</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1136</v>
      </c>
    </row>
    <row r="217" spans="1:72" ht="12.95" customHeight="1">
      <c r="A217" s="2" t="s">
        <v>1137</v>
      </c>
      <c r="C217" s="2" t="s">
        <v>1138</v>
      </c>
      <c r="D217" s="20"/>
      <c r="BC217" t="s">
        <v>1139</v>
      </c>
    </row>
    <row r="218" spans="1:72" ht="12.95" customHeight="1">
      <c r="A218" s="2"/>
      <c r="C218" s="2"/>
      <c r="D218" s="3" t="s">
        <v>1140</v>
      </c>
      <c r="BC218" t="s">
        <v>1141</v>
      </c>
    </row>
    <row r="219" spans="1:72" ht="12.95" customHeight="1">
      <c r="A219" s="2"/>
      <c r="C219" s="2"/>
      <c r="D219" s="1540" t="s">
        <v>1099</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Z219" s="3"/>
      <c r="BA219" s="3"/>
      <c r="BC219" t="s">
        <v>1142</v>
      </c>
    </row>
    <row r="220" spans="1:72" ht="12.95" customHeight="1">
      <c r="A220" s="2"/>
      <c r="B220" s="14"/>
      <c r="C220" s="2"/>
      <c r="BA220" s="3"/>
      <c r="BC220" t="s">
        <v>1143</v>
      </c>
    </row>
    <row r="221" spans="1:72" ht="12.95" customHeight="1">
      <c r="A221" s="1581" t="s">
        <v>1144</v>
      </c>
      <c r="B221" s="1581"/>
      <c r="C221" s="1581"/>
      <c r="D221" s="1581"/>
      <c r="E221" s="1581"/>
      <c r="F221" s="1581"/>
      <c r="G221" s="1581"/>
      <c r="H221" s="1581"/>
      <c r="I221" s="1581"/>
      <c r="J221" s="1581"/>
      <c r="K221" s="1581"/>
      <c r="L221" s="1581"/>
      <c r="M221" s="1581"/>
      <c r="N221" s="1581"/>
      <c r="O221" s="1581"/>
      <c r="P221" s="1581"/>
      <c r="Q221" s="1581"/>
      <c r="R221" s="1581"/>
      <c r="S221" s="1581"/>
      <c r="T221" s="1581"/>
      <c r="U221" s="1581"/>
      <c r="V221" s="1581"/>
      <c r="W221" s="1581"/>
      <c r="X221" s="1581"/>
      <c r="Y221" s="1581"/>
      <c r="Z221" s="1581"/>
      <c r="AA221" s="1581"/>
      <c r="AB221" s="1581"/>
      <c r="AC221" s="1581"/>
      <c r="AD221" s="1581"/>
      <c r="AE221" s="1581"/>
      <c r="AF221" s="1581"/>
      <c r="AG221" s="1581"/>
      <c r="AH221" s="1581"/>
      <c r="AI221" s="1581"/>
      <c r="AJ221" s="1581"/>
      <c r="AK221" s="1581"/>
      <c r="AL221" s="1581"/>
      <c r="AM221" s="71"/>
      <c r="AN221" s="71"/>
      <c r="AO221" s="71"/>
      <c r="AP221" s="71"/>
      <c r="AQ221" s="71"/>
      <c r="AR221" s="71"/>
      <c r="AS221" s="71"/>
      <c r="AT221" s="71"/>
      <c r="AU221" s="71"/>
      <c r="AV221" s="71"/>
      <c r="AW221" s="71"/>
      <c r="AX221" s="71"/>
      <c r="AY221" s="71"/>
      <c r="BA221" s="3"/>
    </row>
    <row r="222" spans="1:72" ht="12.95" customHeight="1" thickBot="1">
      <c r="A222" s="1582"/>
      <c r="B222" s="1582"/>
      <c r="C222" s="1582"/>
      <c r="D222" s="1582"/>
      <c r="E222" s="1582"/>
      <c r="F222" s="1582"/>
      <c r="G222" s="1582"/>
      <c r="H222" s="1582"/>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1582"/>
      <c r="AD222" s="1582"/>
      <c r="AE222" s="1582"/>
      <c r="AF222" s="1582"/>
      <c r="AG222" s="1582"/>
      <c r="AH222" s="1582"/>
      <c r="AI222" s="1582"/>
      <c r="AJ222" s="1582"/>
      <c r="AK222" s="1582"/>
      <c r="AL222" s="1582"/>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971</v>
      </c>
      <c r="B224" s="2"/>
      <c r="C224" s="2" t="s">
        <v>1145</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1146</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8" t="s">
        <v>299</v>
      </c>
      <c r="AJ225" s="1308"/>
      <c r="AL225" s="3"/>
      <c r="AM225" s="3"/>
      <c r="AN225" s="3"/>
      <c r="AO225" s="3"/>
      <c r="AP225" s="3"/>
      <c r="AQ225" s="3"/>
      <c r="AR225" s="3"/>
      <c r="AS225" s="3"/>
      <c r="AT225" s="3"/>
      <c r="AU225" s="3"/>
      <c r="AV225" s="3"/>
      <c r="AW225" s="3"/>
      <c r="AX225" s="3"/>
      <c r="AY225" s="3"/>
      <c r="BO225" s="3"/>
    </row>
    <row r="226" spans="1:69" ht="12.95" customHeight="1">
      <c r="B226" s="3"/>
      <c r="D226" s="3" t="s">
        <v>1147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8" t="s">
        <v>946</v>
      </c>
      <c r="AJ226" s="1308"/>
      <c r="AL226" s="3"/>
      <c r="AM226" s="3"/>
      <c r="AN226" s="3"/>
      <c r="AO226" s="3"/>
      <c r="AP226" s="3"/>
      <c r="AQ226" s="3"/>
      <c r="AR226" s="3"/>
      <c r="AS226" s="3"/>
      <c r="AT226" s="3"/>
      <c r="AU226" s="3"/>
      <c r="AV226" s="3"/>
      <c r="AW226" s="3"/>
      <c r="AX226" s="3"/>
      <c r="AY226" s="3"/>
      <c r="AZ226" s="3"/>
      <c r="BB226" s="143" t="s">
        <v>1148</v>
      </c>
      <c r="BG226" s="177">
        <f>IF(AND(AND($M$248="for profit",$M$256="for profit",$M$264="nonprofit")),2,0)</f>
        <v>0</v>
      </c>
      <c r="BO226" s="3"/>
    </row>
    <row r="227" spans="1:69" ht="12.95" customHeight="1">
      <c r="B227" s="3"/>
      <c r="D227" s="3" t="s">
        <v>1149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8" t="s">
        <v>946</v>
      </c>
      <c r="AJ227" s="1308"/>
      <c r="AL227" s="3"/>
      <c r="AM227" s="3"/>
      <c r="AN227" s="3"/>
      <c r="AO227" s="3"/>
      <c r="AP227" s="3"/>
      <c r="AQ227" s="3"/>
      <c r="AR227" s="3"/>
      <c r="AS227" s="3"/>
      <c r="AT227" s="3"/>
      <c r="AU227" s="3"/>
      <c r="AV227" s="3"/>
      <c r="AW227" s="3"/>
      <c r="AX227" s="3"/>
      <c r="AY227" s="3"/>
      <c r="BA227" s="3"/>
      <c r="BB227" s="143" t="s">
        <v>1148</v>
      </c>
      <c r="BG227" s="177">
        <f>IF(AND(AND($M$248="for profit",$M$256="nonprofit",$M$264="for profit")),2,0)</f>
        <v>0</v>
      </c>
      <c r="BQ227" s="3"/>
    </row>
    <row r="228" spans="1:69" ht="12.95" customHeight="1">
      <c r="B228" s="3"/>
      <c r="D228" s="3" t="s">
        <v>1150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8" t="s">
        <v>299</v>
      </c>
      <c r="AJ228" s="1308"/>
      <c r="AL228" s="3"/>
      <c r="AM228" s="3"/>
      <c r="AN228" s="3"/>
      <c r="AO228" s="3"/>
      <c r="AP228" s="3"/>
      <c r="AQ228" s="3"/>
      <c r="AR228" s="3"/>
      <c r="AS228" s="3"/>
      <c r="AT228" s="3"/>
      <c r="AU228" s="3"/>
      <c r="AV228" s="3"/>
      <c r="AW228" s="3"/>
      <c r="AX228" s="3"/>
      <c r="AY228" s="3"/>
      <c r="AZ228" s="3"/>
      <c r="BA228" s="3"/>
      <c r="BB228" s="143" t="s">
        <v>1148</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1148</v>
      </c>
      <c r="BG229" s="177">
        <f>IF(AND(AND($M$248="for profit",$M$256="nonprofit",$M$264="(select one)")),2,0)</f>
        <v>0</v>
      </c>
      <c r="BO229" s="3"/>
    </row>
    <row r="230" spans="1:69" ht="12.95" customHeight="1">
      <c r="A230" s="2" t="s">
        <v>1007</v>
      </c>
      <c r="B230" s="3"/>
      <c r="C230" s="2" t="s">
        <v>1151</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1148</v>
      </c>
      <c r="BG230" s="176">
        <f>IF(AND(AND($M$248="nonprofit",$M$256="for profit",$M$264="(select one)")),2,0)</f>
        <v>0</v>
      </c>
      <c r="BO230" s="3"/>
    </row>
    <row r="231" spans="1:69" ht="12.95" customHeight="1">
      <c r="D231" s="3" t="s">
        <v>1152</v>
      </c>
      <c r="E231" s="3"/>
      <c r="F231" s="3"/>
      <c r="G231" s="3"/>
      <c r="H231" s="3"/>
      <c r="I231" s="3"/>
      <c r="J231" s="3"/>
      <c r="K231" s="3"/>
      <c r="M231" s="1429" t="s">
        <v>824</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3"/>
      <c r="BB231" s="143"/>
      <c r="BG231" s="143"/>
      <c r="BQ231" s="3"/>
    </row>
    <row r="232" spans="1:69" ht="12.95" customHeight="1">
      <c r="D232" s="3" t="s">
        <v>1153</v>
      </c>
      <c r="E232" s="3"/>
      <c r="F232" s="3"/>
      <c r="G232" s="3"/>
      <c r="H232" s="3"/>
      <c r="I232" s="3"/>
      <c r="J232" s="3"/>
      <c r="K232" s="3"/>
      <c r="M232" s="1540" t="s">
        <v>1154</v>
      </c>
      <c r="N232" s="1540"/>
      <c r="O232" s="1540"/>
      <c r="P232" s="1540"/>
      <c r="Q232" s="1540"/>
      <c r="R232" s="1540"/>
      <c r="S232" s="1540"/>
      <c r="T232" s="1540"/>
      <c r="U232" s="1540"/>
      <c r="V232" s="1540"/>
      <c r="W232" s="1540"/>
      <c r="X232" s="1540"/>
      <c r="Y232" s="1540"/>
      <c r="Z232" s="1540"/>
      <c r="AA232" s="1540"/>
      <c r="AB232" s="1540"/>
      <c r="AC232" s="1540"/>
      <c r="AD232" s="1540"/>
      <c r="AE232" s="1540"/>
      <c r="AZ232" s="3"/>
      <c r="BA232" s="3"/>
      <c r="BB232" s="144" t="s">
        <v>1148</v>
      </c>
      <c r="BG232" s="177">
        <f>IF(AND(AND($M$248="nonprofit",$M$256="nonprofit",$M$264="for profit")),2,0)</f>
        <v>0</v>
      </c>
      <c r="BQ232" s="3"/>
    </row>
    <row r="233" spans="1:69" ht="12.95" customHeight="1">
      <c r="D233" s="3" t="s">
        <v>1026</v>
      </c>
      <c r="E233" s="3"/>
      <c r="M233" s="1540" t="s">
        <v>1155</v>
      </c>
      <c r="N233" s="1540"/>
      <c r="O233" s="1540"/>
      <c r="P233" s="1540"/>
      <c r="Q233" s="1540"/>
      <c r="R233" s="1540"/>
      <c r="S233" s="1540"/>
      <c r="T233" s="1540"/>
      <c r="V233" s="957" t="s">
        <v>1156</v>
      </c>
      <c r="W233" s="1305" t="s">
        <v>1157</v>
      </c>
      <c r="X233" s="1305"/>
      <c r="Y233" s="3" t="s">
        <v>1031</v>
      </c>
      <c r="AC233" s="1540">
        <v>94126</v>
      </c>
      <c r="AD233" s="1540"/>
      <c r="AE233" s="1540"/>
      <c r="BB233" s="144" t="s">
        <v>1148</v>
      </c>
      <c r="BG233" s="177">
        <f>IF(AND(AND($M$248="nonprofit",$M$256="for profit",$M$264="nonprofit")),2,0)</f>
        <v>0</v>
      </c>
    </row>
    <row r="234" spans="1:69" ht="12.95" customHeight="1">
      <c r="D234" s="3" t="s">
        <v>1158</v>
      </c>
      <c r="E234" s="3"/>
      <c r="F234" s="3"/>
      <c r="G234" s="3"/>
      <c r="H234" s="3"/>
      <c r="I234" s="3"/>
      <c r="J234" s="3"/>
      <c r="K234" s="1146"/>
      <c r="M234" s="1540" t="s">
        <v>1159</v>
      </c>
      <c r="N234" s="1540"/>
      <c r="O234" s="1540"/>
      <c r="P234" s="1540"/>
      <c r="Q234" s="1540"/>
      <c r="R234" s="1540"/>
      <c r="S234" s="1540"/>
      <c r="T234" s="1540"/>
      <c r="U234" s="1540"/>
      <c r="V234" s="1540"/>
      <c r="W234" s="1540"/>
      <c r="X234" s="1540"/>
      <c r="Y234" s="1540"/>
      <c r="Z234" s="1540"/>
      <c r="AA234" s="1540"/>
      <c r="AB234" s="1540"/>
      <c r="AC234" s="1540"/>
      <c r="AD234" s="1540"/>
      <c r="AE234" s="1540"/>
      <c r="AI234" s="3"/>
      <c r="AJ234" s="3"/>
      <c r="AK234" s="3"/>
      <c r="AL234" s="3"/>
      <c r="AM234" s="3"/>
      <c r="AN234" s="3"/>
      <c r="AO234" s="3"/>
      <c r="AP234" s="3"/>
      <c r="AQ234" s="3"/>
      <c r="AR234" s="3"/>
      <c r="AS234" s="3"/>
      <c r="AT234" s="3"/>
      <c r="AU234" s="3"/>
      <c r="AV234" s="3"/>
      <c r="AW234" s="3"/>
      <c r="AX234" s="3"/>
      <c r="AY234" s="3"/>
      <c r="AZ234" s="3"/>
      <c r="BB234" s="144" t="s">
        <v>1148</v>
      </c>
      <c r="BG234" s="176">
        <f>IF(AND(AND($M$248="for profit",$M$256="nonprofit",$M$264="nonprofit")),2,0)</f>
        <v>0</v>
      </c>
      <c r="BO234" s="3"/>
    </row>
    <row r="235" spans="1:69" ht="12.95" customHeight="1">
      <c r="D235" s="3" t="s">
        <v>1160</v>
      </c>
      <c r="E235" s="3"/>
      <c r="F235" s="3"/>
      <c r="M235" s="1322" t="s">
        <v>1161</v>
      </c>
      <c r="N235" s="1322"/>
      <c r="O235" s="1322"/>
      <c r="P235" s="1322"/>
      <c r="Q235" s="1322"/>
      <c r="R235" s="1322"/>
      <c r="S235" s="3" t="s">
        <v>1162</v>
      </c>
      <c r="T235" s="3"/>
      <c r="U235" s="1305"/>
      <c r="V235" s="1305"/>
      <c r="W235" s="1305"/>
      <c r="X235" s="3" t="s">
        <v>1163</v>
      </c>
      <c r="Z235" s="1322"/>
      <c r="AA235" s="1322"/>
      <c r="AB235" s="1322"/>
      <c r="AC235" s="1322"/>
      <c r="AD235" s="1322"/>
      <c r="AE235" s="1322"/>
      <c r="BB235" s="144"/>
      <c r="BG235" s="143"/>
    </row>
    <row r="236" spans="1:69" ht="12.95" customHeight="1">
      <c r="D236" s="3" t="s">
        <v>1164</v>
      </c>
      <c r="E236" s="3"/>
      <c r="F236" s="3"/>
      <c r="M236" s="1701" t="s">
        <v>1165</v>
      </c>
      <c r="N236" s="1702"/>
      <c r="O236" s="1702"/>
      <c r="P236" s="1702"/>
      <c r="Q236" s="1702"/>
      <c r="R236" s="1702"/>
      <c r="S236" s="1702"/>
      <c r="T236" s="1702"/>
      <c r="U236" s="1702"/>
      <c r="V236" s="1702"/>
      <c r="W236" s="1702"/>
      <c r="X236" s="1702"/>
      <c r="Y236" s="1702"/>
      <c r="Z236" s="1702"/>
      <c r="AA236" s="1702"/>
      <c r="AB236" s="1702"/>
      <c r="AC236" s="1702"/>
      <c r="AD236" s="1702"/>
      <c r="AE236" s="1702"/>
      <c r="AF236" s="3"/>
      <c r="AG236" s="3"/>
      <c r="AH236" s="3"/>
      <c r="AI236" s="3"/>
      <c r="AJ236" s="3"/>
      <c r="AK236" s="3"/>
      <c r="AL236" s="3"/>
      <c r="AM236" s="3"/>
      <c r="AN236" s="3"/>
      <c r="AO236" s="3"/>
      <c r="AP236" s="3"/>
      <c r="AQ236" s="3"/>
      <c r="AR236" s="3"/>
      <c r="AS236" s="3"/>
      <c r="AT236" s="3"/>
      <c r="AU236" s="3"/>
      <c r="AV236" s="3"/>
      <c r="AW236" s="3"/>
      <c r="AX236" s="3"/>
      <c r="AY236" s="3"/>
      <c r="AZ236" s="3"/>
      <c r="BB236" s="143" t="s">
        <v>1166</v>
      </c>
      <c r="BG236" s="177">
        <f>IF(AND(AND($M$248="nonprofit",$M$256="nonprofit",$M$264="(select one)")),1,0)</f>
        <v>0</v>
      </c>
    </row>
    <row r="237" spans="1:69" ht="12.95" customHeight="1">
      <c r="A237" s="2" t="s">
        <v>1083</v>
      </c>
      <c r="C237" s="2" t="s">
        <v>1167</v>
      </c>
      <c r="M237" s="1326" t="s">
        <v>1142</v>
      </c>
      <c r="N237" s="1326"/>
      <c r="O237" s="1326"/>
      <c r="P237" s="1326"/>
      <c r="Q237" s="1326"/>
      <c r="R237" s="1326"/>
      <c r="S237" s="1326"/>
      <c r="T237" s="1326"/>
      <c r="U237" s="143" t="s">
        <v>1168</v>
      </c>
      <c r="V237" s="143"/>
      <c r="W237" s="143"/>
      <c r="X237" s="143"/>
      <c r="Y237" s="143"/>
      <c r="Z237" s="143"/>
      <c r="AA237" s="1704"/>
      <c r="AB237" s="1704"/>
      <c r="AC237" s="1704"/>
      <c r="AD237" s="1704"/>
      <c r="AE237" s="1704"/>
      <c r="AF237" s="1704"/>
      <c r="AG237" s="1704"/>
      <c r="AH237" s="1704"/>
      <c r="AI237" s="1704"/>
      <c r="AJ237" s="1704"/>
      <c r="AK237" s="1704"/>
      <c r="AL237" s="3"/>
      <c r="AM237" s="3"/>
      <c r="AN237" s="3"/>
      <c r="AO237" s="3"/>
      <c r="AP237" s="3"/>
      <c r="AQ237" s="3"/>
      <c r="AR237" s="3"/>
      <c r="AS237" s="3"/>
      <c r="AT237" s="3"/>
      <c r="AU237" s="3"/>
      <c r="AV237" s="3"/>
      <c r="AW237" s="3"/>
      <c r="AX237" s="3"/>
      <c r="AY237" s="3"/>
      <c r="BB237" s="143" t="s">
        <v>1166</v>
      </c>
      <c r="BG237" s="177">
        <f>IF(AND(AND($M$248="nonprofit",$M$256="nonprofit",$M$264="nonprofit")),1,0)</f>
        <v>0</v>
      </c>
    </row>
    <row r="238" spans="1:69" ht="12.95" customHeight="1">
      <c r="D238" t="s">
        <v>1169</v>
      </c>
      <c r="M238" s="1307"/>
      <c r="N238" s="1307"/>
      <c r="O238" s="1307"/>
      <c r="P238" s="1307"/>
      <c r="Q238" s="1307"/>
      <c r="R238" s="1307"/>
      <c r="S238" s="1307"/>
      <c r="T238" s="1307"/>
      <c r="U238" s="1307"/>
      <c r="V238" s="1307"/>
      <c r="W238" s="1307"/>
      <c r="X238" s="1307"/>
      <c r="Y238" s="1307"/>
      <c r="Z238" s="1307"/>
      <c r="AA238" s="1307"/>
      <c r="AB238" s="1307"/>
      <c r="AC238" s="1307"/>
      <c r="AD238" s="1307"/>
      <c r="AE238" s="1307"/>
      <c r="AF238" s="3"/>
      <c r="AG238" s="3"/>
      <c r="AH238" s="3"/>
      <c r="AI238" s="3"/>
      <c r="AJ238" s="3"/>
      <c r="AK238" s="3"/>
      <c r="AL238" s="3"/>
      <c r="AM238" s="3"/>
      <c r="AN238" s="3"/>
      <c r="AO238" s="3"/>
      <c r="AP238" s="3"/>
      <c r="AQ238" s="3"/>
      <c r="AR238" s="3"/>
      <c r="AS238" s="3"/>
      <c r="AT238" s="3"/>
      <c r="AU238" s="3"/>
      <c r="AV238" s="3"/>
      <c r="AW238" s="3"/>
      <c r="AX238" s="3"/>
      <c r="AY238" s="3"/>
      <c r="BB238" s="143" t="s">
        <v>1166</v>
      </c>
      <c r="BG238" s="177">
        <f>IF(AND(AND($M$248="nonprofit",$M$256="(select one)",$M$264="(select one)")),1,0)</f>
        <v>1</v>
      </c>
      <c r="BN238" s="3"/>
    </row>
    <row r="239" spans="1:69" ht="12.95" customHeight="1">
      <c r="D239" s="3"/>
      <c r="BB239" s="143" t="s">
        <v>1170</v>
      </c>
      <c r="BG239" s="177">
        <f>IF(AND(AND($M$248="for profit",$M$256="for profit",$M$264="(select one)")),3,0)</f>
        <v>0</v>
      </c>
    </row>
    <row r="240" spans="1:69" ht="12.95" customHeight="1">
      <c r="A240" s="2" t="s">
        <v>1102</v>
      </c>
      <c r="C240" s="2" t="s">
        <v>1171</v>
      </c>
      <c r="D240" s="3"/>
      <c r="L240" s="8"/>
      <c r="M240" s="8"/>
      <c r="N240" s="8"/>
      <c r="BB240" s="143" t="s">
        <v>1170</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1170</v>
      </c>
      <c r="BG241" s="177">
        <f>IF(AND(AND($M$248="for profit",$M$256="(select one)",$M$264="(select one)")),3,0)</f>
        <v>0</v>
      </c>
    </row>
    <row r="242" spans="1:71" ht="12.95" customHeight="1">
      <c r="A242" s="1146"/>
      <c r="B242" s="3"/>
      <c r="C242" s="49" t="s">
        <v>1172</v>
      </c>
      <c r="D242" s="3" t="s">
        <v>1173</v>
      </c>
      <c r="E242" s="3"/>
      <c r="F242" s="3"/>
      <c r="G242" s="3"/>
      <c r="H242" s="3"/>
      <c r="I242" s="3"/>
      <c r="J242" s="3"/>
      <c r="K242" s="3"/>
      <c r="L242" s="3"/>
      <c r="M242" s="1690" t="s">
        <v>1174</v>
      </c>
      <c r="N242" s="1690"/>
      <c r="O242" s="1690"/>
      <c r="P242" s="1690"/>
      <c r="Q242" s="1690"/>
      <c r="R242" s="1690"/>
      <c r="S242" s="1690"/>
      <c r="T242" s="1690"/>
      <c r="U242" s="1690"/>
      <c r="V242" s="1690"/>
      <c r="W242" s="1690"/>
      <c r="X242" s="1690"/>
      <c r="Y242" s="1690"/>
      <c r="Z242" s="1690"/>
      <c r="AA242" s="1690"/>
      <c r="AB242" s="1690"/>
      <c r="AC242" s="1690"/>
      <c r="AD242" s="1690"/>
      <c r="AE242" s="1690"/>
      <c r="AF242" s="1690" t="s">
        <v>1175</v>
      </c>
      <c r="AG242" s="1690"/>
      <c r="AH242" s="1690"/>
      <c r="AI242" s="1690"/>
      <c r="AJ242" s="1690"/>
      <c r="AK242" s="1690"/>
      <c r="BO242" s="3"/>
      <c r="BP242" s="3"/>
      <c r="BQ242" s="3"/>
      <c r="BR242" s="3"/>
      <c r="BS242" s="3"/>
    </row>
    <row r="243" spans="1:71" ht="12.95" customHeight="1">
      <c r="A243" s="1146"/>
      <c r="B243" s="3"/>
      <c r="C243" s="3"/>
      <c r="D243" s="3" t="s">
        <v>1153</v>
      </c>
      <c r="E243" s="3"/>
      <c r="F243" s="3"/>
      <c r="G243" s="3"/>
      <c r="H243" s="3"/>
      <c r="I243" s="3"/>
      <c r="J243" s="3"/>
      <c r="K243" s="3"/>
      <c r="L243" s="3"/>
      <c r="M243" s="1540" t="s">
        <v>1154</v>
      </c>
      <c r="N243" s="1540"/>
      <c r="O243" s="1540"/>
      <c r="P243" s="1540"/>
      <c r="Q243" s="1540"/>
      <c r="R243" s="1540"/>
      <c r="S243" s="1540"/>
      <c r="T243" s="1540"/>
      <c r="U243" s="1540"/>
      <c r="V243" s="1540"/>
      <c r="W243" s="1540"/>
      <c r="X243" s="1540"/>
      <c r="Y243" s="1540"/>
      <c r="Z243" s="1540"/>
      <c r="AA243" s="1540"/>
      <c r="AB243" s="1540"/>
      <c r="AC243" s="1540"/>
      <c r="AD243" s="1540"/>
      <c r="AE243" s="1540"/>
      <c r="AF243" s="3" t="s">
        <v>1176</v>
      </c>
      <c r="AL243" s="3"/>
      <c r="AM243" s="3"/>
      <c r="AN243" s="3"/>
      <c r="AO243" s="3"/>
      <c r="AP243" s="3"/>
      <c r="AQ243" s="3"/>
      <c r="AR243" s="3"/>
      <c r="AS243" s="3"/>
      <c r="AT243" s="3"/>
      <c r="AU243" s="3"/>
      <c r="AV243" s="3"/>
      <c r="AW243" s="3"/>
      <c r="AX243" s="3"/>
      <c r="AY243" s="3"/>
      <c r="BG243">
        <f>SUM(BG226:BG241)</f>
        <v>1</v>
      </c>
    </row>
    <row r="244" spans="1:71" ht="12.95" customHeight="1">
      <c r="A244" s="1146"/>
      <c r="B244" s="3"/>
      <c r="C244" s="3"/>
      <c r="D244" s="3" t="s">
        <v>1026</v>
      </c>
      <c r="E244" s="3"/>
      <c r="M244" s="1540" t="s">
        <v>1155</v>
      </c>
      <c r="N244" s="1540"/>
      <c r="O244" s="1540"/>
      <c r="P244" s="1540"/>
      <c r="Q244" s="1540"/>
      <c r="R244" s="1540"/>
      <c r="S244" s="1540"/>
      <c r="T244" s="1540"/>
      <c r="V244" s="957" t="s">
        <v>1156</v>
      </c>
      <c r="W244" s="1305" t="s">
        <v>1157</v>
      </c>
      <c r="X244" s="1305"/>
      <c r="Y244" s="3" t="s">
        <v>1031</v>
      </c>
      <c r="AC244" s="1540">
        <v>95126</v>
      </c>
      <c r="AD244" s="1540"/>
      <c r="AE244" s="1540"/>
      <c r="AF244" s="3" t="s">
        <v>1177</v>
      </c>
      <c r="BB244" t="s">
        <v>294</v>
      </c>
      <c r="BG244">
        <v>1</v>
      </c>
      <c r="BH244" t="s">
        <v>1178</v>
      </c>
    </row>
    <row r="245" spans="1:71" ht="12.95" customHeight="1">
      <c r="A245" s="1146"/>
      <c r="B245" s="3"/>
      <c r="C245" s="3"/>
      <c r="D245" s="3" t="s">
        <v>1158</v>
      </c>
      <c r="E245" s="3"/>
      <c r="F245" s="3"/>
      <c r="G245" s="3"/>
      <c r="H245" s="3"/>
      <c r="I245" s="3"/>
      <c r="J245" s="3"/>
      <c r="K245" s="3"/>
      <c r="L245" s="1146"/>
      <c r="M245" s="1540" t="s">
        <v>1179</v>
      </c>
      <c r="N245" s="1540"/>
      <c r="O245" s="1540"/>
      <c r="P245" s="1540"/>
      <c r="Q245" s="1540"/>
      <c r="R245" s="1540"/>
      <c r="S245" s="1540"/>
      <c r="T245" s="1540"/>
      <c r="U245" s="1540"/>
      <c r="V245" s="1540"/>
      <c r="W245" s="1540"/>
      <c r="X245" s="1540"/>
      <c r="Y245" s="1540"/>
      <c r="Z245" s="1540"/>
      <c r="AA245" s="1540"/>
      <c r="AB245" s="1540"/>
      <c r="AC245" s="1540"/>
      <c r="AD245" s="1540"/>
      <c r="AE245" s="1540"/>
      <c r="AH245" s="1699">
        <v>0.01</v>
      </c>
      <c r="AI245" s="1699"/>
      <c r="AJ245" s="1699"/>
      <c r="AK245" s="1699"/>
      <c r="AL245" s="3"/>
      <c r="AM245" s="3"/>
      <c r="AN245" s="3"/>
      <c r="AO245" s="3"/>
      <c r="AP245" s="3"/>
      <c r="AQ245" s="3"/>
      <c r="AR245" s="3"/>
      <c r="AS245" s="3"/>
      <c r="AT245" s="3"/>
      <c r="AU245" s="3"/>
      <c r="AV245" s="3"/>
      <c r="AW245" s="3"/>
      <c r="AX245" s="3"/>
      <c r="AY245" s="3"/>
      <c r="BB245" s="3" t="s">
        <v>1180</v>
      </c>
      <c r="BG245">
        <v>2</v>
      </c>
      <c r="BH245" t="s">
        <v>1136</v>
      </c>
      <c r="BO245" s="1148" t="str">
        <f>VLOOKUP(BG243,BG244:BH246,2,FALSE)</f>
        <v>Nonprofit</v>
      </c>
    </row>
    <row r="246" spans="1:71" ht="12.95" customHeight="1">
      <c r="A246" s="1146"/>
      <c r="B246" s="3"/>
      <c r="C246" s="3"/>
      <c r="D246" s="3" t="s">
        <v>1160</v>
      </c>
      <c r="E246" s="3"/>
      <c r="F246" s="3"/>
      <c r="M246" s="1322" t="s">
        <v>1181</v>
      </c>
      <c r="N246" s="1322"/>
      <c r="O246" s="1322"/>
      <c r="P246" s="1322"/>
      <c r="Q246" s="1322"/>
      <c r="R246" s="1322"/>
      <c r="S246" s="3" t="s">
        <v>1162</v>
      </c>
      <c r="T246" s="3"/>
      <c r="U246" s="1305"/>
      <c r="V246" s="1305"/>
      <c r="W246" s="1305"/>
      <c r="X246" s="3" t="s">
        <v>1163</v>
      </c>
      <c r="Z246" s="1322" t="s">
        <v>1182</v>
      </c>
      <c r="AA246" s="1322"/>
      <c r="AB246" s="1322"/>
      <c r="AC246" s="1322"/>
      <c r="AD246" s="1322"/>
      <c r="AE246" s="1322"/>
      <c r="BB246" s="3" t="s">
        <v>1183</v>
      </c>
      <c r="BG246">
        <v>3</v>
      </c>
      <c r="BH246" t="s">
        <v>1184</v>
      </c>
      <c r="BN246" s="3"/>
    </row>
    <row r="247" spans="1:71" ht="12.95" customHeight="1">
      <c r="A247" s="1146"/>
      <c r="B247" s="3"/>
      <c r="C247" s="3"/>
      <c r="D247" s="3" t="s">
        <v>1164</v>
      </c>
      <c r="E247" s="3"/>
      <c r="F247" s="3"/>
      <c r="M247" s="1701" t="s">
        <v>1185</v>
      </c>
      <c r="N247" s="1702"/>
      <c r="O247" s="1702"/>
      <c r="P247" s="1702"/>
      <c r="Q247" s="1702"/>
      <c r="R247" s="1702"/>
      <c r="S247" s="1702"/>
      <c r="T247" s="1702"/>
      <c r="U247" s="1702"/>
      <c r="V247" s="1702"/>
      <c r="W247" s="1702"/>
      <c r="X247" s="1702"/>
      <c r="Y247" s="1702"/>
      <c r="Z247" s="1702"/>
      <c r="AA247" s="1702"/>
      <c r="AB247" s="1702"/>
      <c r="AC247" s="1702"/>
      <c r="AD247" s="1702"/>
      <c r="AE247" s="1702"/>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1186</v>
      </c>
      <c r="E248" s="3"/>
      <c r="F248" s="3"/>
      <c r="G248" s="3"/>
      <c r="H248" s="3"/>
      <c r="I248" s="3"/>
      <c r="J248" s="3"/>
      <c r="K248" s="3"/>
      <c r="L248" s="3"/>
      <c r="M248" s="1326" t="s">
        <v>1178</v>
      </c>
      <c r="N248" s="1326"/>
      <c r="O248" s="1326"/>
      <c r="P248" s="1326"/>
      <c r="Q248" s="1326"/>
      <c r="R248" s="1326"/>
      <c r="S248" s="1326"/>
      <c r="T248" s="1326"/>
      <c r="U248" s="143" t="s">
        <v>1168</v>
      </c>
      <c r="V248" s="143"/>
      <c r="W248" s="143"/>
      <c r="X248" s="143"/>
      <c r="Y248" s="143"/>
      <c r="Z248" s="143"/>
      <c r="AA248" s="1704"/>
      <c r="AB248" s="1704"/>
      <c r="AC248" s="1704"/>
      <c r="AD248" s="1704"/>
      <c r="AE248" s="1704"/>
      <c r="AF248" s="1704"/>
      <c r="AG248" s="1704"/>
      <c r="AH248" s="1704"/>
      <c r="AI248" s="1704"/>
      <c r="AJ248" s="1704"/>
      <c r="AK248" s="1704"/>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1187</v>
      </c>
      <c r="D250" s="3" t="s">
        <v>1188</v>
      </c>
      <c r="E250" s="3"/>
      <c r="F250" s="3"/>
      <c r="G250" s="3"/>
      <c r="H250" s="3"/>
      <c r="I250" s="3"/>
      <c r="J250" s="3"/>
      <c r="K250" s="3"/>
      <c r="L250" s="3"/>
      <c r="M250" s="1690"/>
      <c r="N250" s="1690"/>
      <c r="O250" s="1690"/>
      <c r="P250" s="1690"/>
      <c r="Q250" s="1690"/>
      <c r="R250" s="1690"/>
      <c r="S250" s="1690"/>
      <c r="T250" s="1690"/>
      <c r="U250" s="1690"/>
      <c r="V250" s="1690"/>
      <c r="W250" s="1690"/>
      <c r="X250" s="1690"/>
      <c r="Y250" s="1690"/>
      <c r="Z250" s="1690"/>
      <c r="AA250" s="1690"/>
      <c r="AB250" s="1690"/>
      <c r="AC250" s="1690"/>
      <c r="AD250" s="1690"/>
      <c r="AE250" s="1690"/>
      <c r="AF250" s="1690" t="s">
        <v>294</v>
      </c>
      <c r="AG250" s="1690"/>
      <c r="AH250" s="1690"/>
      <c r="AI250" s="1690"/>
      <c r="AJ250" s="1690"/>
      <c r="AK250" s="1690"/>
      <c r="BN250" s="3"/>
    </row>
    <row r="251" spans="1:71" ht="12.95" customHeight="1">
      <c r="A251" s="1146"/>
      <c r="B251" s="3"/>
      <c r="C251" s="3"/>
      <c r="D251" s="3" t="s">
        <v>1153</v>
      </c>
      <c r="E251" s="3"/>
      <c r="F251" s="3"/>
      <c r="G251" s="3"/>
      <c r="H251" s="3"/>
      <c r="I251" s="3"/>
      <c r="J251" s="3"/>
      <c r="K251" s="3"/>
      <c r="L251" s="3"/>
      <c r="M251" s="1540"/>
      <c r="N251" s="1540"/>
      <c r="O251" s="1540"/>
      <c r="P251" s="1540"/>
      <c r="Q251" s="1540"/>
      <c r="R251" s="1540"/>
      <c r="S251" s="1540"/>
      <c r="T251" s="1540"/>
      <c r="U251" s="1540"/>
      <c r="V251" s="1540"/>
      <c r="W251" s="1540"/>
      <c r="X251" s="1540"/>
      <c r="Y251" s="1540"/>
      <c r="Z251" s="1540"/>
      <c r="AA251" s="1540"/>
      <c r="AB251" s="1540"/>
      <c r="AC251" s="1540"/>
      <c r="AD251" s="1540"/>
      <c r="AE251" s="1540"/>
      <c r="AF251" s="3" t="s">
        <v>1176</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1026</v>
      </c>
      <c r="E252" s="3"/>
      <c r="M252" s="1540"/>
      <c r="N252" s="1540"/>
      <c r="O252" s="1540"/>
      <c r="P252" s="1540"/>
      <c r="Q252" s="1540"/>
      <c r="R252" s="1540"/>
      <c r="S252" s="1540"/>
      <c r="T252" s="1540"/>
      <c r="V252" s="957" t="s">
        <v>1156</v>
      </c>
      <c r="W252" s="1305"/>
      <c r="X252" s="1305"/>
      <c r="Y252" s="3" t="s">
        <v>1031</v>
      </c>
      <c r="AC252" s="1540"/>
      <c r="AD252" s="1540"/>
      <c r="AE252" s="1540"/>
      <c r="AF252" s="3" t="s">
        <v>1177</v>
      </c>
      <c r="BN252" s="3"/>
    </row>
    <row r="253" spans="1:71" ht="12.95" customHeight="1">
      <c r="A253" s="1146"/>
      <c r="B253" s="3"/>
      <c r="C253" s="3"/>
      <c r="D253" s="3" t="s">
        <v>1158</v>
      </c>
      <c r="E253" s="3"/>
      <c r="F253" s="3"/>
      <c r="G253" s="3"/>
      <c r="H253" s="3"/>
      <c r="I253" s="3"/>
      <c r="J253" s="3"/>
      <c r="K253" s="3"/>
      <c r="L253" s="1146"/>
      <c r="M253" s="1540"/>
      <c r="N253" s="1540"/>
      <c r="O253" s="1540"/>
      <c r="P253" s="1540"/>
      <c r="Q253" s="1540"/>
      <c r="R253" s="1540"/>
      <c r="S253" s="1540"/>
      <c r="T253" s="1540"/>
      <c r="U253" s="1540"/>
      <c r="V253" s="1540"/>
      <c r="W253" s="1540"/>
      <c r="X253" s="1540"/>
      <c r="Y253" s="1540"/>
      <c r="Z253" s="1540"/>
      <c r="AA253" s="1540"/>
      <c r="AB253" s="1540"/>
      <c r="AC253" s="1540"/>
      <c r="AD253" s="1540"/>
      <c r="AE253" s="1540"/>
      <c r="AH253" s="1699"/>
      <c r="AI253" s="1699"/>
      <c r="AJ253" s="1699"/>
      <c r="AK253" s="1699"/>
      <c r="AL253" s="3"/>
      <c r="AM253" s="3"/>
      <c r="AN253" s="3"/>
      <c r="AO253" s="3"/>
      <c r="AP253" s="3"/>
      <c r="AQ253" s="3"/>
      <c r="AR253" s="3"/>
      <c r="AS253" s="3"/>
      <c r="AT253" s="3"/>
      <c r="AU253" s="3"/>
      <c r="AV253" s="3"/>
      <c r="AW253" s="3"/>
      <c r="AX253" s="3"/>
      <c r="AY253" s="3"/>
      <c r="BN253" s="3"/>
    </row>
    <row r="254" spans="1:71" ht="12.95" customHeight="1">
      <c r="A254" s="1146"/>
      <c r="B254" s="3"/>
      <c r="C254" s="3"/>
      <c r="D254" s="3" t="s">
        <v>1160</v>
      </c>
      <c r="E254" s="3"/>
      <c r="F254" s="3"/>
      <c r="M254" s="1322"/>
      <c r="N254" s="1322"/>
      <c r="O254" s="1322"/>
      <c r="P254" s="1322"/>
      <c r="Q254" s="1322"/>
      <c r="R254" s="1322"/>
      <c r="S254" s="3" t="s">
        <v>1162</v>
      </c>
      <c r="T254" s="3"/>
      <c r="U254" s="1305"/>
      <c r="V254" s="1305"/>
      <c r="W254" s="1305"/>
      <c r="X254" s="3" t="s">
        <v>1163</v>
      </c>
      <c r="Z254" s="1322"/>
      <c r="AA254" s="1322"/>
      <c r="AB254" s="1322"/>
      <c r="AC254" s="1322"/>
      <c r="AD254" s="1322"/>
      <c r="AE254" s="1322"/>
    </row>
    <row r="255" spans="1:71" ht="12.95" customHeight="1">
      <c r="A255" s="1146"/>
      <c r="B255" s="3"/>
      <c r="C255" s="3"/>
      <c r="D255" s="3" t="s">
        <v>1164</v>
      </c>
      <c r="E255" s="3"/>
      <c r="F255" s="3"/>
      <c r="M255" s="1702"/>
      <c r="N255" s="1702"/>
      <c r="O255" s="1702"/>
      <c r="P255" s="1702"/>
      <c r="Q255" s="1702"/>
      <c r="R255" s="1702"/>
      <c r="S255" s="1702"/>
      <c r="T255" s="1702"/>
      <c r="U255" s="1702"/>
      <c r="V255" s="1702"/>
      <c r="W255" s="1702"/>
      <c r="X255" s="1702"/>
      <c r="Y255" s="1702"/>
      <c r="Z255" s="1702"/>
      <c r="AA255" s="1702"/>
      <c r="AB255" s="1702"/>
      <c r="AC255" s="1702"/>
      <c r="AD255" s="1702"/>
      <c r="AE255" s="1702"/>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1186</v>
      </c>
      <c r="E256" s="3"/>
      <c r="F256" s="3"/>
      <c r="G256" s="3"/>
      <c r="H256" s="3"/>
      <c r="I256" s="3"/>
      <c r="J256" s="3"/>
      <c r="K256" s="3"/>
      <c r="L256" s="3"/>
      <c r="M256" s="1326" t="s">
        <v>294</v>
      </c>
      <c r="N256" s="1326"/>
      <c r="O256" s="1326"/>
      <c r="P256" s="1326"/>
      <c r="Q256" s="1326"/>
      <c r="R256" s="1326"/>
      <c r="S256" s="1326"/>
      <c r="T256" s="1326"/>
      <c r="U256" s="143" t="s">
        <v>1168</v>
      </c>
      <c r="V256" s="143"/>
      <c r="W256" s="143"/>
      <c r="X256" s="143"/>
      <c r="Y256" s="143"/>
      <c r="Z256" s="143"/>
      <c r="AA256" s="1704"/>
      <c r="AB256" s="1704"/>
      <c r="AC256" s="1704"/>
      <c r="AD256" s="1704"/>
      <c r="AE256" s="1704"/>
      <c r="AF256" s="1704"/>
      <c r="AG256" s="1704"/>
      <c r="AH256" s="1704"/>
      <c r="AI256" s="1704"/>
      <c r="AJ256" s="1704"/>
      <c r="AK256" s="1704"/>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1189</v>
      </c>
      <c r="D258" s="3" t="s">
        <v>1173</v>
      </c>
      <c r="E258" s="3"/>
      <c r="F258" s="3"/>
      <c r="G258" s="3"/>
      <c r="H258" s="3"/>
      <c r="I258" s="3"/>
      <c r="J258" s="3"/>
      <c r="K258" s="3"/>
      <c r="L258" s="3"/>
      <c r="M258" s="1690"/>
      <c r="N258" s="1690"/>
      <c r="O258" s="1690"/>
      <c r="P258" s="1690"/>
      <c r="Q258" s="1690"/>
      <c r="R258" s="1690"/>
      <c r="S258" s="1690"/>
      <c r="T258" s="1690"/>
      <c r="U258" s="1690"/>
      <c r="V258" s="1690"/>
      <c r="W258" s="1690"/>
      <c r="X258" s="1690"/>
      <c r="Y258" s="1690"/>
      <c r="Z258" s="1690"/>
      <c r="AA258" s="1690"/>
      <c r="AB258" s="1690"/>
      <c r="AC258" s="1690"/>
      <c r="AD258" s="1690"/>
      <c r="AE258" s="1690"/>
      <c r="AF258" s="1690" t="s">
        <v>294</v>
      </c>
      <c r="AG258" s="1690"/>
      <c r="AH258" s="1690"/>
      <c r="AI258" s="1690"/>
      <c r="AJ258" s="1690"/>
      <c r="AK258" s="1690"/>
      <c r="AL258" s="3"/>
      <c r="AM258" s="3"/>
      <c r="AN258" s="3"/>
      <c r="AO258" s="3"/>
      <c r="AP258" s="3"/>
      <c r="AQ258" s="3"/>
      <c r="AR258" s="3"/>
      <c r="AS258" s="3"/>
      <c r="AT258" s="3"/>
      <c r="AU258" s="3"/>
      <c r="AV258" s="3"/>
      <c r="AW258" s="3"/>
      <c r="AX258" s="3"/>
      <c r="AY258" s="3"/>
      <c r="BN258" s="3"/>
    </row>
    <row r="259" spans="1:66" ht="12.95" customHeight="1">
      <c r="A259" s="13"/>
      <c r="B259" s="3"/>
      <c r="C259" s="3"/>
      <c r="D259" s="3" t="s">
        <v>1153</v>
      </c>
      <c r="E259" s="3"/>
      <c r="F259" s="3"/>
      <c r="G259" s="3"/>
      <c r="H259" s="3"/>
      <c r="I259" s="3"/>
      <c r="J259" s="3"/>
      <c r="K259" s="3"/>
      <c r="L259" s="3"/>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3" t="s">
        <v>1176</v>
      </c>
      <c r="AL259" s="3"/>
      <c r="AM259" s="3"/>
      <c r="AN259" s="3"/>
      <c r="AO259" s="3"/>
      <c r="AP259" s="3"/>
      <c r="AQ259" s="3"/>
      <c r="AR259" s="3"/>
      <c r="AS259" s="3"/>
      <c r="AT259" s="3"/>
      <c r="AU259" s="3"/>
      <c r="AV259" s="3"/>
      <c r="AW259" s="3"/>
      <c r="AX259" s="3"/>
      <c r="AY259" s="3"/>
      <c r="BN259" s="3"/>
    </row>
    <row r="260" spans="1:66" ht="12.95" customHeight="1">
      <c r="A260" s="13"/>
      <c r="B260" s="3"/>
      <c r="C260" s="3"/>
      <c r="D260" s="3" t="s">
        <v>1026</v>
      </c>
      <c r="E260" s="3"/>
      <c r="M260" s="1540"/>
      <c r="N260" s="1540"/>
      <c r="O260" s="1540"/>
      <c r="P260" s="1540"/>
      <c r="Q260" s="1540"/>
      <c r="R260" s="1540"/>
      <c r="S260" s="1540"/>
      <c r="T260" s="1540"/>
      <c r="V260" s="957" t="s">
        <v>1156</v>
      </c>
      <c r="W260" s="1305"/>
      <c r="X260" s="1305"/>
      <c r="Y260" s="3" t="s">
        <v>1031</v>
      </c>
      <c r="AC260" s="1540"/>
      <c r="AD260" s="1540"/>
      <c r="AE260" s="1540"/>
      <c r="AF260" s="3" t="s">
        <v>1177</v>
      </c>
      <c r="AL260" s="3"/>
      <c r="AM260" s="3"/>
      <c r="AN260" s="3"/>
      <c r="AO260" s="3"/>
      <c r="AP260" s="3"/>
      <c r="AQ260" s="3"/>
      <c r="AR260" s="3"/>
      <c r="AS260" s="3"/>
      <c r="AT260" s="3"/>
      <c r="AU260" s="3"/>
      <c r="AV260" s="3"/>
      <c r="AW260" s="3"/>
      <c r="AX260" s="3"/>
      <c r="AY260" s="3"/>
      <c r="BN260" s="3"/>
    </row>
    <row r="261" spans="1:66" ht="12.95" customHeight="1">
      <c r="A261" s="13"/>
      <c r="B261" s="3"/>
      <c r="C261" s="3"/>
      <c r="D261" s="3" t="s">
        <v>1158</v>
      </c>
      <c r="E261" s="3"/>
      <c r="F261" s="3"/>
      <c r="G261" s="3"/>
      <c r="H261" s="3"/>
      <c r="I261" s="3"/>
      <c r="J261" s="3"/>
      <c r="K261" s="3"/>
      <c r="L261" s="1146"/>
      <c r="M261" s="1540"/>
      <c r="N261" s="1540"/>
      <c r="O261" s="1540"/>
      <c r="P261" s="1540"/>
      <c r="Q261" s="1540"/>
      <c r="R261" s="1540"/>
      <c r="S261" s="1540"/>
      <c r="T261" s="1540"/>
      <c r="U261" s="1540"/>
      <c r="V261" s="1540"/>
      <c r="W261" s="1540"/>
      <c r="X261" s="1540"/>
      <c r="Y261" s="1540"/>
      <c r="Z261" s="1540"/>
      <c r="AA261" s="1540"/>
      <c r="AB261" s="1540"/>
      <c r="AC261" s="1540"/>
      <c r="AD261" s="1540"/>
      <c r="AE261" s="1540"/>
      <c r="AH261" s="1699"/>
      <c r="AI261" s="1699"/>
      <c r="AJ261" s="1699"/>
      <c r="AK261" s="1699"/>
      <c r="AL261" s="3"/>
      <c r="AM261" s="3"/>
      <c r="AN261" s="3"/>
      <c r="AO261" s="3"/>
      <c r="AP261" s="3"/>
      <c r="AQ261" s="3"/>
      <c r="AR261" s="3"/>
      <c r="AS261" s="3"/>
      <c r="AT261" s="3"/>
      <c r="AU261" s="3"/>
      <c r="AV261" s="3"/>
      <c r="AW261" s="3"/>
      <c r="AX261" s="3"/>
      <c r="AY261" s="3"/>
      <c r="BN261" s="3"/>
    </row>
    <row r="262" spans="1:66" ht="12.95" customHeight="1">
      <c r="A262" s="13"/>
      <c r="B262" s="3"/>
      <c r="C262" s="3"/>
      <c r="D262" s="3" t="s">
        <v>1160</v>
      </c>
      <c r="E262" s="3"/>
      <c r="F262" s="3"/>
      <c r="M262" s="1322"/>
      <c r="N262" s="1322"/>
      <c r="O262" s="1322"/>
      <c r="P262" s="1322"/>
      <c r="Q262" s="1322"/>
      <c r="R262" s="1322"/>
      <c r="S262" s="3" t="s">
        <v>1162</v>
      </c>
      <c r="T262" s="3"/>
      <c r="U262" s="1305"/>
      <c r="V262" s="1305"/>
      <c r="W262" s="1305"/>
      <c r="X262" s="3" t="s">
        <v>1163</v>
      </c>
      <c r="Z262" s="1322"/>
      <c r="AA262" s="1322"/>
      <c r="AB262" s="1322"/>
      <c r="AC262" s="1322"/>
      <c r="AD262" s="1322"/>
      <c r="AE262" s="1322"/>
      <c r="AL262" s="3"/>
      <c r="AM262" s="3"/>
      <c r="AN262" s="3"/>
      <c r="AO262" s="3"/>
      <c r="AP262" s="3"/>
      <c r="AQ262" s="3"/>
      <c r="AR262" s="3"/>
      <c r="AS262" s="3"/>
      <c r="AT262" s="3"/>
      <c r="AU262" s="3"/>
      <c r="AV262" s="3"/>
      <c r="AW262" s="3"/>
      <c r="AX262" s="3"/>
      <c r="AY262" s="3"/>
      <c r="BN262" s="3"/>
    </row>
    <row r="263" spans="1:66" ht="12.95" customHeight="1">
      <c r="A263" s="13"/>
      <c r="B263" s="3"/>
      <c r="C263" s="3"/>
      <c r="D263" s="3" t="s">
        <v>1164</v>
      </c>
      <c r="E263" s="3"/>
      <c r="F263" s="3"/>
      <c r="M263" s="1702"/>
      <c r="N263" s="1702"/>
      <c r="O263" s="1702"/>
      <c r="P263" s="1702"/>
      <c r="Q263" s="1702"/>
      <c r="R263" s="1702"/>
      <c r="S263" s="1702"/>
      <c r="T263" s="1702"/>
      <c r="U263" s="1702"/>
      <c r="V263" s="1702"/>
      <c r="W263" s="1702"/>
      <c r="X263" s="1702"/>
      <c r="Y263" s="1702"/>
      <c r="Z263" s="1702"/>
      <c r="AA263" s="1712"/>
      <c r="AB263" s="1712"/>
      <c r="AC263" s="1712"/>
      <c r="AD263" s="1712"/>
      <c r="AE263" s="1712"/>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1186</v>
      </c>
      <c r="E264" s="3"/>
      <c r="F264" s="3"/>
      <c r="G264" s="3"/>
      <c r="H264" s="3"/>
      <c r="I264" s="3"/>
      <c r="J264" s="3"/>
      <c r="K264" s="3"/>
      <c r="L264" s="3"/>
      <c r="M264" s="1326" t="s">
        <v>294</v>
      </c>
      <c r="N264" s="1326"/>
      <c r="O264" s="1326"/>
      <c r="P264" s="1326"/>
      <c r="Q264" s="1326"/>
      <c r="R264" s="1326"/>
      <c r="S264" s="1326"/>
      <c r="T264" s="1326"/>
      <c r="U264" s="143" t="s">
        <v>1168</v>
      </c>
      <c r="V264" s="143"/>
      <c r="W264" s="143"/>
      <c r="X264" s="143"/>
      <c r="Y264" s="143"/>
      <c r="Z264" s="143"/>
      <c r="AA264" s="1687"/>
      <c r="AB264" s="1687"/>
      <c r="AC264" s="1687"/>
      <c r="AD264" s="1687"/>
      <c r="AE264" s="1687"/>
      <c r="AF264" s="1687"/>
      <c r="AG264" s="1687"/>
      <c r="AH264" s="1687"/>
      <c r="AI264" s="1687"/>
      <c r="AJ264" s="1687"/>
      <c r="AK264" s="1687"/>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1114</v>
      </c>
      <c r="B266" s="3"/>
      <c r="C266" s="2" t="s">
        <v>1190</v>
      </c>
      <c r="D266" s="3"/>
      <c r="E266" s="3"/>
      <c r="F266" s="3"/>
      <c r="G266" s="3"/>
      <c r="H266" s="3"/>
      <c r="I266" s="3"/>
      <c r="J266" s="3"/>
      <c r="K266" s="3"/>
      <c r="L266" s="3"/>
      <c r="M266" s="85"/>
      <c r="N266" s="85"/>
      <c r="O266" s="85"/>
      <c r="P266" s="85"/>
      <c r="Q266" s="85"/>
      <c r="T266" s="1692" t="str">
        <f>BO245</f>
        <v>Nonprofit</v>
      </c>
      <c r="U266" s="1692"/>
      <c r="V266" s="1692"/>
      <c r="W266" s="1692"/>
      <c r="X266" s="1692"/>
      <c r="Z266" s="230" t="s">
        <v>1191</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1192</v>
      </c>
      <c r="AF267" s="3"/>
      <c r="AG267" s="3"/>
      <c r="AH267" s="3"/>
      <c r="AI267" s="3"/>
      <c r="AJ267" s="3"/>
      <c r="AL267" s="57"/>
      <c r="BN267" s="3"/>
    </row>
    <row r="268" spans="1:66" ht="12.95" customHeight="1">
      <c r="A268" s="2" t="s">
        <v>1137</v>
      </c>
      <c r="B268" s="3"/>
      <c r="C268" s="2" t="s">
        <v>123</v>
      </c>
      <c r="D268" s="3"/>
      <c r="E268" s="3"/>
      <c r="F268" s="3"/>
      <c r="G268" s="3"/>
      <c r="H268" s="3"/>
      <c r="I268" s="3"/>
      <c r="J268" s="3"/>
      <c r="K268" s="3"/>
      <c r="L268" s="3"/>
      <c r="M268" s="3"/>
      <c r="N268" s="3"/>
      <c r="O268" s="3"/>
      <c r="P268" s="3"/>
      <c r="Q268" s="3"/>
      <c r="R268" s="3"/>
      <c r="S268" s="3"/>
      <c r="T268" s="3"/>
      <c r="U268" s="3"/>
      <c r="V268" s="3"/>
      <c r="W268" s="3"/>
      <c r="Z268" s="234" t="s">
        <v>1193</v>
      </c>
      <c r="AA268" s="41"/>
      <c r="AB268" s="41"/>
      <c r="AC268" s="41"/>
      <c r="AD268" s="41"/>
      <c r="AE268" s="41"/>
      <c r="AF268" s="819"/>
      <c r="AG268" s="819"/>
      <c r="AH268" s="819"/>
      <c r="AI268" s="819"/>
      <c r="AJ268" s="819"/>
      <c r="AK268" s="41"/>
      <c r="AL268" s="42"/>
      <c r="BN268" s="3"/>
    </row>
    <row r="269" spans="1:66" ht="12.95" customHeight="1">
      <c r="A269" s="3"/>
      <c r="B269" s="29">
        <v>0</v>
      </c>
      <c r="D269" s="1540" t="s">
        <v>1180</v>
      </c>
      <c r="E269" s="1540"/>
      <c r="F269" s="1540"/>
      <c r="G269" s="1540"/>
      <c r="H269" s="1540"/>
      <c r="J269" t="s">
        <v>1194</v>
      </c>
      <c r="X269" s="1574"/>
      <c r="Y269" s="1574"/>
      <c r="Z269" s="1574"/>
      <c r="AA269" s="1574"/>
      <c r="AB269" s="1574"/>
      <c r="AC269" s="1574"/>
      <c r="BN269" s="3"/>
    </row>
    <row r="270" spans="1:66" ht="12.95" customHeight="1">
      <c r="A270" s="3"/>
      <c r="B270" s="1146"/>
      <c r="D270" s="30" t="s">
        <v>1195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1196</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1197</v>
      </c>
      <c r="E273" s="3"/>
      <c r="F273" s="3"/>
      <c r="G273" s="3"/>
      <c r="H273" s="3"/>
      <c r="I273" s="3"/>
      <c r="J273" s="3"/>
      <c r="K273" s="3"/>
      <c r="L273" s="1690" t="s">
        <v>824</v>
      </c>
      <c r="M273" s="1690"/>
      <c r="N273" s="1690"/>
      <c r="O273" s="1690"/>
      <c r="P273" s="1690"/>
      <c r="Q273" s="1690"/>
      <c r="R273" s="1690"/>
      <c r="S273" s="1690"/>
      <c r="T273" s="1690"/>
      <c r="U273" s="1690"/>
      <c r="V273" s="1690"/>
      <c r="W273" s="1690"/>
      <c r="X273" s="1690"/>
      <c r="Y273" s="1690"/>
      <c r="Z273" s="1690"/>
      <c r="AA273" s="1690"/>
      <c r="AB273" s="1690"/>
      <c r="AC273" s="1690"/>
      <c r="AD273" s="1690"/>
      <c r="AE273" s="1690"/>
      <c r="AF273" s="1690"/>
      <c r="AG273" s="1690"/>
      <c r="AH273" s="1690"/>
      <c r="AI273" s="1690"/>
      <c r="AJ273" s="1690"/>
      <c r="AK273" s="3"/>
      <c r="AL273" s="3"/>
      <c r="AM273" s="3"/>
      <c r="AN273" s="3"/>
      <c r="AO273" s="3"/>
      <c r="AP273" s="3"/>
      <c r="AQ273" s="3"/>
      <c r="AR273" s="3"/>
      <c r="AS273" s="3"/>
      <c r="AT273" s="3"/>
      <c r="AU273" s="3"/>
      <c r="AV273" s="3"/>
      <c r="AW273" s="3"/>
      <c r="AX273" s="3"/>
      <c r="AY273" s="3"/>
      <c r="BN273" s="3"/>
    </row>
    <row r="274" spans="1:66" ht="12.95" customHeight="1">
      <c r="D274" s="3" t="s">
        <v>1153</v>
      </c>
      <c r="E274" s="3"/>
      <c r="F274" s="3"/>
      <c r="G274" s="3"/>
      <c r="H274" s="3"/>
      <c r="I274" s="3"/>
      <c r="J274" s="3"/>
      <c r="K274" s="3"/>
      <c r="L274" s="1540" t="s">
        <v>1154</v>
      </c>
      <c r="M274" s="1540"/>
      <c r="N274" s="1540"/>
      <c r="O274" s="1540"/>
      <c r="P274" s="1540"/>
      <c r="Q274" s="1540"/>
      <c r="R274" s="1540"/>
      <c r="S274" s="1540"/>
      <c r="T274" s="1540"/>
      <c r="U274" s="1540"/>
      <c r="V274" s="1540"/>
      <c r="W274" s="1540"/>
      <c r="X274" s="1540"/>
      <c r="Y274" s="1540"/>
      <c r="Z274" s="1540"/>
      <c r="AA274" s="1540"/>
      <c r="AB274" s="1540"/>
      <c r="AC274" s="1540"/>
      <c r="AD274" s="1540"/>
      <c r="AK274" s="3"/>
      <c r="AL274" s="3"/>
      <c r="AM274" s="3"/>
      <c r="AN274" s="3"/>
      <c r="AO274" s="3"/>
      <c r="AP274" s="3"/>
      <c r="AQ274" s="3"/>
      <c r="AR274" s="3"/>
      <c r="AS274" s="3"/>
      <c r="AT274" s="3"/>
      <c r="AU274" s="3"/>
      <c r="AV274" s="3"/>
      <c r="AW274" s="3"/>
      <c r="AX274" s="3"/>
      <c r="AY274" s="3"/>
      <c r="BN274" s="3"/>
    </row>
    <row r="275" spans="1:66" ht="12.95" customHeight="1">
      <c r="D275" s="3" t="s">
        <v>1026</v>
      </c>
      <c r="E275" s="3"/>
      <c r="L275" s="1540" t="s">
        <v>1155</v>
      </c>
      <c r="M275" s="1540"/>
      <c r="N275" s="1540"/>
      <c r="O275" s="1540"/>
      <c r="P275" s="1540"/>
      <c r="Q275" s="1540"/>
      <c r="R275" s="1540"/>
      <c r="S275" s="1540"/>
      <c r="U275" s="957" t="s">
        <v>1156</v>
      </c>
      <c r="V275" s="1305" t="s">
        <v>1157</v>
      </c>
      <c r="W275" s="1305"/>
      <c r="X275" s="3" t="s">
        <v>1031</v>
      </c>
      <c r="AB275" s="1540">
        <v>95126</v>
      </c>
      <c r="AC275" s="1540"/>
      <c r="AD275" s="1540"/>
      <c r="AK275" s="3"/>
      <c r="AL275" s="3"/>
      <c r="AM275" s="3"/>
      <c r="AN275" s="3"/>
      <c r="AO275" s="3"/>
      <c r="AP275" s="3"/>
      <c r="AQ275" s="3"/>
      <c r="AR275" s="3"/>
      <c r="AS275" s="3"/>
      <c r="AT275" s="3"/>
      <c r="AU275" s="3"/>
      <c r="AV275" s="3"/>
      <c r="AW275" s="3"/>
      <c r="AX275" s="3"/>
      <c r="AY275" s="3"/>
      <c r="BN275" s="3"/>
    </row>
    <row r="276" spans="1:66" ht="12.95" customHeight="1">
      <c r="D276" s="3" t="s">
        <v>1158</v>
      </c>
      <c r="E276" s="3"/>
      <c r="F276" s="3"/>
      <c r="G276" s="3"/>
      <c r="H276" s="3"/>
      <c r="I276" s="3"/>
      <c r="J276" s="3"/>
      <c r="K276" s="1146"/>
      <c r="L276" s="1540" t="s">
        <v>1159</v>
      </c>
      <c r="M276" s="1540"/>
      <c r="N276" s="1540"/>
      <c r="O276" s="1540"/>
      <c r="P276" s="1540"/>
      <c r="Q276" s="1540"/>
      <c r="R276" s="1540"/>
      <c r="S276" s="1540"/>
      <c r="T276" s="1540"/>
      <c r="U276" s="1540"/>
      <c r="V276" s="1540"/>
      <c r="W276" s="1540"/>
      <c r="X276" s="1540"/>
      <c r="Y276" s="1540"/>
      <c r="Z276" s="1540"/>
      <c r="AA276" s="1540"/>
      <c r="AB276" s="1540"/>
      <c r="AC276" s="1540"/>
      <c r="AD276" s="1540"/>
      <c r="AI276" s="3"/>
      <c r="AJ276" s="3"/>
      <c r="AK276" s="3"/>
      <c r="AL276" s="3"/>
      <c r="AM276" s="3"/>
      <c r="AN276" s="3"/>
      <c r="AO276" s="3"/>
      <c r="AP276" s="3"/>
      <c r="AQ276" s="3"/>
      <c r="AR276" s="3"/>
      <c r="AS276" s="3"/>
      <c r="AT276" s="3"/>
      <c r="AU276" s="3"/>
      <c r="AV276" s="3"/>
      <c r="AW276" s="3"/>
      <c r="AX276" s="3"/>
      <c r="AY276" s="3"/>
      <c r="BN276" s="3"/>
    </row>
    <row r="277" spans="1:66" ht="12.95" customHeight="1">
      <c r="D277" s="3" t="s">
        <v>1160</v>
      </c>
      <c r="E277" s="3"/>
      <c r="F277" s="3"/>
      <c r="L277" s="1322" t="s">
        <v>1161</v>
      </c>
      <c r="M277" s="1322"/>
      <c r="N277" s="1322"/>
      <c r="O277" s="1322"/>
      <c r="P277" s="1322"/>
      <c r="Q277" s="1322"/>
      <c r="R277" s="3" t="s">
        <v>1162</v>
      </c>
      <c r="S277" s="3"/>
      <c r="T277" s="1305"/>
      <c r="U277" s="1305"/>
      <c r="V277" s="1305"/>
      <c r="W277" s="3" t="s">
        <v>1163</v>
      </c>
      <c r="Y277" s="1322" t="s">
        <v>1182</v>
      </c>
      <c r="Z277" s="1322"/>
      <c r="AA277" s="1322"/>
      <c r="AB277" s="1322"/>
      <c r="AC277" s="1322"/>
      <c r="AD277" s="1322"/>
      <c r="BN277" s="3"/>
    </row>
    <row r="278" spans="1:66" ht="12.95" customHeight="1">
      <c r="D278" s="3" t="s">
        <v>1164</v>
      </c>
      <c r="E278" s="3"/>
      <c r="F278" s="3"/>
      <c r="L278" s="1702" t="s">
        <v>1165</v>
      </c>
      <c r="M278" s="1702"/>
      <c r="N278" s="1702"/>
      <c r="O278" s="1702"/>
      <c r="P278" s="1702"/>
      <c r="Q278" s="1702"/>
      <c r="R278" s="1702"/>
      <c r="S278" s="1702"/>
      <c r="T278" s="1702"/>
      <c r="U278" s="1702"/>
      <c r="V278" s="1702"/>
      <c r="W278" s="1702"/>
      <c r="X278" s="1702"/>
      <c r="Y278" s="1702"/>
      <c r="Z278" s="1702"/>
      <c r="AA278" s="1702"/>
      <c r="AB278" s="1702"/>
      <c r="AC278" s="1702"/>
      <c r="AD278" s="1702"/>
      <c r="AF278" s="3"/>
      <c r="AG278" s="3"/>
      <c r="AH278" s="3"/>
      <c r="AI278" s="3"/>
      <c r="AJ278" s="3"/>
      <c r="BN278" s="3"/>
    </row>
    <row r="279" spans="1:66" ht="12.95" customHeight="1">
      <c r="D279" s="3" t="s">
        <v>1198</v>
      </c>
      <c r="E279" s="3"/>
      <c r="F279" s="3"/>
      <c r="G279" s="3"/>
      <c r="H279" s="3"/>
      <c r="I279" s="3"/>
      <c r="L279" s="1702" t="s">
        <v>1165</v>
      </c>
      <c r="M279" s="1702"/>
      <c r="N279" s="1702"/>
      <c r="O279" s="1702"/>
      <c r="P279" s="1702"/>
      <c r="Q279" s="1702"/>
      <c r="R279" s="1702"/>
      <c r="S279" s="1702"/>
      <c r="T279" s="1702"/>
      <c r="U279" s="1702"/>
      <c r="V279" s="1702"/>
      <c r="W279" s="1702"/>
      <c r="X279" s="1702"/>
      <c r="Y279" s="1702"/>
      <c r="Z279" s="1702"/>
      <c r="AA279" s="1702"/>
      <c r="AB279" s="1702"/>
      <c r="AC279" s="1702"/>
      <c r="AD279" s="1702"/>
      <c r="AK279" s="3"/>
      <c r="AL279" s="3"/>
      <c r="AM279" s="3"/>
      <c r="AN279" s="3"/>
      <c r="AO279" s="3"/>
      <c r="AP279" s="3"/>
      <c r="AQ279" s="3"/>
      <c r="AR279" s="3"/>
      <c r="AS279" s="3"/>
      <c r="AT279" s="3"/>
      <c r="AU279" s="3"/>
      <c r="AV279" s="3"/>
      <c r="AW279" s="3"/>
      <c r="AX279" s="3"/>
      <c r="AY279" s="3"/>
      <c r="BN279" s="3"/>
    </row>
    <row r="280" spans="1:66" ht="12.95" customHeight="1">
      <c r="L280" s="20" t="s">
        <v>1199</v>
      </c>
      <c r="BN280" s="3"/>
    </row>
    <row r="281" spans="1:66" ht="12.95" customHeight="1">
      <c r="A281" s="1581" t="s">
        <v>1200</v>
      </c>
      <c r="B281" s="1581"/>
      <c r="C281" s="1581"/>
      <c r="D281" s="1581"/>
      <c r="E281" s="1581"/>
      <c r="F281" s="1581"/>
      <c r="G281" s="1581"/>
      <c r="H281" s="1581"/>
      <c r="I281" s="1581"/>
      <c r="J281" s="1581"/>
      <c r="K281" s="1581"/>
      <c r="L281" s="1581"/>
      <c r="M281" s="1581"/>
      <c r="N281" s="1581"/>
      <c r="O281" s="1581"/>
      <c r="P281" s="1581"/>
      <c r="Q281" s="1581"/>
      <c r="R281" s="1581"/>
      <c r="S281" s="1581"/>
      <c r="T281" s="1581"/>
      <c r="U281" s="1581"/>
      <c r="V281" s="1581"/>
      <c r="W281" s="1581"/>
      <c r="X281" s="1581"/>
      <c r="Y281" s="1581"/>
      <c r="Z281" s="1581"/>
      <c r="AA281" s="1581"/>
      <c r="AB281" s="1581"/>
      <c r="AC281" s="1581"/>
      <c r="AD281" s="1581"/>
      <c r="AE281" s="1581"/>
      <c r="AF281" s="1581"/>
      <c r="AG281" s="1581"/>
      <c r="AH281" s="1581"/>
      <c r="AI281" s="1581"/>
      <c r="AJ281" s="1581"/>
      <c r="AK281" s="1581"/>
      <c r="AL281" s="1581"/>
      <c r="AM281" s="71"/>
      <c r="AN281" s="71"/>
      <c r="AO281" s="71"/>
      <c r="AP281" s="71"/>
      <c r="AQ281" s="71"/>
      <c r="AR281" s="71"/>
      <c r="AS281" s="71"/>
      <c r="AT281" s="71"/>
      <c r="AU281" s="71"/>
      <c r="AV281" s="71"/>
      <c r="AW281" s="71"/>
      <c r="AX281" s="71"/>
      <c r="AY281" s="71"/>
      <c r="BN281" s="3"/>
    </row>
    <row r="282" spans="1:66" ht="12.95" customHeight="1" thickBot="1">
      <c r="A282" s="1582"/>
      <c r="B282" s="1582"/>
      <c r="C282" s="1582"/>
      <c r="D282" s="1582"/>
      <c r="E282" s="1582"/>
      <c r="F282" s="1582"/>
      <c r="G282" s="1582"/>
      <c r="H282" s="1582"/>
      <c r="I282" s="1582"/>
      <c r="J282" s="1582"/>
      <c r="K282" s="1582"/>
      <c r="L282" s="1582"/>
      <c r="M282" s="1582"/>
      <c r="N282" s="1582"/>
      <c r="O282" s="1582"/>
      <c r="P282" s="1582"/>
      <c r="Q282" s="1582"/>
      <c r="R282" s="1582"/>
      <c r="S282" s="1582"/>
      <c r="T282" s="1582"/>
      <c r="U282" s="1582"/>
      <c r="V282" s="1582"/>
      <c r="W282" s="1582"/>
      <c r="X282" s="1582"/>
      <c r="Y282" s="1582"/>
      <c r="Z282" s="1582"/>
      <c r="AA282" s="1582"/>
      <c r="AB282" s="1582"/>
      <c r="AC282" s="1582"/>
      <c r="AD282" s="1582"/>
      <c r="AE282" s="1582"/>
      <c r="AF282" s="1582"/>
      <c r="AG282" s="1582"/>
      <c r="AH282" s="1582"/>
      <c r="AI282" s="1582"/>
      <c r="AJ282" s="1582"/>
      <c r="AK282" s="1582"/>
      <c r="AL282" s="1582"/>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971</v>
      </c>
      <c r="C284" s="2" t="s">
        <v>1201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1202</v>
      </c>
      <c r="C286" s="3"/>
      <c r="D286" s="3"/>
      <c r="E286" s="3"/>
      <c r="F286" s="3"/>
      <c r="H286" s="1540" t="s">
        <v>824</v>
      </c>
      <c r="I286" s="1307"/>
      <c r="J286" s="1307"/>
      <c r="K286" s="1307"/>
      <c r="L286" s="1307"/>
      <c r="M286" s="1307"/>
      <c r="N286" s="1307"/>
      <c r="O286" s="1307"/>
      <c r="P286" s="1307"/>
      <c r="Q286" s="1307"/>
      <c r="R286" s="1307"/>
      <c r="T286" s="3" t="s">
        <v>1203</v>
      </c>
      <c r="V286" s="3"/>
      <c r="W286" s="3"/>
      <c r="X286" s="3"/>
      <c r="Y286" s="3"/>
      <c r="AA286" s="1540" t="s">
        <v>1204</v>
      </c>
      <c r="AB286" s="1307"/>
      <c r="AC286" s="1307"/>
      <c r="AD286" s="1307"/>
      <c r="AE286" s="1307"/>
      <c r="AF286" s="1307"/>
      <c r="AG286" s="1307"/>
      <c r="AH286" s="1307"/>
      <c r="AI286" s="1307"/>
      <c r="AJ286" s="1307"/>
      <c r="AK286" s="1307"/>
      <c r="BN286" s="3"/>
    </row>
    <row r="287" spans="1:66" ht="12.95" customHeight="1">
      <c r="B287" s="3" t="s">
        <v>1205</v>
      </c>
      <c r="C287" s="3"/>
      <c r="D287" s="3"/>
      <c r="E287" s="3"/>
      <c r="F287" s="3"/>
      <c r="H287" s="1305" t="s">
        <v>1154</v>
      </c>
      <c r="I287" s="1326"/>
      <c r="J287" s="1326"/>
      <c r="K287" s="1326"/>
      <c r="L287" s="1326"/>
      <c r="M287" s="1326"/>
      <c r="N287" s="1326"/>
      <c r="O287" s="1326"/>
      <c r="P287" s="1326"/>
      <c r="Q287" s="1326"/>
      <c r="R287" s="1326"/>
      <c r="T287" s="3" t="s">
        <v>1205</v>
      </c>
      <c r="V287" s="3"/>
      <c r="W287" s="3"/>
      <c r="X287" s="3"/>
      <c r="Y287" s="3"/>
      <c r="AA287" s="1305" t="s">
        <v>1206</v>
      </c>
      <c r="AB287" s="1305"/>
      <c r="AC287" s="1305"/>
      <c r="AD287" s="1305"/>
      <c r="AE287" s="1305"/>
      <c r="AF287" s="1305"/>
      <c r="AG287" s="1305"/>
      <c r="AH287" s="1305"/>
      <c r="AI287" s="1305"/>
      <c r="AJ287" s="1305"/>
      <c r="AK287" s="1305"/>
      <c r="BN287" s="3"/>
    </row>
    <row r="288" spans="1:66" ht="12.95" customHeight="1">
      <c r="B288" s="3" t="s">
        <v>1207</v>
      </c>
      <c r="C288" s="3"/>
      <c r="D288" s="3"/>
      <c r="E288" s="3"/>
      <c r="F288" s="3"/>
      <c r="H288" s="1305" t="s">
        <v>1208</v>
      </c>
      <c r="I288" s="1326"/>
      <c r="J288" s="1326"/>
      <c r="K288" s="1326"/>
      <c r="L288" s="1326"/>
      <c r="M288" s="1326"/>
      <c r="N288" s="1326"/>
      <c r="O288" s="1326"/>
      <c r="P288" s="1326"/>
      <c r="Q288" s="1326"/>
      <c r="R288" s="1326"/>
      <c r="T288" s="3" t="s">
        <v>1209</v>
      </c>
      <c r="V288" s="3"/>
      <c r="W288" s="3"/>
      <c r="X288" s="3"/>
      <c r="Y288" s="3"/>
      <c r="AA288" s="1305" t="s">
        <v>1210</v>
      </c>
      <c r="AB288" s="1326"/>
      <c r="AC288" s="1326"/>
      <c r="AD288" s="1326"/>
      <c r="AE288" s="1326"/>
      <c r="AF288" s="1326"/>
      <c r="AG288" s="1326"/>
      <c r="AH288" s="1326"/>
      <c r="AI288" s="1326"/>
      <c r="AJ288" s="1326"/>
      <c r="AK288" s="1326"/>
      <c r="BN288" s="3"/>
    </row>
    <row r="289" spans="2:66" ht="12.95" customHeight="1">
      <c r="B289" s="3" t="s">
        <v>1158</v>
      </c>
      <c r="C289" s="3"/>
      <c r="D289" s="3"/>
      <c r="E289" s="3"/>
      <c r="F289" s="3"/>
      <c r="H289" s="1305" t="s">
        <v>914</v>
      </c>
      <c r="I289" s="1326"/>
      <c r="J289" s="1326"/>
      <c r="K289" s="1326"/>
      <c r="L289" s="1326"/>
      <c r="M289" s="1326"/>
      <c r="N289" s="1326"/>
      <c r="O289" s="1326"/>
      <c r="P289" s="1326"/>
      <c r="Q289" s="1326"/>
      <c r="R289" s="1326"/>
      <c r="T289" s="3" t="s">
        <v>1158</v>
      </c>
      <c r="V289" s="3"/>
      <c r="W289" s="3"/>
      <c r="X289" s="3"/>
      <c r="Y289" s="3"/>
      <c r="AA289" s="1305" t="s">
        <v>1211</v>
      </c>
      <c r="AB289" s="1326"/>
      <c r="AC289" s="1326"/>
      <c r="AD289" s="1326"/>
      <c r="AE289" s="1326"/>
      <c r="AF289" s="1326"/>
      <c r="AG289" s="1326"/>
      <c r="AH289" s="1326"/>
      <c r="AI289" s="1326"/>
      <c r="AJ289" s="1326"/>
      <c r="AK289" s="1326"/>
      <c r="BN289" s="3"/>
    </row>
    <row r="290" spans="2:66" ht="12.95" customHeight="1">
      <c r="B290" s="3" t="s">
        <v>1160</v>
      </c>
      <c r="C290" s="3"/>
      <c r="D290" s="3"/>
      <c r="E290" s="3"/>
      <c r="F290" s="3"/>
      <c r="G290" s="3"/>
      <c r="H290" s="1590" t="s">
        <v>1181</v>
      </c>
      <c r="I290" s="1590"/>
      <c r="J290" s="1590"/>
      <c r="K290" s="1590"/>
      <c r="L290" s="1590"/>
      <c r="M290" s="1590"/>
      <c r="N290" s="3" t="s">
        <v>1162</v>
      </c>
      <c r="O290" s="3"/>
      <c r="P290" s="1540"/>
      <c r="Q290" s="1540"/>
      <c r="R290" s="1540"/>
      <c r="S290" s="3"/>
      <c r="T290" s="3" t="s">
        <v>1160</v>
      </c>
      <c r="V290" s="3"/>
      <c r="W290" s="3"/>
      <c r="X290" s="3"/>
      <c r="Y290" s="3"/>
      <c r="AA290" s="1590" t="s">
        <v>1212</v>
      </c>
      <c r="AB290" s="1590"/>
      <c r="AC290" s="1590"/>
      <c r="AD290" s="1590"/>
      <c r="AE290" s="1590"/>
      <c r="AF290" s="1590"/>
      <c r="AG290" s="3" t="s">
        <v>1162</v>
      </c>
      <c r="AH290" s="3"/>
      <c r="AI290" s="1540">
        <v>1109</v>
      </c>
      <c r="AJ290" s="1540"/>
      <c r="AK290" s="1540"/>
      <c r="BN290" s="3"/>
    </row>
    <row r="291" spans="2:66" ht="12.95" customHeight="1">
      <c r="B291" s="3" t="s">
        <v>1163</v>
      </c>
      <c r="C291" s="3"/>
      <c r="D291" s="3"/>
      <c r="E291" s="3"/>
      <c r="F291" s="3"/>
      <c r="G291" s="3"/>
      <c r="H291" s="1322" t="s">
        <v>1213</v>
      </c>
      <c r="I291" s="1322"/>
      <c r="J291" s="1322"/>
      <c r="K291" s="1322"/>
      <c r="L291" s="1322"/>
      <c r="M291" s="1322"/>
      <c r="N291" s="3"/>
      <c r="O291" s="3"/>
      <c r="P291" s="85"/>
      <c r="Q291" s="85"/>
      <c r="R291" s="85"/>
      <c r="S291" s="3"/>
      <c r="T291" s="3" t="s">
        <v>1163</v>
      </c>
      <c r="V291" s="3"/>
      <c r="W291" s="3"/>
      <c r="X291" s="3"/>
      <c r="Y291" s="3"/>
      <c r="AA291" s="1322" t="s">
        <v>1214</v>
      </c>
      <c r="AB291" s="1322"/>
      <c r="AC291" s="1322"/>
      <c r="AD291" s="1322"/>
      <c r="AE291" s="1322"/>
      <c r="AF291" s="1322"/>
      <c r="AG291" s="3"/>
      <c r="AH291" s="3"/>
      <c r="AI291" s="85"/>
      <c r="AJ291" s="85"/>
      <c r="AK291" s="85"/>
      <c r="BN291" s="3"/>
    </row>
    <row r="292" spans="2:66" ht="12.95" customHeight="1">
      <c r="B292" s="3" t="s">
        <v>1215</v>
      </c>
      <c r="C292" s="3"/>
      <c r="D292" s="3"/>
      <c r="E292" s="3"/>
      <c r="F292" s="3"/>
      <c r="G292" s="3"/>
      <c r="H292" s="1305" t="s">
        <v>1185</v>
      </c>
      <c r="I292" s="1326"/>
      <c r="J292" s="1326"/>
      <c r="K292" s="1326"/>
      <c r="L292" s="1326"/>
      <c r="M292" s="1326"/>
      <c r="N292" s="1307"/>
      <c r="O292" s="1307"/>
      <c r="P292" s="1307"/>
      <c r="Q292" s="1307"/>
      <c r="R292" s="1307"/>
      <c r="S292" s="3"/>
      <c r="T292" s="3" t="s">
        <v>1215</v>
      </c>
      <c r="V292" s="3"/>
      <c r="W292" s="3"/>
      <c r="X292" s="3"/>
      <c r="Y292" s="3"/>
      <c r="AA292" s="1305" t="s">
        <v>1216</v>
      </c>
      <c r="AB292" s="1326"/>
      <c r="AC292" s="1326"/>
      <c r="AD292" s="1326"/>
      <c r="AE292" s="1326"/>
      <c r="AF292" s="1326"/>
      <c r="AG292" s="1307"/>
      <c r="AH292" s="1307"/>
      <c r="AI292" s="1307"/>
      <c r="AJ292" s="1307"/>
      <c r="AK292" s="1307"/>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1217</v>
      </c>
      <c r="C294" s="3"/>
      <c r="D294" s="3"/>
      <c r="E294" s="3"/>
      <c r="F294" s="3"/>
      <c r="H294" s="1307" t="s">
        <v>1218</v>
      </c>
      <c r="I294" s="1307"/>
      <c r="J294" s="1307"/>
      <c r="K294" s="1307"/>
      <c r="L294" s="1307"/>
      <c r="M294" s="1307"/>
      <c r="N294" s="1307"/>
      <c r="O294" s="1307"/>
      <c r="P294" s="1307"/>
      <c r="Q294" s="1307"/>
      <c r="R294" s="1307"/>
      <c r="T294" s="3" t="s">
        <v>1219</v>
      </c>
      <c r="V294" s="3"/>
      <c r="W294" s="3"/>
      <c r="X294" s="3"/>
      <c r="Y294" s="3"/>
      <c r="AA294" s="1307" t="s">
        <v>1220</v>
      </c>
      <c r="AB294" s="1307"/>
      <c r="AC294" s="1307"/>
      <c r="AD294" s="1307"/>
      <c r="AE294" s="1307"/>
      <c r="AF294" s="1307"/>
      <c r="AG294" s="1307"/>
      <c r="AH294" s="1307"/>
      <c r="AI294" s="1307"/>
      <c r="AJ294" s="1307"/>
      <c r="AK294" s="1307"/>
      <c r="BN294" s="3"/>
    </row>
    <row r="295" spans="2:66" ht="12.95" customHeight="1">
      <c r="B295" s="3" t="s">
        <v>1205</v>
      </c>
      <c r="C295" s="3"/>
      <c r="D295" s="3"/>
      <c r="E295" s="3"/>
      <c r="F295" s="3"/>
      <c r="H295" s="1326" t="s">
        <v>1221</v>
      </c>
      <c r="I295" s="1326"/>
      <c r="J295" s="1326"/>
      <c r="K295" s="1326"/>
      <c r="L295" s="1326"/>
      <c r="M295" s="1326"/>
      <c r="N295" s="1326"/>
      <c r="O295" s="1326"/>
      <c r="P295" s="1326"/>
      <c r="Q295" s="1326"/>
      <c r="R295" s="1326"/>
      <c r="T295" s="3" t="s">
        <v>1205</v>
      </c>
      <c r="V295" s="3"/>
      <c r="W295" s="3"/>
      <c r="X295" s="3"/>
      <c r="Y295" s="3"/>
      <c r="AA295" s="1326" t="s">
        <v>1222</v>
      </c>
      <c r="AB295" s="1326"/>
      <c r="AC295" s="1326"/>
      <c r="AD295" s="1326"/>
      <c r="AE295" s="1326"/>
      <c r="AF295" s="1326"/>
      <c r="AG295" s="1326"/>
      <c r="AH295" s="1326"/>
      <c r="AI295" s="1326"/>
      <c r="AJ295" s="1326"/>
      <c r="AK295" s="1326"/>
      <c r="BN295" s="3"/>
    </row>
    <row r="296" spans="2:66" ht="12.95" customHeight="1">
      <c r="B296" s="3" t="s">
        <v>1207</v>
      </c>
      <c r="C296" s="3"/>
      <c r="D296" s="3"/>
      <c r="E296" s="3"/>
      <c r="F296" s="3"/>
      <c r="H296" s="1326" t="s">
        <v>1223</v>
      </c>
      <c r="I296" s="1326"/>
      <c r="J296" s="1326"/>
      <c r="K296" s="1326"/>
      <c r="L296" s="1326"/>
      <c r="M296" s="1326"/>
      <c r="N296" s="1326"/>
      <c r="O296" s="1326"/>
      <c r="P296" s="1326"/>
      <c r="Q296" s="1326"/>
      <c r="R296" s="1326"/>
      <c r="T296" s="3" t="s">
        <v>1209</v>
      </c>
      <c r="V296" s="3"/>
      <c r="W296" s="3"/>
      <c r="X296" s="3"/>
      <c r="Y296" s="3"/>
      <c r="AA296" s="1326" t="s">
        <v>1224</v>
      </c>
      <c r="AB296" s="1326"/>
      <c r="AC296" s="1326"/>
      <c r="AD296" s="1326"/>
      <c r="AE296" s="1326"/>
      <c r="AF296" s="1326"/>
      <c r="AG296" s="1326"/>
      <c r="AH296" s="1326"/>
      <c r="AI296" s="1326"/>
      <c r="AJ296" s="1326"/>
      <c r="AK296" s="1326"/>
      <c r="BN296" s="3"/>
    </row>
    <row r="297" spans="2:66" ht="12.95" customHeight="1">
      <c r="B297" s="3" t="s">
        <v>1158</v>
      </c>
      <c r="C297" s="3"/>
      <c r="D297" s="3"/>
      <c r="E297" s="3"/>
      <c r="F297" s="3"/>
      <c r="H297" s="1326" t="s">
        <v>1225</v>
      </c>
      <c r="I297" s="1326"/>
      <c r="J297" s="1326"/>
      <c r="K297" s="1326"/>
      <c r="L297" s="1326"/>
      <c r="M297" s="1326"/>
      <c r="N297" s="1326"/>
      <c r="O297" s="1326"/>
      <c r="P297" s="1326"/>
      <c r="Q297" s="1326"/>
      <c r="R297" s="1326"/>
      <c r="T297" s="3" t="s">
        <v>1158</v>
      </c>
      <c r="V297" s="3"/>
      <c r="W297" s="3"/>
      <c r="X297" s="3"/>
      <c r="Y297" s="3"/>
      <c r="AA297" s="1326" t="s">
        <v>1226</v>
      </c>
      <c r="AB297" s="1326"/>
      <c r="AC297" s="1326"/>
      <c r="AD297" s="1326"/>
      <c r="AE297" s="1326"/>
      <c r="AF297" s="1326"/>
      <c r="AG297" s="1326"/>
      <c r="AH297" s="1326"/>
      <c r="AI297" s="1326"/>
      <c r="AJ297" s="1326"/>
      <c r="AK297" s="1326"/>
      <c r="BN297" s="3"/>
    </row>
    <row r="298" spans="2:66" ht="12.95" customHeight="1">
      <c r="B298" s="3" t="s">
        <v>1160</v>
      </c>
      <c r="C298" s="3"/>
      <c r="D298" s="3"/>
      <c r="E298" s="3"/>
      <c r="F298" s="3"/>
      <c r="G298" s="3"/>
      <c r="H298" s="1590" t="s">
        <v>1227</v>
      </c>
      <c r="I298" s="1590"/>
      <c r="J298" s="1590"/>
      <c r="K298" s="1590"/>
      <c r="L298" s="1590"/>
      <c r="M298" s="1590"/>
      <c r="N298" s="3" t="s">
        <v>1162</v>
      </c>
      <c r="O298" s="3"/>
      <c r="P298" s="1540">
        <v>5</v>
      </c>
      <c r="Q298" s="1540"/>
      <c r="R298" s="1540"/>
      <c r="S298" s="3"/>
      <c r="T298" s="3" t="s">
        <v>1160</v>
      </c>
      <c r="V298" s="3"/>
      <c r="W298" s="3"/>
      <c r="X298" s="3"/>
      <c r="Y298" s="3"/>
      <c r="AA298" s="1590" t="s">
        <v>1228</v>
      </c>
      <c r="AB298" s="1590"/>
      <c r="AC298" s="1590"/>
      <c r="AD298" s="1590"/>
      <c r="AE298" s="1590"/>
      <c r="AF298" s="1590"/>
      <c r="AG298" s="3" t="s">
        <v>1162</v>
      </c>
      <c r="AH298" s="3"/>
      <c r="AI298" s="1540"/>
      <c r="AJ298" s="1540"/>
      <c r="AK298" s="1540"/>
      <c r="BN298" s="3"/>
    </row>
    <row r="299" spans="2:66" ht="12.95" customHeight="1">
      <c r="B299" s="3" t="s">
        <v>1163</v>
      </c>
      <c r="C299" s="3"/>
      <c r="D299" s="3"/>
      <c r="E299" s="3"/>
      <c r="F299" s="3"/>
      <c r="G299" s="3"/>
      <c r="H299" s="1322"/>
      <c r="I299" s="1322"/>
      <c r="J299" s="1322"/>
      <c r="K299" s="1322"/>
      <c r="L299" s="1322"/>
      <c r="M299" s="1322"/>
      <c r="N299" s="3"/>
      <c r="O299" s="3"/>
      <c r="P299" s="85"/>
      <c r="Q299" s="85"/>
      <c r="R299" s="85"/>
      <c r="S299" s="3"/>
      <c r="T299" s="3" t="s">
        <v>1163</v>
      </c>
      <c r="V299" s="3"/>
      <c r="W299" s="3"/>
      <c r="X299" s="3"/>
      <c r="Y299" s="3"/>
      <c r="AA299" s="1322"/>
      <c r="AB299" s="1322"/>
      <c r="AC299" s="1322"/>
      <c r="AD299" s="1322"/>
      <c r="AE299" s="1322"/>
      <c r="AF299" s="1322"/>
      <c r="AG299" s="3"/>
      <c r="AH299" s="3"/>
      <c r="AI299" s="85"/>
      <c r="AJ299" s="85"/>
      <c r="AK299" s="85"/>
      <c r="BN299" s="3"/>
    </row>
    <row r="300" spans="2:66" ht="12.95" customHeight="1">
      <c r="B300" s="3" t="s">
        <v>1215</v>
      </c>
      <c r="C300" s="3"/>
      <c r="D300" s="3"/>
      <c r="E300" s="3"/>
      <c r="F300" s="3"/>
      <c r="G300" s="3"/>
      <c r="H300" s="1305" t="s">
        <v>1229</v>
      </c>
      <c r="I300" s="1326"/>
      <c r="J300" s="1326"/>
      <c r="K300" s="1326"/>
      <c r="L300" s="1326"/>
      <c r="M300" s="1326"/>
      <c r="N300" s="1307"/>
      <c r="O300" s="1307"/>
      <c r="P300" s="1307"/>
      <c r="Q300" s="1307"/>
      <c r="R300" s="1307"/>
      <c r="S300" s="3"/>
      <c r="T300" s="3" t="s">
        <v>1215</v>
      </c>
      <c r="V300" s="3"/>
      <c r="W300" s="3"/>
      <c r="X300" s="3"/>
      <c r="Y300" s="3"/>
      <c r="AA300" s="1326" t="s">
        <v>1230</v>
      </c>
      <c r="AB300" s="1326"/>
      <c r="AC300" s="1326"/>
      <c r="AD300" s="1326"/>
      <c r="AE300" s="1326"/>
      <c r="AF300" s="1326"/>
      <c r="AG300" s="1307"/>
      <c r="AH300" s="1307"/>
      <c r="AI300" s="1307"/>
      <c r="AJ300" s="1307"/>
      <c r="AK300" s="1307"/>
      <c r="BN300" s="3"/>
    </row>
    <row r="301" spans="2:66" ht="12.95" customHeight="1">
      <c r="BN301" s="3"/>
    </row>
    <row r="302" spans="2:66" ht="12.95" customHeight="1">
      <c r="B302" s="3" t="s">
        <v>1231</v>
      </c>
      <c r="C302" s="3"/>
      <c r="D302" s="3"/>
      <c r="E302" s="3"/>
      <c r="F302" s="3"/>
      <c r="H302" s="1540" t="s">
        <v>1232</v>
      </c>
      <c r="I302" s="1307"/>
      <c r="J302" s="1307"/>
      <c r="K302" s="1307"/>
      <c r="L302" s="1307"/>
      <c r="M302" s="1307"/>
      <c r="N302" s="1307"/>
      <c r="O302" s="1307"/>
      <c r="P302" s="1307"/>
      <c r="Q302" s="1307"/>
      <c r="R302" s="1307"/>
      <c r="T302" s="3" t="s">
        <v>1233</v>
      </c>
      <c r="V302" s="3"/>
      <c r="W302" s="3"/>
      <c r="X302" s="3"/>
      <c r="Y302" s="3"/>
      <c r="AA302" s="1307"/>
      <c r="AB302" s="1307"/>
      <c r="AC302" s="1307"/>
      <c r="AD302" s="1307"/>
      <c r="AE302" s="1307"/>
      <c r="AF302" s="1307"/>
      <c r="AG302" s="1307"/>
      <c r="AH302" s="1307"/>
      <c r="AI302" s="1307"/>
      <c r="AJ302" s="1307"/>
      <c r="AK302" s="1307"/>
      <c r="BN302" s="3"/>
    </row>
    <row r="303" spans="2:66" ht="12.95" customHeight="1">
      <c r="B303" s="3" t="s">
        <v>1205</v>
      </c>
      <c r="C303" s="3"/>
      <c r="D303" s="3"/>
      <c r="E303" s="3"/>
      <c r="F303" s="3"/>
      <c r="H303" s="1305" t="s">
        <v>1234</v>
      </c>
      <c r="I303" s="1326"/>
      <c r="J303" s="1326"/>
      <c r="K303" s="1326"/>
      <c r="L303" s="1326"/>
      <c r="M303" s="1326"/>
      <c r="N303" s="1326"/>
      <c r="O303" s="1326"/>
      <c r="P303" s="1326"/>
      <c r="Q303" s="1326"/>
      <c r="R303" s="1326"/>
      <c r="T303" s="3" t="s">
        <v>1205</v>
      </c>
      <c r="V303" s="3"/>
      <c r="W303" s="3"/>
      <c r="X303" s="3"/>
      <c r="Y303" s="3"/>
      <c r="AA303" s="1326"/>
      <c r="AB303" s="1326"/>
      <c r="AC303" s="1326"/>
      <c r="AD303" s="1326"/>
      <c r="AE303" s="1326"/>
      <c r="AF303" s="1326"/>
      <c r="AG303" s="1326"/>
      <c r="AH303" s="1326"/>
      <c r="AI303" s="1326"/>
      <c r="AJ303" s="1326"/>
      <c r="AK303" s="1326"/>
      <c r="BN303" s="3"/>
    </row>
    <row r="304" spans="2:66" ht="12.95" customHeight="1">
      <c r="B304" s="3" t="s">
        <v>1207</v>
      </c>
      <c r="C304" s="3"/>
      <c r="D304" s="3"/>
      <c r="E304" s="3"/>
      <c r="F304" s="3"/>
      <c r="H304" s="1305" t="s">
        <v>1235</v>
      </c>
      <c r="I304" s="1326"/>
      <c r="J304" s="1326"/>
      <c r="K304" s="1326"/>
      <c r="L304" s="1326"/>
      <c r="M304" s="1326"/>
      <c r="N304" s="1326"/>
      <c r="O304" s="1326"/>
      <c r="P304" s="1326"/>
      <c r="Q304" s="1326"/>
      <c r="R304" s="1326"/>
      <c r="T304" s="3" t="s">
        <v>1209</v>
      </c>
      <c r="V304" s="3"/>
      <c r="W304" s="3"/>
      <c r="X304" s="3"/>
      <c r="Y304" s="3"/>
      <c r="AA304" s="1326"/>
      <c r="AB304" s="1326"/>
      <c r="AC304" s="1326"/>
      <c r="AD304" s="1326"/>
      <c r="AE304" s="1326"/>
      <c r="AF304" s="1326"/>
      <c r="AG304" s="1326"/>
      <c r="AH304" s="1326"/>
      <c r="AI304" s="1326"/>
      <c r="AJ304" s="1326"/>
      <c r="AK304" s="1326"/>
      <c r="BN304" s="3"/>
    </row>
    <row r="305" spans="2:66" ht="12.95" customHeight="1">
      <c r="B305" s="3" t="s">
        <v>1158</v>
      </c>
      <c r="C305" s="3"/>
      <c r="D305" s="3"/>
      <c r="E305" s="3"/>
      <c r="F305" s="3"/>
      <c r="H305" s="1305" t="s">
        <v>1236</v>
      </c>
      <c r="I305" s="1326"/>
      <c r="J305" s="1326"/>
      <c r="K305" s="1326"/>
      <c r="L305" s="1326"/>
      <c r="M305" s="1326"/>
      <c r="N305" s="1326"/>
      <c r="O305" s="1326"/>
      <c r="P305" s="1326"/>
      <c r="Q305" s="1326"/>
      <c r="R305" s="1326"/>
      <c r="T305" s="3" t="s">
        <v>1158</v>
      </c>
      <c r="V305" s="3"/>
      <c r="W305" s="3"/>
      <c r="X305" s="3"/>
      <c r="Y305" s="3"/>
      <c r="AA305" s="1326"/>
      <c r="AB305" s="1326"/>
      <c r="AC305" s="1326"/>
      <c r="AD305" s="1326"/>
      <c r="AE305" s="1326"/>
      <c r="AF305" s="1326"/>
      <c r="AG305" s="1326"/>
      <c r="AH305" s="1326"/>
      <c r="AI305" s="1326"/>
      <c r="AJ305" s="1326"/>
      <c r="AK305" s="1326"/>
      <c r="BN305" s="3"/>
    </row>
    <row r="306" spans="2:66" ht="12.95" customHeight="1">
      <c r="B306" s="3" t="s">
        <v>1160</v>
      </c>
      <c r="C306" s="3"/>
      <c r="D306" s="3"/>
      <c r="E306" s="3"/>
      <c r="F306" s="3"/>
      <c r="G306" s="3"/>
      <c r="H306" s="1590" t="s">
        <v>1237</v>
      </c>
      <c r="I306" s="1590"/>
      <c r="J306" s="1590"/>
      <c r="K306" s="1590"/>
      <c r="L306" s="1590"/>
      <c r="M306" s="1590"/>
      <c r="N306" s="3" t="s">
        <v>1162</v>
      </c>
      <c r="O306" s="3"/>
      <c r="P306" s="1540"/>
      <c r="Q306" s="1540"/>
      <c r="R306" s="1540"/>
      <c r="S306" s="3"/>
      <c r="T306" s="3" t="s">
        <v>1160</v>
      </c>
      <c r="V306" s="3"/>
      <c r="W306" s="3"/>
      <c r="X306" s="3"/>
      <c r="Y306" s="3"/>
      <c r="AA306" s="1590"/>
      <c r="AB306" s="1590"/>
      <c r="AC306" s="1590"/>
      <c r="AD306" s="1590"/>
      <c r="AE306" s="1590"/>
      <c r="AF306" s="1590"/>
      <c r="AG306" s="3" t="s">
        <v>1162</v>
      </c>
      <c r="AH306" s="3"/>
      <c r="AI306" s="1540"/>
      <c r="AJ306" s="1540"/>
      <c r="AK306" s="1540"/>
      <c r="BN306" s="3"/>
    </row>
    <row r="307" spans="2:66" ht="12.95" customHeight="1">
      <c r="B307" s="3" t="s">
        <v>1163</v>
      </c>
      <c r="C307" s="3"/>
      <c r="D307" s="3"/>
      <c r="E307" s="3"/>
      <c r="F307" s="3"/>
      <c r="G307" s="3"/>
      <c r="H307" s="1322"/>
      <c r="I307" s="1322"/>
      <c r="J307" s="1322"/>
      <c r="K307" s="1322"/>
      <c r="L307" s="1322"/>
      <c r="M307" s="1322"/>
      <c r="N307" s="3"/>
      <c r="O307" s="3"/>
      <c r="P307" s="85"/>
      <c r="Q307" s="85"/>
      <c r="R307" s="85"/>
      <c r="S307" s="3"/>
      <c r="T307" s="3" t="s">
        <v>1163</v>
      </c>
      <c r="V307" s="3"/>
      <c r="W307" s="3"/>
      <c r="X307" s="3"/>
      <c r="Y307" s="3"/>
      <c r="AA307" s="1322"/>
      <c r="AB307" s="1322"/>
      <c r="AC307" s="1322"/>
      <c r="AD307" s="1322"/>
      <c r="AE307" s="1322"/>
      <c r="AF307" s="1322"/>
      <c r="AG307" s="3"/>
      <c r="AH307" s="3"/>
      <c r="AI307" s="85"/>
      <c r="AJ307" s="85"/>
      <c r="AK307" s="85"/>
      <c r="BN307" s="3"/>
    </row>
    <row r="308" spans="2:66" ht="12.95" customHeight="1">
      <c r="B308" s="3" t="s">
        <v>1215</v>
      </c>
      <c r="C308" s="3"/>
      <c r="D308" s="3"/>
      <c r="E308" s="3"/>
      <c r="F308" s="3"/>
      <c r="G308" s="3"/>
      <c r="H308" s="1305" t="s">
        <v>1238</v>
      </c>
      <c r="I308" s="1326"/>
      <c r="J308" s="1326"/>
      <c r="K308" s="1326"/>
      <c r="L308" s="1326"/>
      <c r="M308" s="1326"/>
      <c r="N308" s="1307"/>
      <c r="O308" s="1307"/>
      <c r="P308" s="1307"/>
      <c r="Q308" s="1307"/>
      <c r="R308" s="1307"/>
      <c r="S308" s="3"/>
      <c r="T308" s="3" t="s">
        <v>1215</v>
      </c>
      <c r="V308" s="3"/>
      <c r="W308" s="3"/>
      <c r="X308" s="3"/>
      <c r="Y308" s="3"/>
      <c r="AA308" s="1326"/>
      <c r="AB308" s="1326"/>
      <c r="AC308" s="1326"/>
      <c r="AD308" s="1326"/>
      <c r="AE308" s="1326"/>
      <c r="AF308" s="1326"/>
      <c r="AG308" s="1307"/>
      <c r="AH308" s="1307"/>
      <c r="AI308" s="1307"/>
      <c r="AJ308" s="1307"/>
      <c r="AK308" s="1307"/>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1239</v>
      </c>
      <c r="C310" s="3"/>
      <c r="D310" s="3"/>
      <c r="E310" s="3"/>
      <c r="F310" s="3"/>
      <c r="H310" s="1540" t="s">
        <v>1232</v>
      </c>
      <c r="I310" s="1307"/>
      <c r="J310" s="1307"/>
      <c r="K310" s="1307"/>
      <c r="L310" s="1307"/>
      <c r="M310" s="1307"/>
      <c r="N310" s="1307"/>
      <c r="O310" s="1307"/>
      <c r="P310" s="1307"/>
      <c r="Q310" s="1307"/>
      <c r="R310" s="1307"/>
      <c r="S310" s="3"/>
      <c r="T310" s="3" t="s">
        <v>1240</v>
      </c>
      <c r="V310" s="3"/>
      <c r="W310" s="3"/>
      <c r="X310" s="3"/>
      <c r="Y310" s="3"/>
      <c r="AA310" s="1307"/>
      <c r="AB310" s="1307"/>
      <c r="AC310" s="1307"/>
      <c r="AD310" s="1307"/>
      <c r="AE310" s="1307"/>
      <c r="AF310" s="1307"/>
      <c r="AG310" s="1307"/>
      <c r="AH310" s="1307"/>
      <c r="AI310" s="1307"/>
      <c r="AJ310" s="1307"/>
      <c r="AK310" s="1307"/>
      <c r="BN310" s="3"/>
    </row>
    <row r="311" spans="2:66" ht="12.95" customHeight="1">
      <c r="B311" s="3" t="s">
        <v>1205</v>
      </c>
      <c r="C311" s="3"/>
      <c r="D311" s="3"/>
      <c r="E311" s="3"/>
      <c r="F311" s="3"/>
      <c r="H311" s="1305" t="s">
        <v>1234</v>
      </c>
      <c r="I311" s="1326"/>
      <c r="J311" s="1326"/>
      <c r="K311" s="1326"/>
      <c r="L311" s="1326"/>
      <c r="M311" s="1326"/>
      <c r="N311" s="1326"/>
      <c r="O311" s="1326"/>
      <c r="P311" s="1326"/>
      <c r="Q311" s="1326"/>
      <c r="R311" s="1326"/>
      <c r="S311" s="3"/>
      <c r="T311" s="3" t="s">
        <v>1205</v>
      </c>
      <c r="V311" s="3"/>
      <c r="W311" s="3"/>
      <c r="X311" s="3"/>
      <c r="Y311" s="3"/>
      <c r="AA311" s="1326"/>
      <c r="AB311" s="1326"/>
      <c r="AC311" s="1326"/>
      <c r="AD311" s="1326"/>
      <c r="AE311" s="1326"/>
      <c r="AF311" s="1326"/>
      <c r="AG311" s="1326"/>
      <c r="AH311" s="1326"/>
      <c r="AI311" s="1326"/>
      <c r="AJ311" s="1326"/>
      <c r="AK311" s="1326"/>
      <c r="BN311" s="3"/>
    </row>
    <row r="312" spans="2:66" ht="12.95" customHeight="1">
      <c r="B312" s="3" t="s">
        <v>1207</v>
      </c>
      <c r="C312" s="3"/>
      <c r="D312" s="3"/>
      <c r="E312" s="3"/>
      <c r="F312" s="3"/>
      <c r="H312" s="1305" t="s">
        <v>1235</v>
      </c>
      <c r="I312" s="1326"/>
      <c r="J312" s="1326"/>
      <c r="K312" s="1326"/>
      <c r="L312" s="1326"/>
      <c r="M312" s="1326"/>
      <c r="N312" s="1326"/>
      <c r="O312" s="1326"/>
      <c r="P312" s="1326"/>
      <c r="Q312" s="1326"/>
      <c r="R312" s="1326"/>
      <c r="S312" s="3"/>
      <c r="T312" s="3" t="s">
        <v>1209</v>
      </c>
      <c r="V312" s="3"/>
      <c r="W312" s="3"/>
      <c r="X312" s="3"/>
      <c r="Y312" s="3"/>
      <c r="AA312" s="1326"/>
      <c r="AB312" s="1326"/>
      <c r="AC312" s="1326"/>
      <c r="AD312" s="1326"/>
      <c r="AE312" s="1326"/>
      <c r="AF312" s="1326"/>
      <c r="AG312" s="1326"/>
      <c r="AH312" s="1326"/>
      <c r="AI312" s="1326"/>
      <c r="AJ312" s="1326"/>
      <c r="AK312" s="1326"/>
      <c r="BN312" s="3"/>
    </row>
    <row r="313" spans="2:66" ht="12.95" customHeight="1">
      <c r="B313" s="3" t="s">
        <v>1158</v>
      </c>
      <c r="C313" s="3"/>
      <c r="D313" s="3"/>
      <c r="E313" s="3"/>
      <c r="F313" s="3"/>
      <c r="H313" s="1305" t="s">
        <v>1236</v>
      </c>
      <c r="I313" s="1326"/>
      <c r="J313" s="1326"/>
      <c r="K313" s="1326"/>
      <c r="L313" s="1326"/>
      <c r="M313" s="1326"/>
      <c r="N313" s="1326"/>
      <c r="O313" s="1326"/>
      <c r="P313" s="1326"/>
      <c r="Q313" s="1326"/>
      <c r="R313" s="1326"/>
      <c r="S313" s="3"/>
      <c r="T313" s="3" t="s">
        <v>1158</v>
      </c>
      <c r="V313" s="3"/>
      <c r="W313" s="3"/>
      <c r="X313" s="3"/>
      <c r="Y313" s="3"/>
      <c r="AA313" s="1326"/>
      <c r="AB313" s="1326"/>
      <c r="AC313" s="1326"/>
      <c r="AD313" s="1326"/>
      <c r="AE313" s="1326"/>
      <c r="AF313" s="1326"/>
      <c r="AG313" s="1326"/>
      <c r="AH313" s="1326"/>
      <c r="AI313" s="1326"/>
      <c r="AJ313" s="1326"/>
      <c r="AK313" s="1326"/>
      <c r="BN313" s="3"/>
    </row>
    <row r="314" spans="2:66" ht="12.95" customHeight="1">
      <c r="B314" s="3" t="s">
        <v>1160</v>
      </c>
      <c r="C314" s="3"/>
      <c r="D314" s="3"/>
      <c r="E314" s="3"/>
      <c r="F314" s="3"/>
      <c r="G314" s="3"/>
      <c r="H314" s="1590" t="s">
        <v>1237</v>
      </c>
      <c r="I314" s="1590"/>
      <c r="J314" s="1590"/>
      <c r="K314" s="1590"/>
      <c r="L314" s="1590"/>
      <c r="M314" s="1590"/>
      <c r="N314" s="3" t="s">
        <v>1162</v>
      </c>
      <c r="O314" s="3"/>
      <c r="P314" s="1540"/>
      <c r="Q314" s="1540"/>
      <c r="R314" s="1540"/>
      <c r="S314" s="3"/>
      <c r="T314" s="3" t="s">
        <v>1160</v>
      </c>
      <c r="V314" s="3"/>
      <c r="W314" s="3"/>
      <c r="X314" s="3"/>
      <c r="Y314" s="3"/>
      <c r="AA314" s="1590"/>
      <c r="AB314" s="1590"/>
      <c r="AC314" s="1590"/>
      <c r="AD314" s="1590"/>
      <c r="AE314" s="1590"/>
      <c r="AF314" s="1590"/>
      <c r="AG314" s="3" t="s">
        <v>1162</v>
      </c>
      <c r="AH314" s="3"/>
      <c r="AI314" s="1540"/>
      <c r="AJ314" s="1540"/>
      <c r="AK314" s="1540"/>
      <c r="BN314" s="3"/>
    </row>
    <row r="315" spans="2:66" ht="12.95" customHeight="1">
      <c r="B315" s="3" t="s">
        <v>1163</v>
      </c>
      <c r="C315" s="3"/>
      <c r="D315" s="3"/>
      <c r="E315" s="3"/>
      <c r="F315" s="3"/>
      <c r="G315" s="3"/>
      <c r="H315" s="1322"/>
      <c r="I315" s="1322"/>
      <c r="J315" s="1322"/>
      <c r="K315" s="1322"/>
      <c r="L315" s="1322"/>
      <c r="M315" s="1322"/>
      <c r="N315" s="3"/>
      <c r="O315" s="3"/>
      <c r="P315" s="85"/>
      <c r="Q315" s="85"/>
      <c r="R315" s="85"/>
      <c r="S315" s="3"/>
      <c r="T315" s="3" t="s">
        <v>1163</v>
      </c>
      <c r="V315" s="3"/>
      <c r="W315" s="3"/>
      <c r="X315" s="3"/>
      <c r="Y315" s="3"/>
      <c r="AA315" s="1322"/>
      <c r="AB315" s="1322"/>
      <c r="AC315" s="1322"/>
      <c r="AD315" s="1322"/>
      <c r="AE315" s="1322"/>
      <c r="AF315" s="1322"/>
      <c r="AG315" s="3"/>
      <c r="AH315" s="3"/>
      <c r="AI315" s="85"/>
      <c r="AJ315" s="85"/>
      <c r="AK315" s="85"/>
      <c r="BN315" s="3"/>
    </row>
    <row r="316" spans="2:66" ht="12.95" customHeight="1">
      <c r="B316" s="3" t="s">
        <v>1215</v>
      </c>
      <c r="C316" s="3"/>
      <c r="D316" s="3"/>
      <c r="E316" s="3"/>
      <c r="F316" s="3"/>
      <c r="G316" s="3"/>
      <c r="H316" s="1305" t="s">
        <v>1238</v>
      </c>
      <c r="I316" s="1326"/>
      <c r="J316" s="1326"/>
      <c r="K316" s="1326"/>
      <c r="L316" s="1326"/>
      <c r="M316" s="1326"/>
      <c r="N316" s="1307"/>
      <c r="O316" s="1307"/>
      <c r="P316" s="1307"/>
      <c r="Q316" s="1307"/>
      <c r="R316" s="1307"/>
      <c r="S316" s="3"/>
      <c r="T316" s="3" t="s">
        <v>1215</v>
      </c>
      <c r="V316" s="3"/>
      <c r="W316" s="3"/>
      <c r="X316" s="3"/>
      <c r="Y316" s="3"/>
      <c r="AA316" s="1326"/>
      <c r="AB316" s="1326"/>
      <c r="AC316" s="1326"/>
      <c r="AD316" s="1326"/>
      <c r="AE316" s="1326"/>
      <c r="AF316" s="1326"/>
      <c r="AG316" s="1307"/>
      <c r="AH316" s="1307"/>
      <c r="AI316" s="1307"/>
      <c r="AJ316" s="1307"/>
      <c r="AK316" s="1307"/>
      <c r="BN316" s="3"/>
    </row>
    <row r="317" spans="2:66" ht="12.95" customHeight="1">
      <c r="BN317" s="3"/>
    </row>
    <row r="318" spans="2:66" ht="12.95" customHeight="1">
      <c r="B318" s="3" t="s">
        <v>1241</v>
      </c>
      <c r="C318" s="3"/>
      <c r="D318" s="3"/>
      <c r="E318" s="3"/>
      <c r="F318" s="3"/>
      <c r="H318" s="1540" t="s">
        <v>1242</v>
      </c>
      <c r="I318" s="1307"/>
      <c r="J318" s="1307"/>
      <c r="K318" s="1307"/>
      <c r="L318" s="1307"/>
      <c r="M318" s="1307"/>
      <c r="N318" s="1307"/>
      <c r="O318" s="1307"/>
      <c r="P318" s="1307"/>
      <c r="Q318" s="1307"/>
      <c r="R318" s="1307"/>
      <c r="T318" s="3" t="s">
        <v>1243</v>
      </c>
      <c r="V318" s="3"/>
      <c r="W318" s="3"/>
      <c r="X318" s="3"/>
      <c r="Y318" s="3"/>
      <c r="AA318" s="1540" t="s">
        <v>1244</v>
      </c>
      <c r="AB318" s="1307"/>
      <c r="AC318" s="1307"/>
      <c r="AD318" s="1307"/>
      <c r="AE318" s="1307"/>
      <c r="AF318" s="1307"/>
      <c r="AG318" s="1307"/>
      <c r="AH318" s="1307"/>
      <c r="AI318" s="1307"/>
      <c r="AJ318" s="1307"/>
      <c r="AK318" s="1307"/>
      <c r="BN318" s="3"/>
    </row>
    <row r="319" spans="2:66" ht="12.95" customHeight="1">
      <c r="B319" s="3" t="s">
        <v>1205</v>
      </c>
      <c r="C319" s="3"/>
      <c r="D319" s="3"/>
      <c r="E319" s="3"/>
      <c r="F319" s="3"/>
      <c r="H319" s="1305" t="s">
        <v>1245</v>
      </c>
      <c r="I319" s="1326"/>
      <c r="J319" s="1326"/>
      <c r="K319" s="1326"/>
      <c r="L319" s="1326"/>
      <c r="M319" s="1326"/>
      <c r="N319" s="1326"/>
      <c r="O319" s="1326"/>
      <c r="P319" s="1326"/>
      <c r="Q319" s="1326"/>
      <c r="R319" s="1326"/>
      <c r="T319" s="3" t="s">
        <v>1205</v>
      </c>
      <c r="V319" s="3"/>
      <c r="W319" s="3"/>
      <c r="X319" s="3"/>
      <c r="Y319" s="3"/>
      <c r="AA319" s="1305" t="s">
        <v>1246</v>
      </c>
      <c r="AB319" s="1326"/>
      <c r="AC319" s="1326"/>
      <c r="AD319" s="1326"/>
      <c r="AE319" s="1326"/>
      <c r="AF319" s="1326"/>
      <c r="AG319" s="1326"/>
      <c r="AH319" s="1326"/>
      <c r="AI319" s="1326"/>
      <c r="AJ319" s="1326"/>
      <c r="AK319" s="1326"/>
      <c r="BN319" s="3"/>
    </row>
    <row r="320" spans="2:66" ht="12.95" customHeight="1">
      <c r="B320" s="3" t="s">
        <v>1207</v>
      </c>
      <c r="C320" s="3"/>
      <c r="D320" s="3"/>
      <c r="E320" s="3"/>
      <c r="F320" s="3"/>
      <c r="H320" s="1305" t="s">
        <v>1223</v>
      </c>
      <c r="I320" s="1326"/>
      <c r="J320" s="1326"/>
      <c r="K320" s="1326"/>
      <c r="L320" s="1326"/>
      <c r="M320" s="1326"/>
      <c r="N320" s="1326"/>
      <c r="O320" s="1326"/>
      <c r="P320" s="1326"/>
      <c r="Q320" s="1326"/>
      <c r="R320" s="1326"/>
      <c r="T320" s="3" t="s">
        <v>1209</v>
      </c>
      <c r="V320" s="3"/>
      <c r="W320" s="3"/>
      <c r="X320" s="3"/>
      <c r="Y320" s="3"/>
      <c r="AA320" s="1305" t="s">
        <v>1247</v>
      </c>
      <c r="AB320" s="1326"/>
      <c r="AC320" s="1326"/>
      <c r="AD320" s="1326"/>
      <c r="AE320" s="1326"/>
      <c r="AF320" s="1326"/>
      <c r="AG320" s="1326"/>
      <c r="AH320" s="1326"/>
      <c r="AI320" s="1326"/>
      <c r="AJ320" s="1326"/>
      <c r="AK320" s="1326"/>
      <c r="BN320" s="3"/>
    </row>
    <row r="321" spans="2:66" ht="12.95" customHeight="1">
      <c r="B321" s="3" t="s">
        <v>1158</v>
      </c>
      <c r="C321" s="3"/>
      <c r="D321" s="3"/>
      <c r="E321" s="3"/>
      <c r="F321" s="3"/>
      <c r="H321" s="1305" t="s">
        <v>1248</v>
      </c>
      <c r="I321" s="1326"/>
      <c r="J321" s="1326"/>
      <c r="K321" s="1326"/>
      <c r="L321" s="1326"/>
      <c r="M321" s="1326"/>
      <c r="N321" s="1326"/>
      <c r="O321" s="1326"/>
      <c r="P321" s="1326"/>
      <c r="Q321" s="1326"/>
      <c r="R321" s="1326"/>
      <c r="T321" s="3" t="s">
        <v>1158</v>
      </c>
      <c r="V321" s="3"/>
      <c r="W321" s="3"/>
      <c r="X321" s="3"/>
      <c r="Y321" s="3"/>
      <c r="AA321" s="1305" t="s">
        <v>1249</v>
      </c>
      <c r="AB321" s="1326"/>
      <c r="AC321" s="1326"/>
      <c r="AD321" s="1326"/>
      <c r="AE321" s="1326"/>
      <c r="AF321" s="1326"/>
      <c r="AG321" s="1326"/>
      <c r="AH321" s="1326"/>
      <c r="AI321" s="1326"/>
      <c r="AJ321" s="1326"/>
      <c r="AK321" s="1326"/>
      <c r="BN321" s="3"/>
    </row>
    <row r="322" spans="2:66" ht="12.95" customHeight="1">
      <c r="B322" s="3" t="s">
        <v>1160</v>
      </c>
      <c r="C322" s="3"/>
      <c r="D322" s="3"/>
      <c r="E322" s="3"/>
      <c r="F322" s="3"/>
      <c r="G322" s="3"/>
      <c r="H322" s="1590" t="s">
        <v>1250</v>
      </c>
      <c r="I322" s="1590"/>
      <c r="J322" s="1590"/>
      <c r="K322" s="1590"/>
      <c r="L322" s="1590"/>
      <c r="M322" s="1590"/>
      <c r="N322" s="3" t="s">
        <v>1162</v>
      </c>
      <c r="O322" s="3"/>
      <c r="P322" s="1540">
        <v>323</v>
      </c>
      <c r="Q322" s="1540"/>
      <c r="R322" s="1540"/>
      <c r="S322" s="3"/>
      <c r="T322" s="3" t="s">
        <v>1160</v>
      </c>
      <c r="V322" s="3"/>
      <c r="W322" s="3"/>
      <c r="X322" s="3"/>
      <c r="Y322" s="3"/>
      <c r="AA322" s="1590" t="s">
        <v>1251</v>
      </c>
      <c r="AB322" s="1590"/>
      <c r="AC322" s="1590"/>
      <c r="AD322" s="1590"/>
      <c r="AE322" s="1590"/>
      <c r="AF322" s="1590"/>
      <c r="AG322" s="3" t="s">
        <v>1162</v>
      </c>
      <c r="AH322" s="3"/>
      <c r="AI322" s="1540"/>
      <c r="AJ322" s="1540"/>
      <c r="AK322" s="1540"/>
      <c r="BN322" s="3"/>
    </row>
    <row r="323" spans="2:66" ht="12.95" customHeight="1">
      <c r="B323" s="3" t="s">
        <v>1163</v>
      </c>
      <c r="C323" s="3"/>
      <c r="D323" s="3"/>
      <c r="E323" s="3"/>
      <c r="F323" s="3"/>
      <c r="G323" s="3"/>
      <c r="H323" s="1322"/>
      <c r="I323" s="1322"/>
      <c r="J323" s="1322"/>
      <c r="K323" s="1322"/>
      <c r="L323" s="1322"/>
      <c r="M323" s="1322"/>
      <c r="N323" s="3"/>
      <c r="O323" s="3"/>
      <c r="P323" s="85"/>
      <c r="Q323" s="85"/>
      <c r="R323" s="85"/>
      <c r="S323" s="3"/>
      <c r="T323" s="3" t="s">
        <v>1163</v>
      </c>
      <c r="V323" s="3"/>
      <c r="W323" s="3"/>
      <c r="X323" s="3"/>
      <c r="Y323" s="3"/>
      <c r="AA323" s="1322"/>
      <c r="AB323" s="1322"/>
      <c r="AC323" s="1322"/>
      <c r="AD323" s="1322"/>
      <c r="AE323" s="1322"/>
      <c r="AF323" s="1322"/>
      <c r="AG323" s="3"/>
      <c r="AH323" s="3"/>
      <c r="AI323" s="85"/>
      <c r="AJ323" s="85"/>
      <c r="AK323" s="85"/>
    </row>
    <row r="324" spans="2:66" ht="12.95" customHeight="1">
      <c r="B324" s="3" t="s">
        <v>1215</v>
      </c>
      <c r="C324" s="3"/>
      <c r="D324" s="3"/>
      <c r="E324" s="3"/>
      <c r="F324" s="3"/>
      <c r="G324" s="3"/>
      <c r="H324" s="1305" t="s">
        <v>1252</v>
      </c>
      <c r="I324" s="1326"/>
      <c r="J324" s="1326"/>
      <c r="K324" s="1326"/>
      <c r="L324" s="1326"/>
      <c r="M324" s="1326"/>
      <c r="N324" s="1307"/>
      <c r="O324" s="1307"/>
      <c r="P324" s="1307"/>
      <c r="Q324" s="1307"/>
      <c r="R324" s="1307"/>
      <c r="S324" s="3"/>
      <c r="T324" s="3" t="s">
        <v>1215</v>
      </c>
      <c r="V324" s="3"/>
      <c r="W324" s="3"/>
      <c r="X324" s="3"/>
      <c r="Y324" s="3"/>
      <c r="AA324" s="1686" t="s">
        <v>1253</v>
      </c>
      <c r="AB324" s="1326"/>
      <c r="AC324" s="1326"/>
      <c r="AD324" s="1326"/>
      <c r="AE324" s="1326"/>
      <c r="AF324" s="1326"/>
      <c r="AG324" s="1307"/>
      <c r="AH324" s="1307"/>
      <c r="AI324" s="1307"/>
      <c r="AJ324" s="1307"/>
      <c r="AK324" s="1307"/>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1254</v>
      </c>
      <c r="C326" s="3"/>
      <c r="D326" s="3"/>
      <c r="E326" s="3"/>
      <c r="F326" s="3"/>
      <c r="H326" s="1540" t="s">
        <v>1244</v>
      </c>
      <c r="I326" s="1307"/>
      <c r="J326" s="1307"/>
      <c r="K326" s="1307"/>
      <c r="L326" s="1307"/>
      <c r="M326" s="1307"/>
      <c r="N326" s="1307"/>
      <c r="O326" s="1307"/>
      <c r="P326" s="1307"/>
      <c r="Q326" s="1307"/>
      <c r="R326" s="1307"/>
      <c r="T326" s="3" t="s">
        <v>1255</v>
      </c>
      <c r="V326" s="3"/>
      <c r="W326" s="3"/>
      <c r="X326" s="3"/>
      <c r="Y326" s="3"/>
      <c r="AA326" s="1307"/>
      <c r="AB326" s="1307"/>
      <c r="AC326" s="1307"/>
      <c r="AD326" s="1307"/>
      <c r="AE326" s="1307"/>
      <c r="AF326" s="1307"/>
      <c r="AG326" s="1307"/>
      <c r="AH326" s="1307"/>
      <c r="AI326" s="1307"/>
      <c r="AJ326" s="1307"/>
      <c r="AK326" s="1307"/>
    </row>
    <row r="327" spans="2:66" ht="12.95" customHeight="1">
      <c r="B327" s="3" t="s">
        <v>1205</v>
      </c>
      <c r="C327" s="3"/>
      <c r="D327" s="3"/>
      <c r="E327" s="3"/>
      <c r="F327" s="3"/>
      <c r="H327" s="1305" t="s">
        <v>1246</v>
      </c>
      <c r="I327" s="1326"/>
      <c r="J327" s="1326"/>
      <c r="K327" s="1326"/>
      <c r="L327" s="1326"/>
      <c r="M327" s="1326"/>
      <c r="N327" s="1326"/>
      <c r="O327" s="1326"/>
      <c r="P327" s="1326"/>
      <c r="Q327" s="1326"/>
      <c r="R327" s="1326"/>
      <c r="T327" s="3" t="s">
        <v>1205</v>
      </c>
      <c r="V327" s="3"/>
      <c r="W327" s="3"/>
      <c r="X327" s="3"/>
      <c r="Y327" s="3"/>
      <c r="AA327" s="1326"/>
      <c r="AB327" s="1326"/>
      <c r="AC327" s="1326"/>
      <c r="AD327" s="1326"/>
      <c r="AE327" s="1326"/>
      <c r="AF327" s="1326"/>
      <c r="AG327" s="1326"/>
      <c r="AH327" s="1326"/>
      <c r="AI327" s="1326"/>
      <c r="AJ327" s="1326"/>
      <c r="AK327" s="1326"/>
    </row>
    <row r="328" spans="2:66" ht="12.95" customHeight="1">
      <c r="B328" s="3" t="s">
        <v>1207</v>
      </c>
      <c r="C328" s="3"/>
      <c r="D328" s="3"/>
      <c r="E328" s="3"/>
      <c r="F328" s="3"/>
      <c r="H328" s="1305" t="s">
        <v>1247</v>
      </c>
      <c r="I328" s="1326"/>
      <c r="J328" s="1326"/>
      <c r="K328" s="1326"/>
      <c r="L328" s="1326"/>
      <c r="M328" s="1326"/>
      <c r="N328" s="1326"/>
      <c r="O328" s="1326"/>
      <c r="P328" s="1326"/>
      <c r="Q328" s="1326"/>
      <c r="R328" s="1326"/>
      <c r="T328" s="3" t="s">
        <v>1209</v>
      </c>
      <c r="V328" s="3"/>
      <c r="W328" s="3"/>
      <c r="X328" s="3"/>
      <c r="Y328" s="3"/>
      <c r="AA328" s="1326"/>
      <c r="AB328" s="1326"/>
      <c r="AC328" s="1326"/>
      <c r="AD328" s="1326"/>
      <c r="AE328" s="1326"/>
      <c r="AF328" s="1326"/>
      <c r="AG328" s="1326"/>
      <c r="AH328" s="1326"/>
      <c r="AI328" s="1326"/>
      <c r="AJ328" s="1326"/>
      <c r="AK328" s="1326"/>
    </row>
    <row r="329" spans="2:66" ht="12.95" customHeight="1">
      <c r="B329" s="3" t="s">
        <v>1158</v>
      </c>
      <c r="C329" s="3"/>
      <c r="D329" s="3"/>
      <c r="E329" s="3"/>
      <c r="F329" s="3"/>
      <c r="H329" s="1305" t="s">
        <v>1256</v>
      </c>
      <c r="I329" s="1326"/>
      <c r="J329" s="1326"/>
      <c r="K329" s="1326"/>
      <c r="L329" s="1326"/>
      <c r="M329" s="1326"/>
      <c r="N329" s="1326"/>
      <c r="O329" s="1326"/>
      <c r="P329" s="1326"/>
      <c r="Q329" s="1326"/>
      <c r="R329" s="1326"/>
      <c r="T329" s="3" t="s">
        <v>1158</v>
      </c>
      <c r="V329" s="3"/>
      <c r="W329" s="3"/>
      <c r="X329" s="3"/>
      <c r="Y329" s="3"/>
      <c r="AA329" s="1326"/>
      <c r="AB329" s="1326"/>
      <c r="AC329" s="1326"/>
      <c r="AD329" s="1326"/>
      <c r="AE329" s="1326"/>
      <c r="AF329" s="1326"/>
      <c r="AG329" s="1326"/>
      <c r="AH329" s="1326"/>
      <c r="AI329" s="1326"/>
      <c r="AJ329" s="1326"/>
      <c r="AK329" s="1326"/>
    </row>
    <row r="330" spans="2:66" ht="12.95" customHeight="1">
      <c r="B330" s="3" t="s">
        <v>1160</v>
      </c>
      <c r="C330" s="3"/>
      <c r="D330" s="3"/>
      <c r="E330" s="3"/>
      <c r="F330" s="3"/>
      <c r="G330" s="3"/>
      <c r="H330" s="1590" t="s">
        <v>1257</v>
      </c>
      <c r="I330" s="1590"/>
      <c r="J330" s="1590"/>
      <c r="K330" s="1590"/>
      <c r="L330" s="1590"/>
      <c r="M330" s="1590"/>
      <c r="N330" s="3" t="s">
        <v>1162</v>
      </c>
      <c r="O330" s="3"/>
      <c r="P330" s="1540"/>
      <c r="Q330" s="1540"/>
      <c r="R330" s="1540"/>
      <c r="S330" s="3"/>
      <c r="T330" s="3" t="s">
        <v>1160</v>
      </c>
      <c r="V330" s="3"/>
      <c r="W330" s="3"/>
      <c r="X330" s="3"/>
      <c r="Y330" s="3"/>
      <c r="AA330" s="1590"/>
      <c r="AB330" s="1590"/>
      <c r="AC330" s="1590"/>
      <c r="AD330" s="1590"/>
      <c r="AE330" s="1590"/>
      <c r="AF330" s="1590"/>
      <c r="AG330" s="3" t="s">
        <v>1162</v>
      </c>
      <c r="AH330" s="3"/>
      <c r="AI330" s="1540"/>
      <c r="AJ330" s="1540"/>
      <c r="AK330" s="1540"/>
    </row>
    <row r="331" spans="2:66" ht="12.95" customHeight="1">
      <c r="B331" s="3" t="s">
        <v>1163</v>
      </c>
      <c r="C331" s="3"/>
      <c r="D331" s="3"/>
      <c r="E331" s="3"/>
      <c r="F331" s="3"/>
      <c r="G331" s="3"/>
      <c r="H331" s="1322"/>
      <c r="I331" s="1322"/>
      <c r="J331" s="1322"/>
      <c r="K331" s="1322"/>
      <c r="L331" s="1322"/>
      <c r="M331" s="1322"/>
      <c r="N331" s="3"/>
      <c r="O331" s="3"/>
      <c r="P331" s="85"/>
      <c r="Q331" s="85"/>
      <c r="R331" s="85"/>
      <c r="S331" s="3"/>
      <c r="T331" s="3" t="s">
        <v>1163</v>
      </c>
      <c r="V331" s="3"/>
      <c r="W331" s="3"/>
      <c r="X331" s="3"/>
      <c r="Y331" s="3"/>
      <c r="AA331" s="1322"/>
      <c r="AB331" s="1322"/>
      <c r="AC331" s="1322"/>
      <c r="AD331" s="1322"/>
      <c r="AE331" s="1322"/>
      <c r="AF331" s="1322"/>
      <c r="AG331" s="3"/>
      <c r="AH331" s="3"/>
      <c r="AI331" s="85"/>
      <c r="AJ331" s="85"/>
      <c r="AK331" s="85"/>
    </row>
    <row r="332" spans="2:66" ht="12.95" customHeight="1">
      <c r="B332" s="3" t="s">
        <v>1215</v>
      </c>
      <c r="C332" s="3"/>
      <c r="D332" s="3"/>
      <c r="E332" s="3"/>
      <c r="F332" s="3"/>
      <c r="G332" s="3"/>
      <c r="H332" s="1686" t="s">
        <v>1258</v>
      </c>
      <c r="I332" s="1326"/>
      <c r="J332" s="1326"/>
      <c r="K332" s="1326"/>
      <c r="L332" s="1326"/>
      <c r="M332" s="1326"/>
      <c r="N332" s="1307"/>
      <c r="O332" s="1307"/>
      <c r="P332" s="1307"/>
      <c r="Q332" s="1307"/>
      <c r="R332" s="1307"/>
      <c r="S332" s="3"/>
      <c r="T332" s="3" t="s">
        <v>1215</v>
      </c>
      <c r="V332" s="3"/>
      <c r="W332" s="3"/>
      <c r="X332" s="3"/>
      <c r="Y332" s="3"/>
      <c r="AA332" s="1326"/>
      <c r="AB332" s="1326"/>
      <c r="AC332" s="1326"/>
      <c r="AD332" s="1326"/>
      <c r="AE332" s="1326"/>
      <c r="AF332" s="1326"/>
      <c r="AG332" s="1307"/>
      <c r="AH332" s="1307"/>
      <c r="AI332" s="1307"/>
      <c r="AJ332" s="1307"/>
      <c r="AK332" s="1307"/>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1259</v>
      </c>
      <c r="C334" s="3"/>
      <c r="D334" s="3"/>
      <c r="E334" s="3"/>
      <c r="F334" s="3"/>
      <c r="H334" s="1540" t="s">
        <v>1260</v>
      </c>
      <c r="I334" s="1307"/>
      <c r="J334" s="1307"/>
      <c r="K334" s="1307"/>
      <c r="L334" s="1307"/>
      <c r="M334" s="1307"/>
      <c r="N334" s="1307"/>
      <c r="O334" s="1307"/>
      <c r="P334" s="1307"/>
      <c r="Q334" s="1307"/>
      <c r="R334" s="1307"/>
      <c r="T334" s="143" t="s">
        <v>1261</v>
      </c>
      <c r="V334" s="3"/>
      <c r="W334" s="3"/>
      <c r="X334" s="3"/>
      <c r="Y334" s="3"/>
      <c r="AA334" s="1540" t="s">
        <v>824</v>
      </c>
      <c r="AB334" s="1307"/>
      <c r="AC334" s="1307"/>
      <c r="AD334" s="1307"/>
      <c r="AE334" s="1307"/>
      <c r="AF334" s="1307"/>
      <c r="AG334" s="1307"/>
      <c r="AH334" s="1307"/>
      <c r="AI334" s="1307"/>
      <c r="AJ334" s="1307"/>
      <c r="AK334" s="1307"/>
    </row>
    <row r="335" spans="2:66" ht="12.95" customHeight="1">
      <c r="B335" s="3" t="s">
        <v>1205</v>
      </c>
      <c r="C335" s="3"/>
      <c r="D335" s="3"/>
      <c r="E335" s="3"/>
      <c r="F335" s="3"/>
      <c r="H335" s="1305" t="s">
        <v>1262</v>
      </c>
      <c r="I335" s="1326"/>
      <c r="J335" s="1326"/>
      <c r="K335" s="1326"/>
      <c r="L335" s="1326"/>
      <c r="M335" s="1326"/>
      <c r="N335" s="1326"/>
      <c r="O335" s="1326"/>
      <c r="P335" s="1326"/>
      <c r="Q335" s="1326"/>
      <c r="R335" s="1326"/>
      <c r="T335" s="3" t="s">
        <v>1205</v>
      </c>
      <c r="V335" s="3"/>
      <c r="W335" s="3"/>
      <c r="X335" s="3"/>
      <c r="Y335" s="3"/>
      <c r="AA335" s="1326" t="s">
        <v>1154</v>
      </c>
      <c r="AB335" s="1326"/>
      <c r="AC335" s="1326"/>
      <c r="AD335" s="1326"/>
      <c r="AE335" s="1326"/>
      <c r="AF335" s="1326"/>
      <c r="AG335" s="1326"/>
      <c r="AH335" s="1326"/>
      <c r="AI335" s="1326"/>
      <c r="AJ335" s="1326"/>
      <c r="AK335" s="1326"/>
    </row>
    <row r="336" spans="2:66" ht="12.95" customHeight="1">
      <c r="B336" s="3" t="s">
        <v>1209</v>
      </c>
      <c r="C336" s="3"/>
      <c r="D336" s="3"/>
      <c r="E336" s="3"/>
      <c r="F336" s="3"/>
      <c r="H336" s="1305" t="s">
        <v>1263</v>
      </c>
      <c r="I336" s="1326"/>
      <c r="J336" s="1326"/>
      <c r="K336" s="1326"/>
      <c r="L336" s="1326"/>
      <c r="M336" s="1326"/>
      <c r="N336" s="1326"/>
      <c r="O336" s="1326"/>
      <c r="P336" s="1326"/>
      <c r="Q336" s="1326"/>
      <c r="R336" s="1326"/>
      <c r="T336" s="3" t="s">
        <v>1209</v>
      </c>
      <c r="V336" s="3"/>
      <c r="W336" s="3"/>
      <c r="X336" s="3"/>
      <c r="Y336" s="3"/>
      <c r="AA336" s="1326" t="s">
        <v>1208</v>
      </c>
      <c r="AB336" s="1326"/>
      <c r="AC336" s="1326"/>
      <c r="AD336" s="1326"/>
      <c r="AE336" s="1326"/>
      <c r="AF336" s="1326"/>
      <c r="AG336" s="1326"/>
      <c r="AH336" s="1326"/>
      <c r="AI336" s="1326"/>
      <c r="AJ336" s="1326"/>
      <c r="AK336" s="1326"/>
    </row>
    <row r="337" spans="1:66" ht="12.95" customHeight="1">
      <c r="B337" s="3" t="s">
        <v>1158</v>
      </c>
      <c r="C337" s="3"/>
      <c r="D337" s="3"/>
      <c r="E337" s="3"/>
      <c r="F337" s="3"/>
      <c r="G337" s="3"/>
      <c r="H337" s="1305" t="s">
        <v>1264</v>
      </c>
      <c r="I337" s="1326"/>
      <c r="J337" s="1326"/>
      <c r="K337" s="1326"/>
      <c r="L337" s="1326"/>
      <c r="M337" s="1326"/>
      <c r="N337" s="1326"/>
      <c r="O337" s="1326"/>
      <c r="P337" s="1326"/>
      <c r="Q337" s="1326"/>
      <c r="R337" s="1326"/>
      <c r="T337" s="3" t="s">
        <v>1158</v>
      </c>
      <c r="V337" s="3"/>
      <c r="W337" s="3"/>
      <c r="X337" s="3"/>
      <c r="Y337" s="3"/>
      <c r="AA337" s="1305" t="s">
        <v>1265</v>
      </c>
      <c r="AB337" s="1326"/>
      <c r="AC337" s="1326"/>
      <c r="AD337" s="1326"/>
      <c r="AE337" s="1326"/>
      <c r="AF337" s="1326"/>
      <c r="AG337" s="1326"/>
      <c r="AH337" s="1326"/>
      <c r="AI337" s="1326"/>
      <c r="AJ337" s="1326"/>
      <c r="AK337" s="1326"/>
    </row>
    <row r="338" spans="1:66" ht="12.95" customHeight="1">
      <c r="B338" s="3" t="s">
        <v>1160</v>
      </c>
      <c r="C338" s="3"/>
      <c r="D338" s="3"/>
      <c r="E338" s="3"/>
      <c r="F338" s="3"/>
      <c r="G338" s="3"/>
      <c r="H338" s="1590" t="s">
        <v>1266</v>
      </c>
      <c r="I338" s="1590"/>
      <c r="J338" s="1590"/>
      <c r="K338" s="1590"/>
      <c r="L338" s="1590"/>
      <c r="M338" s="1590"/>
      <c r="N338" s="3" t="s">
        <v>1162</v>
      </c>
      <c r="O338" s="3"/>
      <c r="P338" s="1540"/>
      <c r="Q338" s="1540"/>
      <c r="R338" s="1540"/>
      <c r="S338" s="3"/>
      <c r="T338" s="3" t="s">
        <v>1160</v>
      </c>
      <c r="V338" s="3"/>
      <c r="W338" s="3"/>
      <c r="X338" s="3"/>
      <c r="Y338" s="3"/>
      <c r="AA338" s="1590" t="s">
        <v>1267</v>
      </c>
      <c r="AB338" s="1590"/>
      <c r="AC338" s="1590"/>
      <c r="AD338" s="1590"/>
      <c r="AE338" s="1590"/>
      <c r="AF338" s="1590"/>
      <c r="AG338" s="3" t="s">
        <v>1162</v>
      </c>
      <c r="AH338" s="3"/>
      <c r="AI338" s="1540"/>
      <c r="AJ338" s="1540"/>
      <c r="AK338" s="1540"/>
    </row>
    <row r="339" spans="1:66" ht="12.95" customHeight="1">
      <c r="B339" s="3" t="s">
        <v>1163</v>
      </c>
      <c r="C339" s="3"/>
      <c r="D339" s="3"/>
      <c r="E339" s="3"/>
      <c r="F339" s="3"/>
      <c r="G339" s="3"/>
      <c r="H339" s="1322" t="s">
        <v>1268</v>
      </c>
      <c r="I339" s="1322"/>
      <c r="J339" s="1322"/>
      <c r="K339" s="1322"/>
      <c r="L339" s="1322"/>
      <c r="M339" s="1322"/>
      <c r="N339" s="3"/>
      <c r="O339" s="3"/>
      <c r="P339" s="85"/>
      <c r="Q339" s="85"/>
      <c r="R339" s="85"/>
      <c r="S339" s="3"/>
      <c r="T339" s="3" t="s">
        <v>1163</v>
      </c>
      <c r="V339" s="3"/>
      <c r="W339" s="3"/>
      <c r="X339" s="3"/>
      <c r="Y339" s="3"/>
      <c r="AA339" s="1322"/>
      <c r="AB339" s="1322"/>
      <c r="AC339" s="1322"/>
      <c r="AD339" s="1322"/>
      <c r="AE339" s="1322"/>
      <c r="AF339" s="1322"/>
      <c r="AG339" s="3"/>
      <c r="AH339" s="3"/>
      <c r="AI339" s="85"/>
      <c r="AJ339" s="85"/>
      <c r="AK339" s="85"/>
    </row>
    <row r="340" spans="1:66" ht="12.95" customHeight="1">
      <c r="B340" s="3" t="s">
        <v>1215</v>
      </c>
      <c r="C340" s="3"/>
      <c r="D340" s="3"/>
      <c r="E340" s="3"/>
      <c r="F340" s="3"/>
      <c r="G340" s="3"/>
      <c r="H340" s="1216" t="s">
        <v>1269</v>
      </c>
      <c r="I340" s="179"/>
      <c r="J340" s="179"/>
      <c r="K340" s="179"/>
      <c r="L340" s="179"/>
      <c r="M340" s="179"/>
      <c r="N340" s="1215"/>
      <c r="O340" s="1215"/>
      <c r="P340" s="1215"/>
      <c r="Q340" s="1215"/>
      <c r="R340" s="1215"/>
      <c r="S340" s="3"/>
      <c r="T340" s="3" t="s">
        <v>1215</v>
      </c>
      <c r="V340" s="3"/>
      <c r="W340" s="3"/>
      <c r="X340" s="3"/>
      <c r="Y340" s="3"/>
      <c r="AA340" s="1305" t="s">
        <v>1270</v>
      </c>
      <c r="AB340" s="1326"/>
      <c r="AC340" s="1326"/>
      <c r="AD340" s="1326"/>
      <c r="AE340" s="1326"/>
      <c r="AF340" s="1326"/>
      <c r="AG340" s="1307"/>
      <c r="AH340" s="1307"/>
      <c r="AI340" s="1307"/>
      <c r="AJ340" s="1307"/>
      <c r="AK340" s="130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1271</v>
      </c>
      <c r="P342" s="1307"/>
      <c r="Q342" s="1307"/>
      <c r="R342" s="1307"/>
      <c r="S342" s="1307"/>
      <c r="T342" s="1307"/>
      <c r="U342" s="1307"/>
      <c r="V342" s="1307"/>
      <c r="W342" s="1307"/>
      <c r="X342" s="1307"/>
      <c r="Y342" s="1307"/>
      <c r="Z342" s="1307"/>
      <c r="AA342" s="1307"/>
      <c r="AB342" s="1307"/>
      <c r="AC342" s="1307"/>
      <c r="AD342" s="1307"/>
      <c r="AE342" s="1307"/>
      <c r="BN342" t="s">
        <v>299</v>
      </c>
    </row>
    <row r="343" spans="1:66" ht="12.95" customHeight="1">
      <c r="B343" s="3"/>
      <c r="C343" s="3"/>
      <c r="D343" s="3"/>
      <c r="E343" s="3"/>
      <c r="F343" s="3"/>
      <c r="I343" s="3" t="s">
        <v>1205</v>
      </c>
      <c r="P343" s="1326"/>
      <c r="Q343" s="1326"/>
      <c r="R343" s="1326"/>
      <c r="S343" s="1326"/>
      <c r="T343" s="1326"/>
      <c r="U343" s="1326"/>
      <c r="V343" s="1326"/>
      <c r="W343" s="1326"/>
      <c r="X343" s="1326"/>
      <c r="Y343" s="1326"/>
      <c r="Z343" s="1326"/>
      <c r="AA343" s="1326"/>
      <c r="AB343" s="1326"/>
      <c r="AC343" s="1326"/>
      <c r="AD343" s="1326"/>
      <c r="AE343" s="1326"/>
      <c r="BN343" t="s">
        <v>837</v>
      </c>
    </row>
    <row r="344" spans="1:66" ht="12.95" customHeight="1">
      <c r="B344" s="3"/>
      <c r="C344" s="3"/>
      <c r="D344" s="3"/>
      <c r="E344" s="3"/>
      <c r="F344" s="3"/>
      <c r="I344" s="3" t="s">
        <v>1209</v>
      </c>
      <c r="P344" s="1326"/>
      <c r="Q344" s="1326"/>
      <c r="R344" s="1326"/>
      <c r="S344" s="1326"/>
      <c r="T344" s="1326"/>
      <c r="U344" s="1326"/>
      <c r="V344" s="1326"/>
      <c r="W344" s="1326"/>
      <c r="X344" s="1326"/>
      <c r="Y344" s="1326"/>
      <c r="Z344" s="1326"/>
      <c r="AA344" s="1326"/>
      <c r="AB344" s="1326"/>
      <c r="AC344" s="1326"/>
      <c r="AD344" s="1326"/>
      <c r="AE344" s="1326"/>
      <c r="BN344" t="s">
        <v>946</v>
      </c>
    </row>
    <row r="345" spans="1:66" ht="12.95" customHeight="1">
      <c r="B345" s="3"/>
      <c r="C345" s="3"/>
      <c r="D345" s="3"/>
      <c r="E345" s="3"/>
      <c r="F345" s="3"/>
      <c r="G345" s="3"/>
      <c r="I345" s="3" t="s">
        <v>1158</v>
      </c>
      <c r="P345" s="1326"/>
      <c r="Q345" s="1326"/>
      <c r="R345" s="1326"/>
      <c r="S345" s="1326"/>
      <c r="T345" s="1326"/>
      <c r="U345" s="1326"/>
      <c r="V345" s="1326"/>
      <c r="W345" s="1326"/>
      <c r="X345" s="1326"/>
      <c r="Y345" s="1326"/>
      <c r="Z345" s="1326"/>
      <c r="AA345" s="1326"/>
      <c r="AB345" s="1326"/>
      <c r="AC345" s="1326"/>
      <c r="AD345" s="1326"/>
      <c r="AE345" s="1326"/>
    </row>
    <row r="346" spans="1:66" ht="12.95" customHeight="1">
      <c r="B346" s="3"/>
      <c r="C346" s="3"/>
      <c r="D346" s="3"/>
      <c r="E346" s="3"/>
      <c r="F346" s="3"/>
      <c r="G346" s="3"/>
      <c r="H346" s="1150"/>
      <c r="I346" s="3" t="s">
        <v>1160</v>
      </c>
      <c r="P346" s="1322"/>
      <c r="Q346" s="1322"/>
      <c r="R346" s="1322"/>
      <c r="S346" s="1322"/>
      <c r="T346" s="1322"/>
      <c r="U346" s="1322"/>
      <c r="V346" s="1322"/>
      <c r="W346" s="1322"/>
      <c r="X346" s="1322"/>
      <c r="Y346" s="1322"/>
      <c r="Z346" s="1322"/>
      <c r="AA346" s="3" t="s">
        <v>1162</v>
      </c>
      <c r="AB346" s="3"/>
      <c r="AC346" s="1305"/>
      <c r="AD346" s="1305"/>
      <c r="AE346" s="1305"/>
      <c r="AF346" s="1150"/>
      <c r="AG346" s="3"/>
      <c r="AH346" s="3"/>
      <c r="AI346" s="3"/>
      <c r="AJ346" s="3"/>
      <c r="AK346" s="3"/>
    </row>
    <row r="347" spans="1:66" ht="12.95" customHeight="1">
      <c r="B347" s="3"/>
      <c r="C347" s="3"/>
      <c r="D347" s="3"/>
      <c r="E347" s="3"/>
      <c r="F347" s="3"/>
      <c r="G347" s="3"/>
      <c r="H347" s="1150"/>
      <c r="I347" s="3" t="s">
        <v>1163</v>
      </c>
      <c r="P347" s="1322"/>
      <c r="Q347" s="1322"/>
      <c r="R347" s="1322"/>
      <c r="S347" s="1322"/>
      <c r="T347" s="1322"/>
      <c r="U347" s="1322"/>
      <c r="V347" s="1322"/>
      <c r="W347" s="1322"/>
      <c r="X347" s="1322"/>
      <c r="Y347" s="1322"/>
      <c r="Z347" s="1322"/>
      <c r="AF347" s="1150"/>
      <c r="AG347" s="3"/>
      <c r="AH347" s="3"/>
      <c r="AI347" s="85"/>
      <c r="AJ347" s="85"/>
      <c r="AK347" s="85"/>
    </row>
    <row r="348" spans="1:66" ht="12.95" customHeight="1">
      <c r="B348" s="3"/>
      <c r="C348" s="3"/>
      <c r="D348" s="3"/>
      <c r="E348" s="3"/>
      <c r="F348" s="3"/>
      <c r="G348" s="3"/>
      <c r="I348" s="3" t="s">
        <v>1215</v>
      </c>
      <c r="P348" s="1307"/>
      <c r="Q348" s="1307"/>
      <c r="R348" s="1307"/>
      <c r="S348" s="1307"/>
      <c r="T348" s="1307"/>
      <c r="U348" s="1307"/>
      <c r="V348" s="1307"/>
      <c r="W348" s="1307"/>
      <c r="X348" s="1307"/>
      <c r="Y348" s="1307"/>
      <c r="Z348" s="1307"/>
      <c r="AA348" s="1307"/>
      <c r="AB348" s="1307"/>
      <c r="AC348" s="1307"/>
      <c r="AD348" s="1307"/>
      <c r="AE348" s="1307"/>
    </row>
    <row r="349" spans="1:66" ht="12.95" customHeight="1">
      <c r="T349" s="8"/>
      <c r="U349" s="8"/>
      <c r="V349" s="8"/>
      <c r="W349" s="8"/>
      <c r="X349" s="8"/>
      <c r="Y349" s="8"/>
      <c r="Z349" s="8"/>
    </row>
    <row r="350" spans="1:66" ht="12.95" customHeight="1">
      <c r="A350" s="1581" t="s">
        <v>1272</v>
      </c>
      <c r="B350" s="1581"/>
      <c r="C350" s="1581"/>
      <c r="D350" s="1581"/>
      <c r="E350" s="1581"/>
      <c r="F350" s="1581"/>
      <c r="G350" s="1581"/>
      <c r="H350" s="1581"/>
      <c r="I350" s="1581"/>
      <c r="J350" s="1581"/>
      <c r="K350" s="1581"/>
      <c r="L350" s="1581"/>
      <c r="M350" s="1581"/>
      <c r="N350" s="1581"/>
      <c r="O350" s="1581"/>
      <c r="P350" s="1581"/>
      <c r="Q350" s="1581"/>
      <c r="R350" s="1581"/>
      <c r="S350" s="1581"/>
      <c r="T350" s="1581"/>
      <c r="U350" s="1581"/>
      <c r="V350" s="1581"/>
      <c r="W350" s="1581"/>
      <c r="X350" s="1581"/>
      <c r="Y350" s="1581"/>
      <c r="Z350" s="1581"/>
      <c r="AA350" s="1581"/>
      <c r="AB350" s="1581"/>
      <c r="AC350" s="1581"/>
      <c r="AD350" s="1581"/>
      <c r="AE350" s="1581"/>
      <c r="AF350" s="1581"/>
      <c r="AG350" s="1581"/>
      <c r="AH350" s="1581"/>
      <c r="AI350" s="1581"/>
      <c r="AJ350" s="1581"/>
      <c r="AK350" s="1581"/>
      <c r="AL350" s="1581"/>
      <c r="AM350" s="71"/>
      <c r="AN350" s="71"/>
      <c r="AO350" s="71"/>
      <c r="AP350" s="71"/>
      <c r="AQ350" s="71"/>
      <c r="AR350" s="71"/>
      <c r="AS350" s="71"/>
      <c r="AT350" s="71"/>
      <c r="AU350" s="71"/>
      <c r="AV350" s="71"/>
      <c r="AW350" s="71"/>
      <c r="AX350" s="71"/>
      <c r="AY350" s="71"/>
    </row>
    <row r="351" spans="1:66" ht="12.95" customHeight="1" thickBot="1">
      <c r="A351" s="1582"/>
      <c r="B351" s="1582"/>
      <c r="C351" s="1582"/>
      <c r="D351" s="1582"/>
      <c r="E351" s="1582"/>
      <c r="F351" s="1582"/>
      <c r="G351" s="1582"/>
      <c r="H351" s="1582"/>
      <c r="I351" s="1582"/>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2"/>
      <c r="AD351" s="1582"/>
      <c r="AE351" s="1582"/>
      <c r="AF351" s="1582"/>
      <c r="AG351" s="1582"/>
      <c r="AH351" s="1582"/>
      <c r="AI351" s="1582"/>
      <c r="AJ351" s="1582"/>
      <c r="AK351" s="1582"/>
      <c r="AL351" s="1582"/>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971</v>
      </c>
      <c r="B353" s="2"/>
      <c r="C353" s="2" t="s">
        <v>1273</v>
      </c>
    </row>
    <row r="354" spans="1:37" ht="12.95" customHeight="1">
      <c r="D354" s="3" t="s">
        <v>1274</v>
      </c>
      <c r="M354" s="1308" t="s">
        <v>946</v>
      </c>
      <c r="N354" s="1308"/>
      <c r="P354" t="s">
        <v>1275</v>
      </c>
      <c r="AJ354" s="1308" t="s">
        <v>946</v>
      </c>
      <c r="AK354" s="1308"/>
    </row>
    <row r="355" spans="1:37" ht="12.95" customHeight="1">
      <c r="D355" s="3" t="s">
        <v>1276</v>
      </c>
      <c r="M355" s="1308" t="s">
        <v>299</v>
      </c>
      <c r="N355" s="1308"/>
      <c r="P355" s="3" t="s">
        <v>1277</v>
      </c>
      <c r="AJ355" s="1310">
        <v>0</v>
      </c>
      <c r="AK355" s="1310"/>
    </row>
    <row r="356" spans="1:37" ht="12.95" customHeight="1">
      <c r="D356" s="3" t="s">
        <v>1278</v>
      </c>
      <c r="M356" s="1308" t="s">
        <v>299</v>
      </c>
      <c r="N356" s="1308"/>
      <c r="P356" t="s">
        <v>1279</v>
      </c>
      <c r="AJ356" s="1308" t="s">
        <v>837</v>
      </c>
      <c r="AK356" s="1308"/>
    </row>
    <row r="357" spans="1:37" ht="12.95" customHeight="1">
      <c r="D357" s="3" t="s">
        <v>1280</v>
      </c>
      <c r="M357" s="1308" t="s">
        <v>299</v>
      </c>
      <c r="N357" s="1308"/>
      <c r="Q357" s="3"/>
    </row>
    <row r="358" spans="1:37" ht="12.95" customHeight="1">
      <c r="Q358" s="3"/>
    </row>
    <row r="359" spans="1:37" ht="12.95" customHeight="1">
      <c r="Q359" s="3"/>
    </row>
    <row r="360" spans="1:37" ht="12.95" customHeight="1">
      <c r="A360" s="2" t="s">
        <v>1007</v>
      </c>
      <c r="B360" s="2"/>
      <c r="C360" s="2" t="s">
        <v>1281</v>
      </c>
      <c r="D360" s="2"/>
    </row>
    <row r="361" spans="1:37" ht="12.95" customHeight="1">
      <c r="D361" s="32" t="s">
        <v>1282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1283</v>
      </c>
      <c r="E362" s="33"/>
      <c r="F362" s="33"/>
      <c r="G362" s="33"/>
      <c r="H362" s="33"/>
      <c r="I362" s="33"/>
      <c r="J362" s="33"/>
      <c r="K362" s="33"/>
      <c r="L362" s="33"/>
      <c r="M362" s="33"/>
      <c r="N362" s="1308" t="s">
        <v>299</v>
      </c>
      <c r="O362" s="1308"/>
      <c r="P362" s="33"/>
      <c r="Q362" s="33"/>
      <c r="R362" s="33"/>
      <c r="S362" s="33"/>
      <c r="T362" s="33"/>
      <c r="U362" s="33"/>
      <c r="V362" s="33"/>
      <c r="W362" s="33"/>
      <c r="X362" s="33"/>
      <c r="Y362" s="33"/>
      <c r="Z362" s="33"/>
      <c r="AC362" s="33"/>
      <c r="AD362" s="33"/>
      <c r="AE362" s="33"/>
    </row>
    <row r="363" spans="1:37" ht="12.95" customHeight="1">
      <c r="E363" t="s">
        <v>1284</v>
      </c>
      <c r="Y363" s="1308" t="s">
        <v>299</v>
      </c>
      <c r="Z363" s="1308"/>
    </row>
    <row r="364" spans="1:37" ht="12.95" customHeight="1">
      <c r="D364" s="3" t="s">
        <v>1285</v>
      </c>
      <c r="Q364" s="1307"/>
      <c r="R364" s="1307"/>
      <c r="S364" s="1307"/>
      <c r="T364" s="1307"/>
      <c r="U364" s="1307"/>
      <c r="V364" s="1307"/>
      <c r="W364" s="1307"/>
      <c r="X364" s="1307"/>
      <c r="Y364" s="1307"/>
      <c r="Z364" s="1307"/>
      <c r="AA364" s="1307"/>
      <c r="AB364" s="1307"/>
      <c r="AC364" s="1307"/>
      <c r="AD364" s="1307"/>
      <c r="AE364" s="1307"/>
      <c r="AF364" s="1307"/>
      <c r="AG364" s="1307"/>
    </row>
    <row r="365" spans="1:37" ht="12.95" customHeight="1">
      <c r="D365" t="s">
        <v>1286</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1287</v>
      </c>
      <c r="E366" s="33"/>
      <c r="F366" s="33"/>
      <c r="G366" s="33"/>
      <c r="H366" s="33"/>
      <c r="I366" s="33"/>
      <c r="J366" s="1308" t="s">
        <v>299</v>
      </c>
      <c r="K366" s="1308"/>
      <c r="L366" s="33"/>
      <c r="M366" s="33"/>
      <c r="N366" s="33"/>
      <c r="O366" s="33"/>
      <c r="P366" s="33"/>
      <c r="Q366" s="33"/>
      <c r="R366" s="33"/>
      <c r="S366" s="33"/>
      <c r="T366" s="33"/>
      <c r="U366" s="33"/>
      <c r="V366" s="33"/>
      <c r="W366" s="33"/>
      <c r="X366" s="33"/>
      <c r="Y366" s="33"/>
      <c r="Z366" s="33"/>
      <c r="AC366" s="33"/>
      <c r="AD366" s="33"/>
      <c r="AE366" s="33"/>
    </row>
    <row r="367" spans="1:37" ht="12.95" customHeight="1">
      <c r="E367" s="1219" t="s">
        <v>1288</v>
      </c>
      <c r="F367" s="1219"/>
      <c r="G367" s="1219"/>
      <c r="H367" s="1219"/>
      <c r="I367" s="1219"/>
      <c r="J367" s="1219"/>
      <c r="K367" s="1219"/>
      <c r="L367" s="1219"/>
      <c r="M367" s="1219"/>
      <c r="N367" s="1219"/>
      <c r="O367" s="1219"/>
      <c r="P367" s="1219"/>
      <c r="Q367" s="1219"/>
      <c r="R367" s="1219"/>
      <c r="S367" s="1219"/>
      <c r="T367" s="1219"/>
      <c r="U367" s="1219"/>
      <c r="V367" s="1219"/>
      <c r="W367" s="1219"/>
      <c r="X367" s="1219"/>
      <c r="Y367" s="1219"/>
      <c r="Z367" s="1219"/>
      <c r="AA367" s="1219"/>
      <c r="AB367" s="1219"/>
      <c r="AC367" s="1219"/>
      <c r="AD367" s="1219"/>
      <c r="AE367" s="1219"/>
      <c r="AF367" s="1219"/>
      <c r="AG367" s="1219"/>
      <c r="AH367" s="1219"/>
    </row>
    <row r="368" spans="1:37" ht="12.95" customHeight="1">
      <c r="E368" s="1219"/>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6" ht="12.95" customHeight="1">
      <c r="E369" s="3" t="s">
        <v>1289</v>
      </c>
      <c r="F369" s="3"/>
      <c r="G369" s="3"/>
      <c r="H369" s="3"/>
      <c r="I369" s="3"/>
      <c r="J369" s="3"/>
      <c r="K369" s="3"/>
      <c r="L369" s="3"/>
      <c r="N369" s="1673"/>
      <c r="O369" s="1673"/>
      <c r="P369" s="1673"/>
      <c r="Q369" s="1673"/>
      <c r="R369" s="3"/>
      <c r="U369" s="3" t="s">
        <v>1290</v>
      </c>
      <c r="V369" s="3"/>
      <c r="W369" s="3"/>
      <c r="X369" s="3"/>
      <c r="Y369" s="3"/>
      <c r="Z369" s="3"/>
      <c r="AA369" s="3"/>
      <c r="AB369" s="3"/>
      <c r="AC369" s="1673"/>
      <c r="AD369" s="1673"/>
      <c r="AE369" s="1673"/>
      <c r="AF369" s="1673"/>
    </row>
    <row r="370" spans="1:36" ht="12.95" customHeight="1">
      <c r="E370" s="3" t="s">
        <v>1291</v>
      </c>
      <c r="F370" s="3"/>
      <c r="G370" s="3"/>
      <c r="H370" s="3"/>
      <c r="I370" s="3"/>
      <c r="J370" s="3"/>
      <c r="K370" s="3"/>
      <c r="L370" s="3"/>
      <c r="N370" s="1673"/>
      <c r="O370" s="1673"/>
      <c r="P370" s="1673"/>
      <c r="Q370" s="1673"/>
      <c r="R370" s="3"/>
      <c r="U370" s="3" t="s">
        <v>1292</v>
      </c>
      <c r="V370" s="3"/>
      <c r="W370" s="3"/>
      <c r="X370" s="3"/>
      <c r="Y370" s="3"/>
      <c r="Z370" s="3"/>
      <c r="AA370" s="3"/>
      <c r="AB370" s="3"/>
      <c r="AC370" s="1673"/>
      <c r="AD370" s="1673"/>
      <c r="AE370" s="1673"/>
      <c r="AF370" s="1673"/>
    </row>
    <row r="371" spans="1:36" ht="12.95" customHeight="1">
      <c r="E371" s="3" t="s">
        <v>1293</v>
      </c>
      <c r="F371" s="3"/>
      <c r="G371" s="3"/>
      <c r="H371" s="3"/>
      <c r="I371" s="3"/>
      <c r="J371" s="3"/>
      <c r="K371" s="3"/>
      <c r="L371" s="3"/>
      <c r="N371" s="1673"/>
      <c r="O371" s="1673"/>
      <c r="P371" s="1673"/>
      <c r="Q371" s="1673"/>
      <c r="R371" s="3"/>
      <c r="V371" s="3"/>
      <c r="W371" s="3"/>
      <c r="X371" s="3"/>
      <c r="Y371" s="3"/>
      <c r="Z371" s="3"/>
      <c r="AA371" s="3"/>
      <c r="AB371" s="3"/>
    </row>
    <row r="372" spans="1:36" ht="12.95" customHeight="1">
      <c r="E372" s="3" t="s">
        <v>1294</v>
      </c>
      <c r="F372" s="3"/>
      <c r="G372" s="3"/>
      <c r="H372" s="3"/>
      <c r="I372" s="3"/>
      <c r="J372" s="3"/>
      <c r="K372" s="3"/>
      <c r="L372" s="3"/>
      <c r="N372" s="1786"/>
      <c r="O372" s="1786"/>
      <c r="P372" s="1786"/>
      <c r="Q372" s="1786"/>
      <c r="R372" s="1786"/>
      <c r="S372" s="1786"/>
      <c r="T372" s="1786"/>
      <c r="U372" s="1786"/>
      <c r="V372" s="1786"/>
      <c r="W372" s="1786"/>
      <c r="X372" s="1786"/>
      <c r="Y372" s="1786"/>
      <c r="Z372" s="1786"/>
      <c r="AA372" s="1786"/>
      <c r="AB372" s="1786"/>
      <c r="AC372" s="1786"/>
      <c r="AD372" s="1786"/>
      <c r="AE372" s="1786"/>
      <c r="AF372" s="1786"/>
    </row>
    <row r="373" spans="1:36" ht="12.95" customHeight="1">
      <c r="E373" s="3"/>
      <c r="F373" s="3"/>
      <c r="G373" s="3"/>
      <c r="H373" s="3"/>
      <c r="I373" s="3"/>
      <c r="J373" s="3"/>
      <c r="K373" s="3"/>
      <c r="L373" s="3"/>
      <c r="N373" s="1787"/>
      <c r="O373" s="1787"/>
      <c r="P373" s="1787"/>
      <c r="Q373" s="1787"/>
      <c r="R373" s="1787"/>
      <c r="S373" s="1787"/>
      <c r="T373" s="1787"/>
      <c r="U373" s="1787"/>
      <c r="V373" s="1787"/>
      <c r="W373" s="1787"/>
      <c r="X373" s="1787"/>
      <c r="Y373" s="1787"/>
      <c r="Z373" s="1787"/>
      <c r="AA373" s="1787"/>
      <c r="AB373" s="1787"/>
      <c r="AC373" s="1787"/>
      <c r="AD373" s="1787"/>
      <c r="AE373" s="1787"/>
      <c r="AF373" s="1787"/>
    </row>
    <row r="374" spans="1:36" ht="12.95" customHeight="1">
      <c r="C374" s="437"/>
      <c r="E374" s="3"/>
      <c r="F374" s="3"/>
      <c r="G374" s="3"/>
      <c r="H374" s="3"/>
      <c r="I374" s="3"/>
      <c r="J374" s="3"/>
      <c r="K374" s="3"/>
      <c r="L374" s="3"/>
    </row>
    <row r="375" spans="1:36" ht="12.95" customHeight="1">
      <c r="D375" s="2" t="s">
        <v>1295</v>
      </c>
      <c r="E375" s="2"/>
      <c r="F375" s="3"/>
      <c r="G375" s="3"/>
      <c r="H375" s="3"/>
      <c r="I375" s="3"/>
      <c r="J375" s="3"/>
      <c r="K375" s="3"/>
      <c r="L375" s="3"/>
    </row>
    <row r="376" spans="1:36" ht="12.95" customHeight="1">
      <c r="E376" s="3" t="s">
        <v>1296</v>
      </c>
      <c r="F376" s="3"/>
      <c r="G376" s="3"/>
      <c r="H376" s="3"/>
      <c r="I376" s="3"/>
      <c r="J376" s="3"/>
      <c r="K376" s="3"/>
      <c r="L376" s="3"/>
      <c r="N376" t="s">
        <v>986</v>
      </c>
      <c r="R376" s="24" t="s">
        <v>987</v>
      </c>
      <c r="S376" s="1562"/>
      <c r="T376" s="1562"/>
      <c r="U376" s="1" t="s">
        <v>988</v>
      </c>
      <c r="V376" s="1562"/>
      <c r="W376" s="1562"/>
      <c r="Y376" t="s">
        <v>986</v>
      </c>
      <c r="AC376" s="24" t="s">
        <v>987</v>
      </c>
      <c r="AD376" s="1562"/>
      <c r="AE376" s="1562"/>
      <c r="AF376" s="1" t="s">
        <v>988</v>
      </c>
      <c r="AG376" s="1562"/>
      <c r="AH376" s="1562"/>
    </row>
    <row r="377" spans="1:36" ht="12.95" customHeight="1">
      <c r="E377" s="3" t="s">
        <v>1297</v>
      </c>
      <c r="F377" s="3"/>
      <c r="G377" s="3"/>
      <c r="H377" s="3"/>
      <c r="I377" s="3"/>
      <c r="J377" s="3"/>
      <c r="K377" s="3"/>
      <c r="L377" s="3"/>
      <c r="N377" s="1562"/>
      <c r="O377" s="1562"/>
      <c r="P377" s="1562"/>
    </row>
    <row r="378" spans="1:36" ht="12.95" customHeight="1">
      <c r="E378" s="143" t="s">
        <v>1298</v>
      </c>
      <c r="F378" s="3"/>
      <c r="G378" s="3"/>
      <c r="H378" s="3"/>
      <c r="I378" s="3"/>
      <c r="J378" s="3"/>
      <c r="K378" s="3"/>
      <c r="L378" s="3"/>
      <c r="AG378" s="1594" t="s">
        <v>299</v>
      </c>
      <c r="AH378" s="1594"/>
    </row>
    <row r="379" spans="1:36" ht="12.95" customHeight="1">
      <c r="E379" s="3"/>
      <c r="F379" s="3"/>
      <c r="G379" s="3" t="s">
        <v>1299</v>
      </c>
      <c r="H379" s="3"/>
      <c r="I379" s="3"/>
      <c r="J379" s="3"/>
      <c r="K379" s="3"/>
      <c r="L379" s="3"/>
      <c r="AG379" s="1594" t="s">
        <v>299</v>
      </c>
      <c r="AH379" s="1594"/>
    </row>
    <row r="380" spans="1:36" ht="12.95" customHeight="1">
      <c r="E380" s="3"/>
      <c r="F380" s="3"/>
      <c r="G380" s="244" t="s">
        <v>1300</v>
      </c>
      <c r="H380" s="3"/>
      <c r="I380" s="3"/>
      <c r="J380" s="3"/>
      <c r="K380" s="3"/>
      <c r="L380" s="3"/>
      <c r="V380" s="1308" t="s">
        <v>299</v>
      </c>
      <c r="W380" s="1308"/>
      <c r="Y380" s="20" t="s">
        <v>1301</v>
      </c>
    </row>
    <row r="381" spans="1:36" ht="12.95" customHeight="1">
      <c r="E381" s="3" t="s">
        <v>1302</v>
      </c>
      <c r="F381" s="3"/>
      <c r="G381" s="3"/>
      <c r="H381" s="3"/>
      <c r="I381" s="3"/>
      <c r="J381" s="3"/>
      <c r="K381" s="3"/>
      <c r="L381" s="3"/>
      <c r="V381" s="1308" t="s">
        <v>299</v>
      </c>
      <c r="W381" s="1308"/>
      <c r="Y381" s="3" t="s">
        <v>1303</v>
      </c>
    </row>
    <row r="382" spans="1:36" ht="12.95" customHeight="1"/>
    <row r="383" spans="1:36" ht="12.95" customHeight="1">
      <c r="A383" s="2" t="s">
        <v>1304</v>
      </c>
      <c r="B383" s="2"/>
    </row>
    <row r="384" spans="1:36" ht="12.95" customHeight="1">
      <c r="D384" t="s">
        <v>1305</v>
      </c>
      <c r="J384" s="1540" t="s">
        <v>2752</v>
      </c>
      <c r="K384" s="1307"/>
      <c r="L384" s="1307"/>
      <c r="M384" s="1307"/>
      <c r="N384" s="1307"/>
      <c r="O384" s="1307"/>
      <c r="P384" s="1307"/>
      <c r="Q384" s="1307"/>
      <c r="R384" s="1307"/>
      <c r="S384" s="1307"/>
      <c r="T384" s="1307"/>
      <c r="U384" s="1307"/>
      <c r="V384" s="8" t="s">
        <v>1306</v>
      </c>
      <c r="W384" s="8"/>
      <c r="X384" s="8"/>
      <c r="Y384" s="8"/>
      <c r="Z384" s="8"/>
      <c r="AA384" s="8"/>
      <c r="AB384" s="8"/>
      <c r="AC384" s="1540" t="s">
        <v>2753</v>
      </c>
      <c r="AD384" s="1307"/>
      <c r="AE384" s="1307"/>
      <c r="AF384" s="1307"/>
      <c r="AG384" s="1307"/>
      <c r="AH384" s="1307"/>
      <c r="AI384" s="1307"/>
      <c r="AJ384" s="1307"/>
    </row>
    <row r="385" spans="4:36" ht="12.95" customHeight="1">
      <c r="D385" s="3" t="s">
        <v>1307</v>
      </c>
      <c r="J385" s="1305" t="s">
        <v>2754</v>
      </c>
      <c r="K385" s="1326"/>
      <c r="L385" s="1326"/>
      <c r="M385" s="1326"/>
      <c r="N385" s="1326"/>
      <c r="O385" s="1326"/>
      <c r="P385" s="1326"/>
      <c r="Q385" s="1326"/>
      <c r="R385" s="1326"/>
      <c r="S385" s="1326"/>
      <c r="T385" s="1326"/>
      <c r="U385" s="1326"/>
      <c r="V385" s="3" t="s">
        <v>1307</v>
      </c>
      <c r="W385" s="8"/>
      <c r="X385" s="8"/>
      <c r="Y385" s="8"/>
      <c r="Z385" s="8"/>
      <c r="AA385" s="8"/>
      <c r="AB385" s="8"/>
      <c r="AC385" s="1540" t="s">
        <v>2755</v>
      </c>
      <c r="AD385" s="1307"/>
      <c r="AE385" s="1307"/>
      <c r="AF385" s="1307"/>
      <c r="AG385" s="1307"/>
      <c r="AH385" s="1307"/>
      <c r="AI385" s="1307"/>
      <c r="AJ385" s="1307"/>
    </row>
    <row r="386" spans="4:36" ht="12.95" customHeight="1">
      <c r="D386" s="3" t="s">
        <v>922</v>
      </c>
      <c r="J386" s="1305" t="s">
        <v>2756</v>
      </c>
      <c r="K386" s="1326"/>
      <c r="L386" s="1326"/>
      <c r="M386" s="1326"/>
      <c r="N386" s="1326"/>
      <c r="O386" s="1326"/>
      <c r="P386" s="1326"/>
      <c r="Q386" s="1326"/>
      <c r="R386" s="1326"/>
      <c r="S386" s="1326"/>
      <c r="T386" s="1326"/>
      <c r="U386" s="1326"/>
      <c r="V386" s="3" t="s">
        <v>922</v>
      </c>
      <c r="W386" s="8"/>
      <c r="X386" s="8"/>
      <c r="Y386" s="8"/>
      <c r="Z386" s="8"/>
      <c r="AA386" s="8"/>
      <c r="AB386" s="8"/>
      <c r="AC386" s="1540" t="s">
        <v>2756</v>
      </c>
      <c r="AD386" s="1307"/>
      <c r="AE386" s="1307"/>
      <c r="AF386" s="1307"/>
      <c r="AG386" s="1307"/>
      <c r="AH386" s="1307"/>
      <c r="AI386" s="1307"/>
      <c r="AJ386" s="1307"/>
    </row>
    <row r="387" spans="4:36" ht="12.95" customHeight="1">
      <c r="D387" t="s">
        <v>1308</v>
      </c>
      <c r="J387" s="1340" t="s">
        <v>2757</v>
      </c>
      <c r="K387" s="1463"/>
      <c r="L387" s="1463"/>
      <c r="M387" s="1463"/>
      <c r="N387" s="1463"/>
      <c r="O387" s="1463"/>
      <c r="P387" s="1463"/>
      <c r="Q387" s="1463"/>
      <c r="R387" s="1463"/>
      <c r="S387" s="1463"/>
      <c r="T387" s="1463"/>
      <c r="U387" s="1463"/>
      <c r="V387" s="1540" t="s">
        <v>2758</v>
      </c>
      <c r="W387" s="1307"/>
      <c r="X387" s="1307"/>
      <c r="Y387" s="1307"/>
      <c r="Z387" s="1307"/>
      <c r="AA387" s="1307"/>
      <c r="AB387" s="1307"/>
      <c r="AC387" s="1307"/>
      <c r="AD387" s="1307"/>
      <c r="AE387" s="1307"/>
      <c r="AF387" s="1307"/>
      <c r="AG387" s="1307"/>
      <c r="AH387" s="1307"/>
      <c r="AI387" s="1307"/>
      <c r="AJ387" s="1307"/>
    </row>
    <row r="388" spans="4:36" ht="12.95" customHeight="1">
      <c r="D388" t="s">
        <v>1309</v>
      </c>
      <c r="Q388" s="1561">
        <v>43644</v>
      </c>
      <c r="R388" s="1561"/>
      <c r="S388" s="1561"/>
      <c r="T388" s="1561"/>
      <c r="U388" s="1561"/>
      <c r="V388" t="s">
        <v>1310</v>
      </c>
      <c r="AI388" s="1308" t="s">
        <v>837</v>
      </c>
      <c r="AJ388" s="1308"/>
    </row>
    <row r="389" spans="4:36" ht="12.95" customHeight="1">
      <c r="D389" t="s">
        <v>1311</v>
      </c>
      <c r="Q389" s="1620">
        <v>43764</v>
      </c>
      <c r="R389" s="1674"/>
      <c r="S389" s="1674"/>
      <c r="T389" s="1674"/>
      <c r="U389" s="1674"/>
      <c r="W389" s="19" t="s">
        <v>1312</v>
      </c>
      <c r="AG389" s="1609"/>
      <c r="AH389" s="1609"/>
      <c r="AI389" s="1609"/>
      <c r="AJ389" s="1609"/>
    </row>
    <row r="390" spans="4:36" ht="12.95" customHeight="1">
      <c r="D390" t="s">
        <v>1313</v>
      </c>
      <c r="Q390" s="1484">
        <v>9500000</v>
      </c>
      <c r="R390" s="1484"/>
      <c r="S390" s="1484"/>
      <c r="T390" s="1484"/>
      <c r="U390" s="1484"/>
      <c r="V390" s="3" t="s">
        <v>1314</v>
      </c>
      <c r="AG390" s="1757">
        <v>43837</v>
      </c>
      <c r="AH390" s="1757"/>
      <c r="AI390" s="1757"/>
      <c r="AJ390" s="1757"/>
    </row>
    <row r="391" spans="4:36" ht="12.95" customHeight="1">
      <c r="D391" t="s">
        <v>1160</v>
      </c>
      <c r="I391" s="1590" t="s">
        <v>2759</v>
      </c>
      <c r="J391" s="1590"/>
      <c r="K391" s="1590"/>
      <c r="L391" s="1590"/>
      <c r="M391" s="1590"/>
      <c r="N391" s="1590"/>
      <c r="Q391" s="3" t="s">
        <v>1162</v>
      </c>
      <c r="S391" s="1679"/>
      <c r="T391" s="1679"/>
      <c r="U391" s="1679"/>
      <c r="V391" t="s">
        <v>1315</v>
      </c>
      <c r="AI391" s="1308" t="s">
        <v>837</v>
      </c>
      <c r="AJ391" s="1308"/>
    </row>
    <row r="392" spans="4:36" ht="12.95" customHeight="1">
      <c r="D392" t="s">
        <v>1316</v>
      </c>
      <c r="Q392" s="1475">
        <v>4247.26</v>
      </c>
      <c r="R392" s="1475"/>
      <c r="S392" s="1475"/>
      <c r="T392" s="1475"/>
      <c r="U392" s="1475"/>
      <c r="V392" t="s">
        <v>1317</v>
      </c>
      <c r="AG392" s="1609">
        <v>161396</v>
      </c>
      <c r="AH392" s="1609"/>
      <c r="AI392" s="1609"/>
      <c r="AJ392" s="1609"/>
    </row>
    <row r="393" spans="4:36" ht="12.95" customHeight="1">
      <c r="D393" t="s">
        <v>1318</v>
      </c>
      <c r="Q393" s="1607">
        <f>(1.20826+0.0051)/100</f>
        <v>1.21336E-2</v>
      </c>
      <c r="R393" s="1607"/>
      <c r="S393" s="1607"/>
      <c r="T393" s="1607"/>
      <c r="U393" s="1607"/>
      <c r="V393" t="s">
        <v>1319</v>
      </c>
      <c r="AG393" s="1609">
        <v>0</v>
      </c>
      <c r="AH393" s="1609"/>
      <c r="AI393" s="1609"/>
      <c r="AJ393" s="1609"/>
    </row>
    <row r="394" spans="4:36" ht="12.95" customHeight="1">
      <c r="D394" t="s">
        <v>1320</v>
      </c>
      <c r="AG394" s="1609">
        <v>0</v>
      </c>
      <c r="AH394" s="1609"/>
      <c r="AI394" s="1609"/>
      <c r="AJ394" s="1609"/>
    </row>
    <row r="395" spans="4:36" ht="12.95" customHeight="1">
      <c r="AG395" s="1151"/>
      <c r="AH395" s="1151"/>
      <c r="AI395" s="1151"/>
      <c r="AJ395" s="1151"/>
    </row>
    <row r="396" spans="4:36" ht="12.95" customHeight="1">
      <c r="D396" s="3" t="s">
        <v>1321</v>
      </c>
      <c r="AG396" s="1151"/>
      <c r="AH396" s="1151"/>
      <c r="AI396" s="1308" t="s">
        <v>837</v>
      </c>
      <c r="AJ396" s="1308"/>
    </row>
    <row r="397" spans="4:36" ht="12.95" customHeight="1">
      <c r="D397" s="3" t="s">
        <v>1322</v>
      </c>
      <c r="T397" s="1720" t="s">
        <v>299</v>
      </c>
      <c r="U397" s="1721"/>
      <c r="V397" s="1721"/>
      <c r="W397" s="1721"/>
      <c r="X397" s="1721"/>
      <c r="Y397" s="1721"/>
      <c r="Z397" s="1721"/>
      <c r="AA397" s="1721"/>
      <c r="AB397" s="1721"/>
      <c r="AC397" s="1721"/>
      <c r="AD397" s="1721"/>
      <c r="AE397" s="1721"/>
      <c r="AF397" s="1721"/>
      <c r="AG397" s="1721"/>
      <c r="AH397" s="1721"/>
      <c r="AI397" s="1721"/>
      <c r="AJ397" s="1721"/>
    </row>
    <row r="398" spans="4:36" ht="12.95" customHeight="1">
      <c r="D398" s="3" t="s">
        <v>1323</v>
      </c>
      <c r="T398" s="1720" t="s">
        <v>299</v>
      </c>
      <c r="U398" s="1721"/>
      <c r="V398" s="1721"/>
      <c r="W398" s="1721"/>
      <c r="X398" s="1721"/>
      <c r="Y398" s="1721"/>
      <c r="Z398" s="1721"/>
      <c r="AA398" s="1721"/>
      <c r="AB398" s="1721"/>
      <c r="AC398" s="1721"/>
      <c r="AD398" s="1721"/>
      <c r="AE398" s="1721"/>
      <c r="AF398" s="1721"/>
      <c r="AG398" s="1721"/>
      <c r="AH398" s="1721"/>
      <c r="AI398" s="1721"/>
      <c r="AJ398" s="1721"/>
    </row>
    <row r="399" spans="4:36" ht="12.95" customHeight="1">
      <c r="AG399" s="1151"/>
      <c r="AH399" s="1151"/>
      <c r="AI399" s="1151"/>
      <c r="AJ399" s="1151"/>
    </row>
    <row r="400" spans="4:36" ht="12.95" customHeight="1">
      <c r="D400" s="3" t="s">
        <v>1324</v>
      </c>
      <c r="S400" s="1721" t="s">
        <v>837</v>
      </c>
      <c r="T400" s="1721"/>
      <c r="U400" s="1721"/>
      <c r="V400" t="s">
        <v>1325</v>
      </c>
      <c r="AG400" s="1749"/>
      <c r="AH400" s="1749"/>
      <c r="AI400" s="1749"/>
      <c r="AJ400" s="1749"/>
    </row>
    <row r="401" spans="1:36" ht="12.95" customHeight="1">
      <c r="D401" s="3" t="s">
        <v>1326</v>
      </c>
      <c r="S401" s="1721" t="s">
        <v>299</v>
      </c>
      <c r="T401" s="1721"/>
      <c r="U401" s="1721"/>
      <c r="V401" t="s">
        <v>1327</v>
      </c>
      <c r="AE401" s="1750"/>
      <c r="AF401" s="1750"/>
      <c r="AG401" s="1750"/>
      <c r="AH401" s="1750"/>
      <c r="AI401" s="1750"/>
      <c r="AJ401" s="1750"/>
    </row>
    <row r="402" spans="1:36" ht="12.95" customHeight="1">
      <c r="D402" s="3" t="s">
        <v>1329</v>
      </c>
      <c r="K402" s="1739"/>
      <c r="L402" s="1739"/>
      <c r="M402" s="1739"/>
      <c r="N402" s="1739"/>
      <c r="O402" s="1739"/>
      <c r="P402" s="1739"/>
      <c r="Q402" s="1739"/>
      <c r="R402" s="1739"/>
      <c r="S402" s="1739"/>
      <c r="T402" s="1739"/>
      <c r="U402" s="1739"/>
      <c r="V402" s="1739"/>
      <c r="W402" s="1739"/>
      <c r="X402" s="1739"/>
      <c r="Y402" s="1739"/>
      <c r="Z402" s="1739"/>
      <c r="AA402" s="1739"/>
      <c r="AB402" s="1739"/>
      <c r="AC402" s="1739"/>
      <c r="AD402" s="1739"/>
      <c r="AE402" s="1739"/>
      <c r="AF402" s="1739"/>
      <c r="AG402" s="1739"/>
      <c r="AH402" s="1739"/>
      <c r="AI402" s="1739"/>
      <c r="AJ402" s="1739"/>
    </row>
    <row r="403" spans="1:36" ht="12.95" customHeight="1">
      <c r="D403" s="3" t="s">
        <v>1330</v>
      </c>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row>
    <row r="404" spans="1:36" ht="12.95" customHeight="1">
      <c r="D404" s="3" t="s">
        <v>1332</v>
      </c>
      <c r="E404" s="403"/>
      <c r="F404" s="403"/>
      <c r="G404" s="403"/>
      <c r="H404" s="403"/>
      <c r="I404" s="403"/>
      <c r="J404" s="403"/>
      <c r="K404" s="403"/>
      <c r="L404" s="403"/>
      <c r="M404" s="403"/>
      <c r="N404" s="403"/>
      <c r="O404" s="403"/>
      <c r="P404" s="403"/>
      <c r="Q404" s="403"/>
      <c r="R404" s="403"/>
      <c r="S404" s="1759" t="s">
        <v>2760</v>
      </c>
      <c r="T404" s="1759"/>
      <c r="U404" s="1759"/>
      <c r="V404" s="1759"/>
      <c r="W404" s="1759"/>
      <c r="X404" s="1759"/>
      <c r="Y404" s="1759"/>
      <c r="Z404" s="1759"/>
      <c r="AA404" s="1759"/>
      <c r="AB404" s="1759"/>
      <c r="AC404" s="1759"/>
      <c r="AD404" s="1759"/>
      <c r="AE404" s="1759"/>
      <c r="AF404" s="1759"/>
      <c r="AG404" s="1759"/>
      <c r="AH404" s="1759"/>
      <c r="AI404" s="1759"/>
      <c r="AJ404" s="1759"/>
    </row>
    <row r="405" spans="1:36" ht="12.95" customHeight="1">
      <c r="D405" s="1223" t="s">
        <v>1333</v>
      </c>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c r="AA405" s="1223"/>
      <c r="AB405" s="1223"/>
      <c r="AC405" s="1223"/>
      <c r="AD405" s="1223"/>
      <c r="AE405" s="1223"/>
      <c r="AF405" s="1223"/>
      <c r="AG405" s="1223"/>
      <c r="AH405" s="1223"/>
      <c r="AI405" s="1223"/>
      <c r="AJ405" s="1223"/>
    </row>
    <row r="406" spans="1:36" ht="12.95" customHeight="1">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2.95" customHeight="1">
      <c r="AG407" s="1151"/>
      <c r="AH407" s="1151"/>
      <c r="AI407" s="1151"/>
      <c r="AJ407" s="1151"/>
    </row>
    <row r="408" spans="1:36" ht="12.95" customHeight="1">
      <c r="A408" s="2" t="s">
        <v>1102</v>
      </c>
      <c r="B408" s="2"/>
      <c r="C408" s="2" t="s">
        <v>144</v>
      </c>
    </row>
    <row r="409" spans="1:36" ht="12.95" customHeight="1">
      <c r="B409" s="2"/>
      <c r="C409" s="2"/>
      <c r="D409" s="2" t="s">
        <v>1334</v>
      </c>
      <c r="I409" s="1540" t="s">
        <v>1335</v>
      </c>
      <c r="J409" s="1540"/>
      <c r="K409" s="1540"/>
      <c r="L409" s="1540"/>
      <c r="M409" s="1540"/>
      <c r="N409" s="1540"/>
      <c r="O409" s="1540"/>
      <c r="P409" s="1540"/>
      <c r="Q409" s="1540"/>
      <c r="R409" s="1540"/>
      <c r="S409" s="1540"/>
      <c r="T409" s="1540"/>
      <c r="U409" s="1540"/>
      <c r="V409" s="1540"/>
      <c r="W409" s="1540"/>
      <c r="X409" s="1540"/>
      <c r="Y409" s="1540"/>
      <c r="Z409" s="1540"/>
      <c r="AA409" s="1540"/>
      <c r="AB409" s="1540"/>
      <c r="AC409" s="1540"/>
      <c r="AD409" s="1540"/>
      <c r="AE409" s="1540"/>
    </row>
    <row r="410" spans="1:36" ht="12.95" customHeight="1">
      <c r="E410" t="s">
        <v>1336</v>
      </c>
      <c r="R410" s="1308" t="s">
        <v>946</v>
      </c>
      <c r="S410" s="1308"/>
      <c r="T410" t="s">
        <v>1337</v>
      </c>
      <c r="AD410" s="1673">
        <v>5</v>
      </c>
      <c r="AE410" s="1673"/>
    </row>
    <row r="411" spans="1:36" ht="12.95" customHeight="1">
      <c r="E411" t="s">
        <v>1338</v>
      </c>
      <c r="R411" s="1308" t="s">
        <v>299</v>
      </c>
      <c r="S411" s="1308"/>
      <c r="T411" t="s">
        <v>1337</v>
      </c>
      <c r="AD411" s="1673">
        <v>0</v>
      </c>
      <c r="AE411" s="1673"/>
    </row>
    <row r="412" spans="1:36" ht="12.95" customHeight="1">
      <c r="E412" t="s">
        <v>1339</v>
      </c>
      <c r="S412" s="1308" t="s">
        <v>299</v>
      </c>
      <c r="T412" s="1308"/>
    </row>
    <row r="413" spans="1:36" ht="12.95" customHeight="1">
      <c r="E413" t="s">
        <v>232</v>
      </c>
      <c r="H413" s="1605" t="s">
        <v>1340</v>
      </c>
      <c r="I413" s="1605"/>
      <c r="J413" s="1605"/>
      <c r="K413" s="1605"/>
      <c r="L413" s="1605"/>
      <c r="M413" s="1605"/>
      <c r="N413" s="1605"/>
      <c r="O413" s="1605"/>
      <c r="P413" s="1605"/>
      <c r="Q413" s="1605"/>
      <c r="R413" s="1605"/>
      <c r="S413" s="1605"/>
      <c r="T413" s="1605"/>
      <c r="U413" s="1605"/>
      <c r="V413" s="1605"/>
      <c r="W413" s="1605"/>
      <c r="X413" s="1605"/>
      <c r="Y413" s="1605"/>
      <c r="Z413" s="1605"/>
      <c r="AA413" s="1605"/>
      <c r="AB413" s="1605"/>
      <c r="AC413" s="1605"/>
      <c r="AD413" s="1605"/>
      <c r="AE413" s="1605"/>
    </row>
    <row r="414" spans="1:36" ht="12.95" customHeight="1">
      <c r="H414" s="1606"/>
      <c r="I414" s="1606"/>
      <c r="J414" s="1606"/>
      <c r="K414" s="1606"/>
      <c r="L414" s="1606"/>
      <c r="M414" s="1606"/>
      <c r="N414" s="1606"/>
      <c r="O414" s="1606"/>
      <c r="P414" s="1606"/>
      <c r="Q414" s="1606"/>
      <c r="R414" s="1606"/>
      <c r="S414" s="1606"/>
      <c r="T414" s="1606"/>
      <c r="U414" s="1606"/>
      <c r="V414" s="1606"/>
      <c r="W414" s="1606"/>
      <c r="X414" s="1606"/>
      <c r="Y414" s="1606"/>
      <c r="Z414" s="1606"/>
      <c r="AA414" s="1606"/>
      <c r="AB414" s="1606"/>
      <c r="AC414" s="1606"/>
      <c r="AD414" s="1606"/>
      <c r="AE414" s="1606"/>
    </row>
    <row r="415" spans="1:36" ht="12.95" customHeight="1"/>
    <row r="416" spans="1:36" ht="12.95" customHeight="1">
      <c r="A416" s="2" t="s">
        <v>1114</v>
      </c>
      <c r="B416" s="2"/>
      <c r="C416" s="2"/>
      <c r="D416" s="2" t="s">
        <v>149</v>
      </c>
      <c r="AF416" s="2" t="s">
        <v>1341</v>
      </c>
    </row>
    <row r="417" spans="1:39" ht="12.95" customHeight="1">
      <c r="E417" s="1562"/>
      <c r="F417" s="1562"/>
      <c r="G417" s="1562"/>
      <c r="H417" s="13" t="s">
        <v>1342</v>
      </c>
      <c r="I417" s="1562"/>
      <c r="J417" s="1562"/>
      <c r="K417" s="1562"/>
      <c r="L417" t="s">
        <v>1343</v>
      </c>
      <c r="N417" s="24" t="s">
        <v>35</v>
      </c>
      <c r="P417" s="1678">
        <v>1.03986</v>
      </c>
      <c r="Q417" s="1678"/>
      <c r="R417" s="1678"/>
      <c r="S417" t="s">
        <v>1344</v>
      </c>
      <c r="W417" s="1788">
        <f>IF(E417&gt;0,(E417*I417),(P417*43560))</f>
        <v>45296.301599999999</v>
      </c>
      <c r="X417" s="1788"/>
      <c r="Y417" s="1788"/>
      <c r="Z417" t="s">
        <v>1345</v>
      </c>
      <c r="AF417" s="1768">
        <f>IF(P417&gt;0,(AG436/P417),(AG436/(W417/43560)))</f>
        <v>81.741772930971479</v>
      </c>
      <c r="AG417" s="1768"/>
      <c r="AH417" s="1768"/>
      <c r="AM417" s="3"/>
    </row>
    <row r="418" spans="1:39" ht="12.95" customHeight="1">
      <c r="E418" t="s">
        <v>1346</v>
      </c>
    </row>
    <row r="419" spans="1:39" ht="12.95" customHeight="1">
      <c r="E419" s="1785"/>
      <c r="F419" s="1785"/>
      <c r="G419" s="1785"/>
      <c r="H419" s="1785"/>
      <c r="I419" s="1785"/>
      <c r="J419" s="1785"/>
      <c r="K419" s="1785"/>
      <c r="L419" s="1785"/>
      <c r="M419" s="1785"/>
      <c r="N419" s="1785"/>
      <c r="O419" s="1785"/>
      <c r="P419" s="1785"/>
      <c r="Q419" s="1785"/>
      <c r="R419" s="1785"/>
      <c r="S419" s="1785"/>
      <c r="T419" s="1785"/>
      <c r="U419" s="1785"/>
      <c r="V419" s="1785"/>
      <c r="W419" s="1785"/>
      <c r="X419" s="1785"/>
      <c r="Y419" s="1785"/>
      <c r="Z419" s="1785"/>
      <c r="AA419" s="1785"/>
      <c r="AB419" s="1785"/>
      <c r="AC419" s="1785"/>
      <c r="AD419" s="1785"/>
      <c r="AE419" s="1785"/>
      <c r="AF419" s="1785"/>
      <c r="AG419" s="1785"/>
      <c r="AH419" s="1785"/>
      <c r="AI419" s="1785"/>
      <c r="AJ419" s="1785"/>
    </row>
    <row r="420" spans="1:39" ht="12.95" customHeight="1">
      <c r="E420" s="85" t="s">
        <v>1347</v>
      </c>
      <c r="F420" s="19"/>
      <c r="G420" s="19"/>
      <c r="H420" s="19"/>
      <c r="I420" s="1604">
        <v>1.03986</v>
      </c>
      <c r="J420" s="1604"/>
      <c r="K420" s="1604"/>
      <c r="L420" s="19"/>
      <c r="M420" s="85"/>
      <c r="N420" s="19"/>
      <c r="O420" s="19"/>
      <c r="P420" s="1551">
        <f>(CS623+CS631+CS647)/I420</f>
        <v>144.25018752524377</v>
      </c>
      <c r="Q420" s="1551"/>
      <c r="R420" s="1551"/>
      <c r="S420" s="85" t="s">
        <v>1348</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1137</v>
      </c>
      <c r="B422" s="2"/>
      <c r="C422" s="2"/>
      <c r="D422" s="2" t="s">
        <v>151</v>
      </c>
    </row>
    <row r="423" spans="1:39" ht="12.95" customHeight="1">
      <c r="E423" t="s">
        <v>1349</v>
      </c>
      <c r="P423" s="1308">
        <v>1</v>
      </c>
      <c r="Q423" s="1308"/>
      <c r="S423" t="s">
        <v>1350</v>
      </c>
      <c r="AE423" s="1308">
        <v>1</v>
      </c>
      <c r="AF423" s="1308"/>
    </row>
    <row r="424" spans="1:39" ht="12.95" customHeight="1">
      <c r="E424" t="s">
        <v>1351</v>
      </c>
      <c r="P424" s="1308">
        <v>0</v>
      </c>
      <c r="Q424" s="1308"/>
      <c r="S424" t="s">
        <v>1352</v>
      </c>
      <c r="AE424" s="1308" t="s">
        <v>299</v>
      </c>
      <c r="AF424" s="1308"/>
    </row>
    <row r="425" spans="1:39" ht="12.95" customHeight="1">
      <c r="F425" s="20" t="s">
        <v>1353</v>
      </c>
    </row>
    <row r="426" spans="1:39" ht="12.95" customHeight="1">
      <c r="F426" s="1709"/>
      <c r="G426" s="1709"/>
      <c r="H426" s="1709"/>
      <c r="I426" s="1709"/>
      <c r="J426" s="1709"/>
      <c r="K426" s="1709"/>
      <c r="L426" s="1709"/>
      <c r="M426" s="1709"/>
      <c r="N426" s="1709"/>
      <c r="O426" s="1709"/>
      <c r="P426" s="1709"/>
      <c r="Q426" s="1709"/>
      <c r="R426" s="1709"/>
      <c r="S426" s="1709"/>
      <c r="T426" s="1709"/>
      <c r="U426" s="1709"/>
      <c r="V426" s="1709"/>
      <c r="W426" s="1709"/>
      <c r="X426" s="1709"/>
      <c r="Y426" s="1709"/>
      <c r="Z426" s="1709"/>
      <c r="AA426" s="1709"/>
      <c r="AB426" s="1709"/>
      <c r="AC426" s="1709"/>
      <c r="AD426" s="1709"/>
      <c r="AE426" s="1709"/>
      <c r="AF426" s="1709"/>
      <c r="AG426" s="1709"/>
      <c r="AH426" s="1709"/>
    </row>
    <row r="427" spans="1:39" ht="12.95" customHeight="1">
      <c r="F427" s="1538"/>
      <c r="G427" s="1538"/>
      <c r="H427" s="1538"/>
      <c r="I427" s="1538"/>
      <c r="J427" s="1538"/>
      <c r="K427" s="1538"/>
      <c r="L427" s="1538"/>
      <c r="M427" s="1538"/>
      <c r="N427" s="1538"/>
      <c r="O427" s="1538"/>
      <c r="P427" s="1538"/>
      <c r="Q427" s="1538"/>
      <c r="R427" s="1538"/>
      <c r="S427" s="1538"/>
      <c r="T427" s="1538"/>
      <c r="U427" s="1538"/>
      <c r="V427" s="1538"/>
      <c r="W427" s="1538"/>
      <c r="X427" s="1538"/>
      <c r="Y427" s="1538"/>
      <c r="Z427" s="1538"/>
      <c r="AA427" s="1538"/>
      <c r="AB427" s="1538"/>
      <c r="AC427" s="1538"/>
      <c r="AD427" s="1538"/>
      <c r="AE427" s="1538"/>
      <c r="AF427" s="1538"/>
      <c r="AG427" s="1538"/>
      <c r="AH427" s="1538"/>
    </row>
    <row r="428" spans="1:39" ht="12.95" customHeight="1">
      <c r="E428" t="s">
        <v>1354</v>
      </c>
      <c r="P428" s="1"/>
      <c r="Q428" s="1308" t="s">
        <v>946</v>
      </c>
      <c r="R428" s="1308"/>
    </row>
    <row r="429" spans="1:39" ht="12.95" customHeight="1">
      <c r="F429" t="s">
        <v>1355</v>
      </c>
      <c r="P429" s="1"/>
      <c r="Q429" s="1"/>
      <c r="AF429" s="1308" t="s">
        <v>299</v>
      </c>
      <c r="AG429" s="1722"/>
    </row>
    <row r="430" spans="1:39" ht="12.95" customHeight="1"/>
    <row r="431" spans="1:39" ht="12.95" customHeight="1">
      <c r="A431" s="2"/>
      <c r="B431" s="2"/>
      <c r="C431" s="2"/>
      <c r="E431" s="3" t="s">
        <v>1356</v>
      </c>
      <c r="Z431" s="1308" t="s">
        <v>837</v>
      </c>
      <c r="AA431" s="1308"/>
    </row>
    <row r="432" spans="1:39" ht="12.95" customHeight="1">
      <c r="F432" s="32" t="s">
        <v>1357</v>
      </c>
      <c r="G432" s="33"/>
      <c r="H432" s="33"/>
      <c r="I432" s="33"/>
      <c r="J432" s="33"/>
      <c r="K432" s="33"/>
      <c r="L432" s="33"/>
      <c r="M432" s="33"/>
      <c r="N432" s="33"/>
      <c r="O432" s="33"/>
      <c r="P432" s="33"/>
      <c r="Q432" s="33"/>
      <c r="R432" s="33"/>
      <c r="S432" s="33"/>
      <c r="T432" s="33"/>
      <c r="U432" s="33"/>
      <c r="V432" s="33"/>
      <c r="W432" s="33"/>
      <c r="AB432" s="33"/>
    </row>
    <row r="433" spans="1:110" ht="12.95" customHeight="1">
      <c r="F433" t="s">
        <v>1358</v>
      </c>
      <c r="G433" s="33"/>
      <c r="I433" s="33"/>
      <c r="J433" s="33"/>
      <c r="K433" s="33"/>
      <c r="L433" s="33"/>
      <c r="M433" s="33"/>
      <c r="N433" s="33"/>
      <c r="O433" s="20"/>
      <c r="P433" s="33"/>
      <c r="Q433" s="33"/>
      <c r="R433" s="33"/>
      <c r="S433" s="33"/>
      <c r="T433" s="33"/>
      <c r="U433" s="33"/>
      <c r="V433" s="33"/>
      <c r="W433" s="33"/>
      <c r="Z433" s="1308" t="s">
        <v>299</v>
      </c>
      <c r="AA433" s="1308"/>
    </row>
    <row r="434" spans="1:110" ht="12.95" customHeight="1"/>
    <row r="435" spans="1:110" ht="12.95" customHeight="1">
      <c r="A435" s="2" t="s">
        <v>1196</v>
      </c>
      <c r="B435" s="2"/>
      <c r="C435" s="2"/>
      <c r="D435" s="2" t="s">
        <v>158</v>
      </c>
      <c r="AF435" s="41"/>
    </row>
    <row r="436" spans="1:110" ht="12.95" customHeight="1">
      <c r="D436" s="1578" t="s">
        <v>1359</v>
      </c>
      <c r="E436" s="1532"/>
      <c r="F436" s="1532"/>
      <c r="G436" s="1532"/>
      <c r="H436" s="1532"/>
      <c r="I436" s="1532"/>
      <c r="J436" s="1532"/>
      <c r="K436" s="1532"/>
      <c r="L436" s="1532"/>
      <c r="M436" s="1532"/>
      <c r="N436" s="1532"/>
      <c r="O436" s="1532"/>
      <c r="P436" s="1532"/>
      <c r="Q436" s="1532"/>
      <c r="R436" s="1532"/>
      <c r="S436" s="1532"/>
      <c r="T436" s="1532"/>
      <c r="U436" s="1532"/>
      <c r="V436" s="1532"/>
      <c r="W436" s="1532"/>
      <c r="X436" s="1532"/>
      <c r="Y436" s="1532"/>
      <c r="Z436" s="1532"/>
      <c r="AA436" s="1532"/>
      <c r="AB436" s="1532"/>
      <c r="AC436" s="1532"/>
      <c r="AD436" s="1532"/>
      <c r="AE436" s="1532"/>
      <c r="AF436" s="1748"/>
      <c r="AG436" s="1738">
        <v>85</v>
      </c>
      <c r="AH436" s="1738"/>
      <c r="AI436" s="1738"/>
      <c r="AJ436" s="1738"/>
    </row>
    <row r="437" spans="1:110" ht="12.95" customHeight="1">
      <c r="D437" s="1531" t="s">
        <v>1360</v>
      </c>
      <c r="E437" s="1595"/>
      <c r="F437" s="1595"/>
      <c r="G437" s="1595"/>
      <c r="H437" s="1595"/>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6"/>
      <c r="AG437" s="1789"/>
      <c r="AH437" s="1563"/>
      <c r="AI437" s="1563"/>
      <c r="AJ437" s="1563"/>
    </row>
    <row r="438" spans="1:110" ht="12.95" customHeight="1">
      <c r="D438" s="1531" t="s">
        <v>1361</v>
      </c>
      <c r="E438" s="1595"/>
      <c r="F438" s="1595"/>
      <c r="G438" s="1595"/>
      <c r="H438" s="1595"/>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6"/>
      <c r="AG438" s="1738">
        <v>84</v>
      </c>
      <c r="AH438" s="1738"/>
      <c r="AI438" s="1738"/>
      <c r="AJ438" s="1738"/>
    </row>
    <row r="439" spans="1:110" ht="12.95" customHeight="1">
      <c r="D439" s="1531" t="s">
        <v>1362</v>
      </c>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6"/>
      <c r="AG439" s="1738">
        <v>84</v>
      </c>
      <c r="AH439" s="1738"/>
      <c r="AI439" s="1738"/>
      <c r="AJ439" s="1738"/>
    </row>
    <row r="440" spans="1:110" ht="12.95" customHeight="1">
      <c r="D440" s="1531" t="s">
        <v>1363</v>
      </c>
      <c r="E440" s="1595"/>
      <c r="F440" s="1595"/>
      <c r="G440" s="1595"/>
      <c r="H440" s="1595"/>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6"/>
      <c r="AG440" s="1769">
        <f>IF(ISERROR(AG439/AG438),"",AG439/AG438)</f>
        <v>1</v>
      </c>
      <c r="AH440" s="1769"/>
      <c r="AI440" s="1769"/>
      <c r="AJ440" s="1769"/>
    </row>
    <row r="441" spans="1:110" ht="12.95" customHeight="1">
      <c r="D441" s="1531" t="s">
        <v>1364</v>
      </c>
      <c r="E441" s="1595"/>
      <c r="F441" s="1595"/>
      <c r="G441" s="1595"/>
      <c r="H441" s="1595"/>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6"/>
      <c r="AG441" s="1745">
        <v>58502</v>
      </c>
      <c r="AH441" s="1745"/>
      <c r="AI441" s="1745"/>
      <c r="AJ441" s="1745"/>
    </row>
    <row r="442" spans="1:110" ht="12.95" customHeight="1">
      <c r="D442" s="1531" t="s">
        <v>1365</v>
      </c>
      <c r="E442" s="1595"/>
      <c r="F442" s="1595"/>
      <c r="G442" s="1595"/>
      <c r="H442" s="1595"/>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6"/>
      <c r="AG442" s="1745">
        <v>58502</v>
      </c>
      <c r="AH442" s="1745"/>
      <c r="AI442" s="1745"/>
      <c r="AJ442" s="1745"/>
    </row>
    <row r="443" spans="1:110" ht="12.95" customHeight="1">
      <c r="D443" s="1531" t="s">
        <v>1366</v>
      </c>
      <c r="E443" s="1595"/>
      <c r="F443" s="1595"/>
      <c r="G443" s="1595"/>
      <c r="H443" s="1595"/>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6"/>
      <c r="AG443" s="1769">
        <v>1</v>
      </c>
      <c r="AH443" s="1769"/>
      <c r="AI443" s="1769"/>
      <c r="AJ443" s="1769"/>
    </row>
    <row r="444" spans="1:110" ht="12.95" customHeight="1">
      <c r="D444" s="1531" t="s">
        <v>1367</v>
      </c>
      <c r="E444" s="1595"/>
      <c r="F444" s="1595"/>
      <c r="G444" s="1595"/>
      <c r="H444" s="1595"/>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6"/>
      <c r="AG444" s="1769">
        <f>MIN(IF(AG440&gt;AG443,AG443,AG440),1)</f>
        <v>1</v>
      </c>
      <c r="AH444" s="1769"/>
      <c r="AI444" s="1769"/>
      <c r="AJ444" s="1769"/>
    </row>
    <row r="445" spans="1:110" ht="12.95" customHeight="1">
      <c r="D445" s="1531" t="s">
        <v>1368</v>
      </c>
      <c r="E445" s="1532"/>
      <c r="F445" s="1532"/>
      <c r="G445" s="1532"/>
      <c r="H445" s="1532"/>
      <c r="I445" s="1532"/>
      <c r="J445" s="1532"/>
      <c r="K445" s="1532"/>
      <c r="L445" s="1532"/>
      <c r="M445" s="1532"/>
      <c r="N445" s="1532"/>
      <c r="O445" s="1532"/>
      <c r="P445" s="1532"/>
      <c r="Q445" s="1532"/>
      <c r="R445" s="1532"/>
      <c r="S445" s="1532"/>
      <c r="T445" s="1532"/>
      <c r="U445" s="1532"/>
      <c r="V445" s="1532"/>
      <c r="W445" s="1532"/>
      <c r="X445" s="1532"/>
      <c r="Y445" s="1532"/>
      <c r="Z445" s="1532"/>
      <c r="AA445" s="1532"/>
      <c r="AB445" s="1532"/>
      <c r="AC445" s="1532"/>
      <c r="AD445" s="1532"/>
      <c r="AE445" s="1532"/>
      <c r="AF445" s="1748"/>
      <c r="AG445" s="1745">
        <v>1870</v>
      </c>
      <c r="AH445" s="1745"/>
      <c r="AI445" s="1745"/>
      <c r="AJ445" s="1745"/>
    </row>
    <row r="446" spans="1:110" ht="12.95" customHeight="1">
      <c r="D446" s="1578" t="s">
        <v>1369</v>
      </c>
      <c r="E446" s="1532"/>
      <c r="F446" s="1532"/>
      <c r="G446" s="1532"/>
      <c r="H446" s="1532"/>
      <c r="I446" s="1532"/>
      <c r="J446" s="1532"/>
      <c r="K446" s="1532"/>
      <c r="L446" s="1532"/>
      <c r="M446" s="1532"/>
      <c r="N446" s="1532"/>
      <c r="O446" s="1532"/>
      <c r="P446" s="1532"/>
      <c r="Q446" s="1532"/>
      <c r="R446" s="1532"/>
      <c r="S446" s="1532"/>
      <c r="T446" s="1532"/>
      <c r="U446" s="1532"/>
      <c r="V446" s="1532"/>
      <c r="W446" s="1532"/>
      <c r="X446" s="1532"/>
      <c r="Y446" s="1532"/>
      <c r="Z446" s="1532"/>
      <c r="AA446" s="1532"/>
      <c r="AB446" s="1532"/>
      <c r="AC446" s="1532"/>
      <c r="AD446" s="1532"/>
      <c r="AE446" s="1532"/>
      <c r="AF446" s="1748"/>
      <c r="AG446" s="1745"/>
      <c r="AH446" s="1745"/>
      <c r="AI446" s="1745"/>
      <c r="AJ446" s="174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31" t="s">
        <v>1370</v>
      </c>
      <c r="E447" s="1532"/>
      <c r="F447" s="1532"/>
      <c r="G447" s="1532"/>
      <c r="H447" s="1532"/>
      <c r="I447" s="1532"/>
      <c r="J447" s="1532"/>
      <c r="K447" s="1532"/>
      <c r="L447" s="1532"/>
      <c r="M447" s="1532"/>
      <c r="N447" s="1532"/>
      <c r="O447" s="1532"/>
      <c r="P447" s="1532"/>
      <c r="Q447" s="1532"/>
      <c r="R447" s="1532"/>
      <c r="S447" s="1532"/>
      <c r="T447" s="1532"/>
      <c r="U447" s="1532"/>
      <c r="V447" s="1532"/>
      <c r="W447" s="1532"/>
      <c r="X447" s="1532"/>
      <c r="Y447" s="1532"/>
      <c r="Z447" s="1532"/>
      <c r="AA447" s="1532"/>
      <c r="AB447" s="1532"/>
      <c r="AC447" s="1532"/>
      <c r="AD447" s="1532"/>
      <c r="AE447" s="1532"/>
      <c r="AF447" s="1748"/>
      <c r="AG447" s="1745">
        <f>611+20885</f>
        <v>21496</v>
      </c>
      <c r="AH447" s="1745"/>
      <c r="AI447" s="1745"/>
      <c r="AJ447" s="174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31" t="s">
        <v>1371</v>
      </c>
      <c r="E448" s="1532"/>
      <c r="F448" s="1532"/>
      <c r="G448" s="1532"/>
      <c r="H448" s="1532"/>
      <c r="I448" s="1532"/>
      <c r="J448" s="1532"/>
      <c r="K448" s="1532"/>
      <c r="L448" s="1532"/>
      <c r="M448" s="1532"/>
      <c r="N448" s="1532"/>
      <c r="O448" s="1532"/>
      <c r="P448" s="1532"/>
      <c r="Q448" s="1532"/>
      <c r="R448" s="1532"/>
      <c r="S448" s="1532"/>
      <c r="T448" s="1532"/>
      <c r="U448" s="1532"/>
      <c r="V448" s="1532"/>
      <c r="W448" s="1532"/>
      <c r="X448" s="1532"/>
      <c r="Y448" s="1532"/>
      <c r="Z448" s="1532"/>
      <c r="AA448" s="1532"/>
      <c r="AB448" s="1532"/>
      <c r="AC448" s="1532"/>
      <c r="AD448" s="1532"/>
      <c r="AE448" s="1532"/>
      <c r="AF448" s="1748"/>
      <c r="AG448" s="1745">
        <v>12334</v>
      </c>
      <c r="AH448" s="1745"/>
      <c r="AI448" s="1745"/>
      <c r="AJ448" s="174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51" t="s">
        <v>1372</v>
      </c>
      <c r="E449" s="1752"/>
      <c r="F449" s="1752"/>
      <c r="G449" s="1752"/>
      <c r="H449" s="1752"/>
      <c r="I449" s="1752"/>
      <c r="J449" s="1752"/>
      <c r="K449" s="1752"/>
      <c r="L449" s="1752"/>
      <c r="M449" s="1752"/>
      <c r="N449" s="1752"/>
      <c r="O449" s="1752"/>
      <c r="P449" s="1752"/>
      <c r="Q449" s="1752"/>
      <c r="R449" s="1752"/>
      <c r="S449" s="1752"/>
      <c r="T449" s="1752"/>
      <c r="U449" s="1752"/>
      <c r="V449" s="1752"/>
      <c r="W449" s="1752"/>
      <c r="X449" s="1752"/>
      <c r="Y449" s="1752"/>
      <c r="Z449" s="1752"/>
      <c r="AA449" s="1752"/>
      <c r="AB449" s="1752"/>
      <c r="AC449" s="1752"/>
      <c r="AD449" s="1752"/>
      <c r="AE449" s="1752"/>
      <c r="AF449" s="1753"/>
      <c r="AG449" s="1744">
        <f>AG441+AG445+AG447+AG448</f>
        <v>94202</v>
      </c>
      <c r="AH449" s="1744"/>
      <c r="AI449" s="1744"/>
      <c r="AJ449" s="174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54" t="s">
        <v>1373</v>
      </c>
      <c r="E450" s="1754"/>
      <c r="F450" s="1754"/>
      <c r="G450" s="1754"/>
      <c r="H450" s="1754"/>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4"/>
      <c r="AG450" s="1754"/>
      <c r="AH450" s="1754"/>
      <c r="AI450" s="1754"/>
      <c r="AJ450" s="175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55"/>
      <c r="E451" s="1755"/>
      <c r="F451" s="1755"/>
      <c r="G451" s="1755"/>
      <c r="H451" s="1755"/>
      <c r="I451" s="1755"/>
      <c r="J451" s="1755"/>
      <c r="K451" s="1755"/>
      <c r="L451" s="1755"/>
      <c r="M451" s="1755"/>
      <c r="N451" s="1755"/>
      <c r="O451" s="1755"/>
      <c r="P451" s="1755"/>
      <c r="Q451" s="1755"/>
      <c r="R451" s="1755"/>
      <c r="S451" s="1755"/>
      <c r="T451" s="1755"/>
      <c r="U451" s="1755"/>
      <c r="V451" s="1755"/>
      <c r="W451" s="1755"/>
      <c r="X451" s="1755"/>
      <c r="Y451" s="1755"/>
      <c r="Z451" s="1755"/>
      <c r="AA451" s="1755"/>
      <c r="AB451" s="1755"/>
      <c r="AC451" s="1755"/>
      <c r="AD451" s="1755"/>
      <c r="AE451" s="1755"/>
      <c r="AF451" s="1755"/>
      <c r="AG451" s="1755"/>
      <c r="AH451" s="1755"/>
      <c r="AI451" s="1755"/>
      <c r="AJ451" s="175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1374</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34">
        <f>'Sources and Uses Budget'!B105/Application!AG436</f>
        <v>1089943.2</v>
      </c>
      <c r="AD453" s="1734"/>
      <c r="AE453" s="1734"/>
      <c r="AF453" s="1734"/>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1375</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34">
        <f>'Sources and Uses Budget'!C105/Application!AG436</f>
        <v>1089943.2</v>
      </c>
      <c r="AD454" s="1734"/>
      <c r="AE454" s="1734"/>
      <c r="AF454" s="1734"/>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1376</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34">
        <f>('Sources and Uses Budget'!$S$107+'Sources and Uses Budget'!$T$107)/Application!AG436</f>
        <v>884561.92941176472</v>
      </c>
      <c r="AD455" s="1734"/>
      <c r="AE455" s="1734"/>
      <c r="AF455" s="1734"/>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6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60"/>
      <c r="H456" s="1760"/>
      <c r="I456" s="1760"/>
      <c r="J456" s="1760"/>
      <c r="K456" s="1760"/>
      <c r="L456" s="1760"/>
      <c r="M456" s="1760"/>
      <c r="N456" s="1760"/>
      <c r="O456" s="1760"/>
      <c r="P456" s="1760"/>
      <c r="Q456" s="1760"/>
      <c r="R456" s="1760"/>
      <c r="S456" s="1760"/>
      <c r="T456" s="1760"/>
      <c r="U456" s="1760"/>
      <c r="V456" s="1760"/>
      <c r="W456" s="1760"/>
      <c r="X456" s="1760"/>
      <c r="Y456" s="1760"/>
      <c r="Z456" s="1760"/>
      <c r="AA456" s="1760"/>
      <c r="AB456" s="1760"/>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60"/>
      <c r="G457" s="1760"/>
      <c r="H457" s="1760"/>
      <c r="I457" s="1760"/>
      <c r="J457" s="1760"/>
      <c r="K457" s="1760"/>
      <c r="L457" s="1760"/>
      <c r="M457" s="1760"/>
      <c r="N457" s="1760"/>
      <c r="O457" s="1760"/>
      <c r="P457" s="1760"/>
      <c r="Q457" s="1760"/>
      <c r="R457" s="1760"/>
      <c r="S457" s="1760"/>
      <c r="T457" s="1760"/>
      <c r="U457" s="1760"/>
      <c r="V457" s="1760"/>
      <c r="W457" s="1760"/>
      <c r="X457" s="1760"/>
      <c r="Y457" s="1760"/>
      <c r="Z457" s="1760"/>
      <c r="AA457" s="1760"/>
      <c r="AB457" s="1760"/>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1377</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1378</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1379</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1380</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1381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735" t="s">
        <v>1382</v>
      </c>
      <c r="E464" s="1736"/>
      <c r="F464" s="1736"/>
      <c r="G464" s="1736"/>
      <c r="H464" s="1736"/>
      <c r="I464" s="1736"/>
      <c r="J464" s="1736"/>
      <c r="K464" s="1736"/>
      <c r="L464" s="1736"/>
      <c r="M464" s="1736"/>
      <c r="N464" s="1736"/>
      <c r="O464" s="1736"/>
      <c r="P464" s="1736"/>
      <c r="Q464" s="1736"/>
      <c r="R464" s="1736"/>
      <c r="S464" s="1736"/>
      <c r="T464" s="1736"/>
      <c r="U464" s="1736"/>
      <c r="V464" s="1737"/>
      <c r="W464" s="1608">
        <f>SUM(G714:J717)</f>
        <v>42</v>
      </c>
      <c r="X464" s="1592"/>
      <c r="Y464" s="1593"/>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35" t="s">
        <v>1383</v>
      </c>
      <c r="E465" s="1736"/>
      <c r="F465" s="1736"/>
      <c r="G465" s="1736"/>
      <c r="H465" s="1736"/>
      <c r="I465" s="1736"/>
      <c r="J465" s="1736"/>
      <c r="K465" s="1736"/>
      <c r="L465" s="1736"/>
      <c r="M465" s="1736"/>
      <c r="N465" s="1736"/>
      <c r="O465" s="1736"/>
      <c r="P465" s="1736"/>
      <c r="Q465" s="1736"/>
      <c r="R465" s="1736"/>
      <c r="S465" s="1736"/>
      <c r="T465" s="1736"/>
      <c r="U465" s="1736"/>
      <c r="V465" s="1737"/>
      <c r="W465" s="1591">
        <v>0</v>
      </c>
      <c r="X465" s="1592"/>
      <c r="Y465" s="1593"/>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35" t="s">
        <v>1384</v>
      </c>
      <c r="E466" s="1736"/>
      <c r="F466" s="1736"/>
      <c r="G466" s="1736"/>
      <c r="H466" s="1736"/>
      <c r="I466" s="1736"/>
      <c r="J466" s="1736"/>
      <c r="K466" s="1736"/>
      <c r="L466" s="1736"/>
      <c r="M466" s="1736"/>
      <c r="N466" s="1736"/>
      <c r="O466" s="1736"/>
      <c r="P466" s="1736"/>
      <c r="Q466" s="1736"/>
      <c r="R466" s="1736"/>
      <c r="S466" s="1736"/>
      <c r="T466" s="1736"/>
      <c r="U466" s="1736"/>
      <c r="V466" s="1737"/>
      <c r="W466" s="1591">
        <v>0</v>
      </c>
      <c r="X466" s="1592"/>
      <c r="Y466" s="1593"/>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35" t="s">
        <v>1385</v>
      </c>
      <c r="E467" s="1736"/>
      <c r="F467" s="1736"/>
      <c r="G467" s="1736"/>
      <c r="H467" s="1736"/>
      <c r="I467" s="1736"/>
      <c r="J467" s="1736"/>
      <c r="K467" s="1736"/>
      <c r="L467" s="1736"/>
      <c r="M467" s="1736"/>
      <c r="N467" s="1736"/>
      <c r="O467" s="1736"/>
      <c r="P467" s="1736"/>
      <c r="Q467" s="1736"/>
      <c r="R467" s="1736"/>
      <c r="S467" s="1736"/>
      <c r="T467" s="1736"/>
      <c r="U467" s="1736"/>
      <c r="V467" s="1737"/>
      <c r="W467" s="1591">
        <v>0</v>
      </c>
      <c r="X467" s="1592"/>
      <c r="Y467" s="1593"/>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35" t="s">
        <v>1386</v>
      </c>
      <c r="E468" s="1736"/>
      <c r="F468" s="1736"/>
      <c r="G468" s="1736"/>
      <c r="H468" s="1736"/>
      <c r="I468" s="1736"/>
      <c r="J468" s="1736"/>
      <c r="K468" s="1736"/>
      <c r="L468" s="1736"/>
      <c r="M468" s="1736"/>
      <c r="N468" s="1736"/>
      <c r="O468" s="1736"/>
      <c r="P468" s="1736"/>
      <c r="Q468" s="1736"/>
      <c r="R468" s="1736"/>
      <c r="S468" s="1736"/>
      <c r="T468" s="1736"/>
      <c r="U468" s="1736"/>
      <c r="V468" s="1737"/>
      <c r="W468" s="1591">
        <v>0</v>
      </c>
      <c r="X468" s="1592"/>
      <c r="Y468" s="1593"/>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35" t="s">
        <v>1387</v>
      </c>
      <c r="E469" s="1736"/>
      <c r="F469" s="1736"/>
      <c r="G469" s="1736"/>
      <c r="H469" s="1736"/>
      <c r="I469" s="1736"/>
      <c r="J469" s="1736"/>
      <c r="K469" s="1736"/>
      <c r="L469" s="1736"/>
      <c r="M469" s="1736"/>
      <c r="N469" s="1736"/>
      <c r="O469" s="1736"/>
      <c r="P469" s="1736"/>
      <c r="Q469" s="1736"/>
      <c r="R469" s="1736"/>
      <c r="S469" s="1736"/>
      <c r="T469" s="1736"/>
      <c r="U469" s="1736"/>
      <c r="V469" s="1737"/>
      <c r="W469" s="1591">
        <v>0</v>
      </c>
      <c r="X469" s="1592"/>
      <c r="Y469" s="1593"/>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35" t="s">
        <v>1388</v>
      </c>
      <c r="E470" s="1736"/>
      <c r="F470" s="1736"/>
      <c r="G470" s="1736"/>
      <c r="H470" s="1736"/>
      <c r="I470" s="1736"/>
      <c r="J470" s="1736"/>
      <c r="K470" s="1736"/>
      <c r="L470" s="1736"/>
      <c r="M470" s="1736"/>
      <c r="N470" s="1736"/>
      <c r="O470" s="1736"/>
      <c r="P470" s="1736"/>
      <c r="Q470" s="1736"/>
      <c r="R470" s="1736"/>
      <c r="S470" s="1736"/>
      <c r="T470" s="1736"/>
      <c r="U470" s="1736"/>
      <c r="V470" s="1737"/>
      <c r="W470" s="1591">
        <v>0</v>
      </c>
      <c r="X470" s="1592"/>
      <c r="Y470" s="1593"/>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35" t="s">
        <v>1389</v>
      </c>
      <c r="E471" s="1736"/>
      <c r="F471" s="1736"/>
      <c r="G471" s="1736"/>
      <c r="H471" s="1736"/>
      <c r="I471" s="1736"/>
      <c r="J471" s="1736"/>
      <c r="K471" s="1736"/>
      <c r="L471" s="1736"/>
      <c r="M471" s="1736"/>
      <c r="N471" s="1736"/>
      <c r="O471" s="1736"/>
      <c r="P471" s="1736"/>
      <c r="Q471" s="1736"/>
      <c r="R471" s="1736"/>
      <c r="S471" s="1736"/>
      <c r="T471" s="1736"/>
      <c r="U471" s="1736"/>
      <c r="V471" s="1737"/>
      <c r="W471" s="1591">
        <v>22</v>
      </c>
      <c r="X471" s="1592"/>
      <c r="Y471" s="1593"/>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41"/>
      <c r="H472" s="1742"/>
      <c r="I472" s="1742"/>
      <c r="J472" s="1742"/>
      <c r="K472" s="1742"/>
      <c r="L472" s="1742"/>
      <c r="M472" s="1742"/>
      <c r="N472" s="1742"/>
      <c r="O472" s="1742"/>
      <c r="P472" s="1742"/>
      <c r="Q472" s="1742"/>
      <c r="R472" s="1742"/>
      <c r="S472" s="1742"/>
      <c r="T472" s="1742"/>
      <c r="U472" s="1742"/>
      <c r="V472" s="1743"/>
      <c r="W472" s="1591">
        <v>0</v>
      </c>
      <c r="X472" s="1592"/>
      <c r="Y472" s="1593"/>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1390</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81" t="s">
        <v>1391</v>
      </c>
      <c r="B478" s="1581"/>
      <c r="C478" s="1581"/>
      <c r="D478" s="1581"/>
      <c r="E478" s="1581"/>
      <c r="F478" s="1581"/>
      <c r="G478" s="1581"/>
      <c r="H478" s="1581"/>
      <c r="I478" s="1581"/>
      <c r="J478" s="1581"/>
      <c r="K478" s="1581"/>
      <c r="L478" s="1581"/>
      <c r="M478" s="1581"/>
      <c r="N478" s="1581"/>
      <c r="O478" s="1581"/>
      <c r="P478" s="1581"/>
      <c r="Q478" s="1581"/>
      <c r="R478" s="1581"/>
      <c r="S478" s="1581"/>
      <c r="T478" s="1581"/>
      <c r="U478" s="1581"/>
      <c r="V478" s="1581"/>
      <c r="W478" s="1581"/>
      <c r="X478" s="1581"/>
      <c r="Y478" s="1581"/>
      <c r="Z478" s="1581"/>
      <c r="AA478" s="1581"/>
      <c r="AB478" s="1581"/>
      <c r="AC478" s="1581"/>
      <c r="AD478" s="1581"/>
      <c r="AE478" s="1581"/>
      <c r="AF478" s="1581"/>
      <c r="AG478" s="1581"/>
      <c r="AH478" s="1581"/>
      <c r="AI478" s="1581"/>
      <c r="AJ478" s="1581"/>
      <c r="AK478" s="1581"/>
      <c r="AL478" s="1581"/>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82"/>
      <c r="B479" s="1582"/>
      <c r="C479" s="1582"/>
      <c r="D479" s="1582"/>
      <c r="E479" s="1582"/>
      <c r="F479" s="1582"/>
      <c r="G479" s="1582"/>
      <c r="H479" s="1582"/>
      <c r="I479" s="1582"/>
      <c r="J479" s="1582"/>
      <c r="K479" s="1582"/>
      <c r="L479" s="1582"/>
      <c r="M479" s="1582"/>
      <c r="N479" s="1582"/>
      <c r="O479" s="1582"/>
      <c r="P479" s="1582"/>
      <c r="Q479" s="1582"/>
      <c r="R479" s="1582"/>
      <c r="S479" s="1582"/>
      <c r="T479" s="1582"/>
      <c r="U479" s="1582"/>
      <c r="V479" s="1582"/>
      <c r="W479" s="1582"/>
      <c r="X479" s="1582"/>
      <c r="Y479" s="1582"/>
      <c r="Z479" s="1582"/>
      <c r="AA479" s="1582"/>
      <c r="AB479" s="1582"/>
      <c r="AC479" s="1582"/>
      <c r="AD479" s="1582"/>
      <c r="AE479" s="1582"/>
      <c r="AF479" s="1582"/>
      <c r="AG479" s="1582"/>
      <c r="AH479" s="1582"/>
      <c r="AI479" s="1582"/>
      <c r="AJ479" s="1582"/>
      <c r="AK479" s="1582"/>
      <c r="AL479" s="1582"/>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971</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717" t="s">
        <v>1392</v>
      </c>
      <c r="R483" s="1718"/>
      <c r="S483" s="1718"/>
      <c r="T483" s="1718"/>
      <c r="U483" s="1718"/>
      <c r="V483" s="1718"/>
      <c r="W483" s="1718"/>
      <c r="X483" s="1718"/>
      <c r="Y483" s="1718"/>
      <c r="Z483" s="1718"/>
      <c r="AA483" s="1718"/>
      <c r="AB483" s="1718"/>
      <c r="AC483" s="1718"/>
      <c r="AD483" s="1718"/>
      <c r="AE483" s="1718"/>
      <c r="AF483" s="1718"/>
      <c r="AG483" s="1718"/>
      <c r="AH483" s="1718"/>
      <c r="AI483" s="1718"/>
      <c r="AJ483" s="1718"/>
      <c r="AK483" s="17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1393</v>
      </c>
      <c r="C484" s="5"/>
      <c r="D484" s="5"/>
      <c r="E484" s="5"/>
      <c r="F484" s="5"/>
      <c r="G484" s="5"/>
      <c r="H484" s="5"/>
      <c r="I484" s="5"/>
      <c r="J484" s="5"/>
      <c r="K484" s="5"/>
      <c r="L484" s="5"/>
      <c r="M484" s="5"/>
      <c r="N484" s="5"/>
      <c r="O484" s="5"/>
      <c r="P484" s="5"/>
      <c r="Q484" s="1622" t="s">
        <v>1394</v>
      </c>
      <c r="R484" s="1326"/>
      <c r="S484" s="1326"/>
      <c r="T484" s="1326"/>
      <c r="U484" s="1326"/>
      <c r="V484" s="1326"/>
      <c r="W484" s="1326"/>
      <c r="X484" s="1326"/>
      <c r="Y484" s="1326"/>
      <c r="Z484" s="1326"/>
      <c r="AA484" s="1326"/>
      <c r="AB484" s="1326"/>
      <c r="AC484" s="1326"/>
      <c r="AD484" s="1326"/>
      <c r="AE484" s="1326"/>
      <c r="AF484" s="1326"/>
      <c r="AG484" s="1326"/>
      <c r="AH484" s="1326"/>
      <c r="AI484" s="1326"/>
      <c r="AJ484" s="1326"/>
      <c r="AK484" s="162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1395</v>
      </c>
      <c r="C485" s="5"/>
      <c r="D485" s="5"/>
      <c r="E485" s="5"/>
      <c r="F485" s="5"/>
      <c r="G485" s="5"/>
      <c r="H485" s="5"/>
      <c r="I485" s="5"/>
      <c r="J485" s="5"/>
      <c r="K485" s="5"/>
      <c r="L485" s="5"/>
      <c r="M485" s="5"/>
      <c r="N485" s="5"/>
      <c r="O485" s="5"/>
      <c r="P485" s="5"/>
      <c r="Q485" s="1622" t="s">
        <v>1396</v>
      </c>
      <c r="R485" s="1326"/>
      <c r="S485" s="1326"/>
      <c r="T485" s="1326"/>
      <c r="U485" s="1326"/>
      <c r="V485" s="1326"/>
      <c r="W485" s="1326"/>
      <c r="X485" s="1326"/>
      <c r="Y485" s="1326"/>
      <c r="Z485" s="1326"/>
      <c r="AA485" s="1326"/>
      <c r="AB485" s="1326"/>
      <c r="AC485" s="1326"/>
      <c r="AD485" s="1326"/>
      <c r="AE485" s="1326"/>
      <c r="AF485" s="1326"/>
      <c r="AG485" s="1326"/>
      <c r="AH485" s="1326"/>
      <c r="AI485" s="1326"/>
      <c r="AJ485" s="1326"/>
      <c r="AK485" s="16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1397</v>
      </c>
      <c r="C486" s="5"/>
      <c r="D486" s="5"/>
      <c r="E486" s="5"/>
      <c r="F486" s="5"/>
      <c r="G486" s="5"/>
      <c r="H486" s="5"/>
      <c r="I486" s="5"/>
      <c r="J486" s="5"/>
      <c r="K486" s="5"/>
      <c r="L486" s="5"/>
      <c r="M486" s="5"/>
      <c r="N486" s="5"/>
      <c r="O486" s="5"/>
      <c r="P486" s="5"/>
      <c r="Q486" s="1622" t="s">
        <v>1396</v>
      </c>
      <c r="R486" s="1326"/>
      <c r="S486" s="1326"/>
      <c r="T486" s="1326"/>
      <c r="U486" s="1326"/>
      <c r="V486" s="1326"/>
      <c r="W486" s="1326"/>
      <c r="X486" s="1326"/>
      <c r="Y486" s="1326"/>
      <c r="Z486" s="1326"/>
      <c r="AA486" s="1326"/>
      <c r="AB486" s="1326"/>
      <c r="AC486" s="1326"/>
      <c r="AD486" s="1326"/>
      <c r="AE486" s="1326"/>
      <c r="AF486" s="1326"/>
      <c r="AG486" s="1326"/>
      <c r="AH486" s="1326"/>
      <c r="AI486" s="1326"/>
      <c r="AJ486" s="1326"/>
      <c r="AK486" s="162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70" t="s">
        <v>1398</v>
      </c>
      <c r="C487" s="1771"/>
      <c r="D487" s="1771"/>
      <c r="E487" s="1771"/>
      <c r="F487" s="1771"/>
      <c r="G487" s="1771"/>
      <c r="H487" s="1771"/>
      <c r="I487" s="1771"/>
      <c r="J487" s="1771"/>
      <c r="K487" s="1771"/>
      <c r="L487" s="1771"/>
      <c r="M487" s="1771"/>
      <c r="N487" s="1771"/>
      <c r="O487" s="1771"/>
      <c r="P487" s="1772"/>
      <c r="Q487" s="1761" t="s">
        <v>946</v>
      </c>
      <c r="R487" s="1762"/>
      <c r="S487" s="1534" t="s">
        <v>1399</v>
      </c>
      <c r="T487" s="1535"/>
      <c r="U487" s="1535"/>
      <c r="V487" s="1535"/>
      <c r="W487" s="1535"/>
      <c r="X487" s="1535"/>
      <c r="Y487" s="1535"/>
      <c r="Z487" s="1535"/>
      <c r="AA487" s="1535"/>
      <c r="AB487" s="1535"/>
      <c r="AC487" s="1535"/>
      <c r="AD487" s="1535"/>
      <c r="AE487" s="1535"/>
      <c r="AF487" s="1535"/>
      <c r="AG487" s="1535"/>
      <c r="AH487" s="1535"/>
      <c r="AI487" s="1535"/>
      <c r="AJ487" s="1535"/>
      <c r="AK487" s="153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73"/>
      <c r="C488" s="1774"/>
      <c r="D488" s="1774"/>
      <c r="E488" s="1774"/>
      <c r="F488" s="1774"/>
      <c r="G488" s="1774"/>
      <c r="H488" s="1774"/>
      <c r="I488" s="1774"/>
      <c r="J488" s="1774"/>
      <c r="K488" s="1774"/>
      <c r="L488" s="1774"/>
      <c r="M488" s="1774"/>
      <c r="N488" s="1774"/>
      <c r="O488" s="1774"/>
      <c r="P488" s="1775"/>
      <c r="Q488" s="1763"/>
      <c r="R488" s="1764"/>
      <c r="S488" s="1537"/>
      <c r="T488" s="1538"/>
      <c r="U488" s="1538"/>
      <c r="V488" s="1538"/>
      <c r="W488" s="1538"/>
      <c r="X488" s="1538"/>
      <c r="Y488" s="1538"/>
      <c r="Z488" s="1538"/>
      <c r="AA488" s="1538"/>
      <c r="AB488" s="1538"/>
      <c r="AC488" s="1538"/>
      <c r="AD488" s="1538"/>
      <c r="AE488" s="1538"/>
      <c r="AF488" s="1538"/>
      <c r="AG488" s="1538"/>
      <c r="AH488" s="1538"/>
      <c r="AI488" s="1538"/>
      <c r="AJ488" s="1538"/>
      <c r="AK488" s="153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1400</v>
      </c>
      <c r="C489" s="798"/>
      <c r="D489" s="798"/>
      <c r="E489" s="798"/>
      <c r="F489" s="798"/>
      <c r="G489" s="798"/>
      <c r="H489" s="798"/>
      <c r="I489" s="798"/>
      <c r="J489" s="798"/>
      <c r="K489" s="798"/>
      <c r="L489" s="798"/>
      <c r="M489" s="798"/>
      <c r="N489" s="798"/>
      <c r="O489" s="798"/>
      <c r="P489" s="798"/>
      <c r="Q489" s="1765" t="s">
        <v>946</v>
      </c>
      <c r="R489" s="1766"/>
      <c r="S489" s="1766"/>
      <c r="T489" s="1766"/>
      <c r="U489" s="1766"/>
      <c r="V489" s="1766"/>
      <c r="W489" s="1766"/>
      <c r="X489" s="1766"/>
      <c r="Y489" s="1766"/>
      <c r="Z489" s="1766"/>
      <c r="AA489" s="1766"/>
      <c r="AB489" s="1766"/>
      <c r="AC489" s="1766"/>
      <c r="AD489" s="1766"/>
      <c r="AE489" s="1766"/>
      <c r="AF489" s="1766"/>
      <c r="AG489" s="1766"/>
      <c r="AH489" s="1766"/>
      <c r="AI489" s="1766"/>
      <c r="AJ489" s="1766"/>
      <c r="AK489" s="176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1401</v>
      </c>
      <c r="C490" s="5"/>
      <c r="D490" s="5"/>
      <c r="E490" s="5"/>
      <c r="F490" s="5"/>
      <c r="G490" s="5"/>
      <c r="H490" s="5"/>
      <c r="I490" s="5"/>
      <c r="J490" s="5"/>
      <c r="K490" s="5"/>
      <c r="L490" s="5"/>
      <c r="M490" s="5"/>
      <c r="N490" s="5"/>
      <c r="O490" s="5"/>
      <c r="P490" s="5"/>
      <c r="Q490" s="1622" t="s">
        <v>1402</v>
      </c>
      <c r="R490" s="1326"/>
      <c r="S490" s="1326"/>
      <c r="T490" s="1326"/>
      <c r="U490" s="1326"/>
      <c r="V490" s="1326"/>
      <c r="W490" s="1326"/>
      <c r="X490" s="1326"/>
      <c r="Y490" s="1326"/>
      <c r="Z490" s="1326"/>
      <c r="AA490" s="1326"/>
      <c r="AB490" s="1326"/>
      <c r="AC490" s="1326"/>
      <c r="AD490" s="1326"/>
      <c r="AE490" s="1326"/>
      <c r="AF490" s="1326"/>
      <c r="AG490" s="1326"/>
      <c r="AH490" s="1326"/>
      <c r="AI490" s="1326"/>
      <c r="AJ490" s="1326"/>
      <c r="AK490" s="162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1403</v>
      </c>
      <c r="C491" s="5"/>
      <c r="D491" s="5"/>
      <c r="E491" s="5"/>
      <c r="F491" s="5"/>
      <c r="G491" s="5"/>
      <c r="H491" s="5"/>
      <c r="I491" s="5"/>
      <c r="J491" s="5"/>
      <c r="K491" s="5"/>
      <c r="L491" s="5"/>
      <c r="M491" s="5"/>
      <c r="N491" s="5"/>
      <c r="O491" s="5"/>
      <c r="P491" s="5"/>
      <c r="Q491" s="1622" t="s">
        <v>1404</v>
      </c>
      <c r="R491" s="1326"/>
      <c r="S491" s="1326"/>
      <c r="T491" s="1326"/>
      <c r="U491" s="1326"/>
      <c r="V491" s="1326"/>
      <c r="W491" s="1326"/>
      <c r="X491" s="1326"/>
      <c r="Y491" s="1326"/>
      <c r="Z491" s="1326"/>
      <c r="AA491" s="1326"/>
      <c r="AB491" s="1326"/>
      <c r="AC491" s="1326"/>
      <c r="AD491" s="1326"/>
      <c r="AE491" s="1326"/>
      <c r="AF491" s="1326"/>
      <c r="AG491" s="1326"/>
      <c r="AH491" s="1326"/>
      <c r="AI491" s="1326"/>
      <c r="AJ491" s="1326"/>
      <c r="AK491" s="162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1405</v>
      </c>
      <c r="C492" s="5"/>
      <c r="D492" s="5"/>
      <c r="E492" s="5"/>
      <c r="F492" s="5"/>
      <c r="G492" s="5"/>
      <c r="H492" s="5"/>
      <c r="I492" s="5"/>
      <c r="J492" s="5"/>
      <c r="K492" s="5"/>
      <c r="L492" s="5"/>
      <c r="M492" s="5"/>
      <c r="N492" s="5"/>
      <c r="O492" s="5"/>
      <c r="P492" s="5"/>
      <c r="Q492" s="1622">
        <v>44</v>
      </c>
      <c r="R492" s="1326"/>
      <c r="S492" s="1326"/>
      <c r="T492" s="1326"/>
      <c r="U492" s="1326"/>
      <c r="V492" s="1326"/>
      <c r="W492" s="1326"/>
      <c r="X492" s="1326"/>
      <c r="Y492" s="1326"/>
      <c r="Z492" s="1326"/>
      <c r="AA492" s="1326"/>
      <c r="AB492" s="1326"/>
      <c r="AC492" s="1326"/>
      <c r="AD492" s="1326"/>
      <c r="AE492" s="1326"/>
      <c r="AF492" s="1326"/>
      <c r="AG492" s="1326"/>
      <c r="AH492" s="1326"/>
      <c r="AI492" s="1326"/>
      <c r="AJ492" s="1326"/>
      <c r="AK492" s="162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1406</v>
      </c>
      <c r="C493" s="5"/>
      <c r="D493" s="5"/>
      <c r="E493" s="5"/>
      <c r="F493" s="5"/>
      <c r="G493" s="5"/>
      <c r="H493" s="5"/>
      <c r="I493" s="5"/>
      <c r="J493" s="5"/>
      <c r="K493" s="5"/>
      <c r="L493" s="5"/>
      <c r="M493" s="1309">
        <v>44</v>
      </c>
      <c r="N493" s="1310"/>
      <c r="O493" s="1310"/>
      <c r="P493" s="1311"/>
      <c r="Q493" s="88" t="s">
        <v>1407</v>
      </c>
      <c r="R493" s="5"/>
      <c r="S493" s="5"/>
      <c r="T493" s="5"/>
      <c r="U493" s="5"/>
      <c r="V493" s="5"/>
      <c r="W493" s="5"/>
      <c r="X493" s="5"/>
      <c r="Y493" s="5"/>
      <c r="Z493" s="5"/>
      <c r="AA493" s="5"/>
      <c r="AB493" s="5"/>
      <c r="AC493" s="5"/>
      <c r="AD493" s="5"/>
      <c r="AE493" s="5"/>
      <c r="AF493" s="5"/>
      <c r="AG493" s="5"/>
      <c r="AH493" s="1309"/>
      <c r="AI493" s="1310"/>
      <c r="AJ493" s="1310"/>
      <c r="AK493" s="131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1007</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7" t="s">
        <v>1408</v>
      </c>
      <c r="AD497" s="1718"/>
      <c r="AE497" s="1718"/>
      <c r="AF497" s="1718"/>
      <c r="AG497" s="1718"/>
      <c r="AH497" s="1718"/>
      <c r="AI497" s="1718"/>
      <c r="AJ497" s="1718"/>
      <c r="AK497" s="17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7" t="s">
        <v>1409</v>
      </c>
      <c r="AD498" s="1718"/>
      <c r="AE498" s="1718"/>
      <c r="AF498" s="1718"/>
      <c r="AG498" s="43" t="s">
        <v>1410</v>
      </c>
      <c r="AH498" s="1718" t="s">
        <v>1411</v>
      </c>
      <c r="AI498" s="1718"/>
      <c r="AJ498" s="1718"/>
      <c r="AK498" s="17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75" t="s">
        <v>1412</v>
      </c>
      <c r="C499" s="1333"/>
      <c r="D499" s="1333"/>
      <c r="E499" s="1333"/>
      <c r="F499" s="1333"/>
      <c r="G499" s="1333"/>
      <c r="H499" s="1334"/>
      <c r="I499" s="35" t="s">
        <v>1413</v>
      </c>
      <c r="J499" s="35"/>
      <c r="K499" s="35"/>
      <c r="L499" s="35"/>
      <c r="M499" s="35"/>
      <c r="N499" s="35"/>
      <c r="O499" s="35"/>
      <c r="P499" s="35"/>
      <c r="Q499" s="35"/>
      <c r="R499" s="35"/>
      <c r="S499" s="35"/>
      <c r="T499" s="35"/>
      <c r="U499" s="35"/>
      <c r="V499" s="35"/>
      <c r="W499" s="35"/>
      <c r="AC499" s="1713">
        <v>10</v>
      </c>
      <c r="AD499" s="1673"/>
      <c r="AE499" s="1673"/>
      <c r="AF499" s="1673"/>
      <c r="AG499" s="13" t="s">
        <v>1410</v>
      </c>
      <c r="AH499" s="1463">
        <v>2022</v>
      </c>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76"/>
      <c r="C500" s="1335"/>
      <c r="D500" s="1335"/>
      <c r="E500" s="1335"/>
      <c r="F500" s="1335"/>
      <c r="G500" s="1335"/>
      <c r="H500" s="1336"/>
      <c r="I500" s="41" t="s">
        <v>1414</v>
      </c>
      <c r="J500" s="41"/>
      <c r="K500" s="41"/>
      <c r="L500" s="41"/>
      <c r="M500" s="41"/>
      <c r="N500" s="41"/>
      <c r="O500" s="41"/>
      <c r="P500" s="41"/>
      <c r="Q500" s="41"/>
      <c r="R500" s="41"/>
      <c r="S500" s="41"/>
      <c r="T500" s="41"/>
      <c r="U500" s="41"/>
      <c r="V500" s="41"/>
      <c r="W500" s="41"/>
      <c r="X500" s="41"/>
      <c r="Y500" s="41"/>
      <c r="Z500" s="41"/>
      <c r="AA500" s="41"/>
      <c r="AB500" s="41"/>
      <c r="AC500" s="1713">
        <v>1</v>
      </c>
      <c r="AD500" s="1673"/>
      <c r="AE500" s="1673"/>
      <c r="AF500" s="1673"/>
      <c r="AG500" s="31" t="s">
        <v>1410</v>
      </c>
      <c r="AH500" s="1463">
        <v>2020</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75" t="s">
        <v>1415</v>
      </c>
      <c r="C501" s="1333"/>
      <c r="D501" s="1333"/>
      <c r="E501" s="1333"/>
      <c r="F501" s="1333"/>
      <c r="G501" s="1333"/>
      <c r="H501" s="1334"/>
      <c r="I501" s="35" t="s">
        <v>1416</v>
      </c>
      <c r="J501" s="35"/>
      <c r="K501" s="35"/>
      <c r="L501" s="35"/>
      <c r="M501" s="35"/>
      <c r="N501" s="35"/>
      <c r="O501" s="35"/>
      <c r="P501" s="35"/>
      <c r="Q501" s="35"/>
      <c r="R501" s="35"/>
      <c r="S501" s="35"/>
      <c r="T501" s="35"/>
      <c r="U501" s="35"/>
      <c r="V501" s="35"/>
      <c r="W501" s="35"/>
      <c r="AC501" s="1713">
        <v>12</v>
      </c>
      <c r="AD501" s="1673"/>
      <c r="AE501" s="1673"/>
      <c r="AF501" s="1673"/>
      <c r="AG501" s="13" t="s">
        <v>1410</v>
      </c>
      <c r="AH501" s="1463">
        <v>2022</v>
      </c>
      <c r="AI501" s="1463"/>
      <c r="AJ501" s="1463"/>
      <c r="AK501" s="14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76"/>
      <c r="C502" s="1335"/>
      <c r="D502" s="1335"/>
      <c r="E502" s="1335"/>
      <c r="F502" s="1335"/>
      <c r="G502" s="1335"/>
      <c r="H502" s="1336"/>
      <c r="I502" t="s">
        <v>1417</v>
      </c>
      <c r="AC502" s="1713" t="s">
        <v>299</v>
      </c>
      <c r="AD502" s="1673"/>
      <c r="AE502" s="1673"/>
      <c r="AF502" s="1673"/>
      <c r="AG502" s="13" t="s">
        <v>1410</v>
      </c>
      <c r="AH502" s="1463"/>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76"/>
      <c r="C503" s="1335"/>
      <c r="D503" s="1335"/>
      <c r="E503" s="1335"/>
      <c r="F503" s="1335"/>
      <c r="G503" s="1335"/>
      <c r="H503" s="1336"/>
      <c r="I503" t="s">
        <v>1418</v>
      </c>
      <c r="AC503" s="1713">
        <v>12</v>
      </c>
      <c r="AD503" s="1673"/>
      <c r="AE503" s="1673"/>
      <c r="AF503" s="1673"/>
      <c r="AG503" s="13" t="s">
        <v>1410</v>
      </c>
      <c r="AH503" s="1463">
        <v>2022</v>
      </c>
      <c r="AI503" s="1463"/>
      <c r="AJ503" s="1463"/>
      <c r="AK503" s="146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76"/>
      <c r="C504" s="1335"/>
      <c r="D504" s="1335"/>
      <c r="E504" s="1335"/>
      <c r="F504" s="1335"/>
      <c r="G504" s="1335"/>
      <c r="H504" s="1336"/>
      <c r="I504" t="s">
        <v>1419</v>
      </c>
      <c r="AC504" s="1713">
        <v>2</v>
      </c>
      <c r="AD504" s="1673"/>
      <c r="AE504" s="1673"/>
      <c r="AF504" s="1673"/>
      <c r="AG504" s="13" t="s">
        <v>1410</v>
      </c>
      <c r="AH504" s="1463">
        <v>2024</v>
      </c>
      <c r="AI504" s="1463"/>
      <c r="AJ504" s="1463"/>
      <c r="AK504" s="146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76"/>
      <c r="C505" s="1335"/>
      <c r="D505" s="1335"/>
      <c r="E505" s="1335"/>
      <c r="F505" s="1335"/>
      <c r="G505" s="1335"/>
      <c r="H505" s="1336"/>
      <c r="I505" s="3" t="s">
        <v>1420</v>
      </c>
      <c r="AC505" s="1339">
        <v>2</v>
      </c>
      <c r="AD505" s="1340"/>
      <c r="AE505" s="1340"/>
      <c r="AF505" s="1340"/>
      <c r="AG505" s="13" t="s">
        <v>1410</v>
      </c>
      <c r="AH505" s="1463">
        <v>2024</v>
      </c>
      <c r="AI505" s="1463"/>
      <c r="AJ505" s="1463"/>
      <c r="AK505" s="146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76"/>
      <c r="C506" s="1335"/>
      <c r="D506" s="1335"/>
      <c r="E506" s="1335"/>
      <c r="F506" s="1335"/>
      <c r="G506" s="1335"/>
      <c r="H506" s="1336"/>
      <c r="I506" s="819" t="s">
        <v>232</v>
      </c>
      <c r="J506" s="41"/>
      <c r="K506" s="41"/>
      <c r="L506" s="1720" t="s">
        <v>1421</v>
      </c>
      <c r="M506" s="1721"/>
      <c r="N506" s="1721"/>
      <c r="O506" s="1721"/>
      <c r="P506" s="1721"/>
      <c r="Q506" s="1721"/>
      <c r="R506" s="1721"/>
      <c r="S506" s="1721"/>
      <c r="T506" s="1721"/>
      <c r="U506" s="1721"/>
      <c r="V506" s="1721"/>
      <c r="W506" s="1721"/>
      <c r="X506" s="1721"/>
      <c r="Y506" s="1721"/>
      <c r="Z506" s="1721"/>
      <c r="AA506" s="1721"/>
      <c r="AB506" s="1782"/>
      <c r="AC506" s="1713" t="s">
        <v>299</v>
      </c>
      <c r="AD506" s="1673"/>
      <c r="AE506" s="1673"/>
      <c r="AF506" s="1673"/>
      <c r="AG506" s="31" t="s">
        <v>1410</v>
      </c>
      <c r="AH506" s="1463"/>
      <c r="AI506" s="1463"/>
      <c r="AJ506" s="1463"/>
      <c r="AK506" s="146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1422</v>
      </c>
      <c r="AC507" s="1738" t="s">
        <v>946</v>
      </c>
      <c r="AD507" s="1738"/>
      <c r="AE507" s="1738"/>
      <c r="AF507" s="1738"/>
      <c r="AG507" s="13"/>
      <c r="AH507" s="1253"/>
      <c r="AI507" s="1253"/>
      <c r="AJ507" s="1253"/>
      <c r="AK507" s="177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1423</v>
      </c>
      <c r="AC508" s="1339">
        <v>1</v>
      </c>
      <c r="AD508" s="1340"/>
      <c r="AE508" s="1340"/>
      <c r="AF508" s="1341"/>
      <c r="AG508" s="13"/>
      <c r="AH508" s="1253"/>
      <c r="AI508" s="1253"/>
      <c r="AJ508" s="1253"/>
      <c r="AK508" s="177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1424</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1425</v>
      </c>
      <c r="J510" s="41"/>
      <c r="K510" s="41"/>
      <c r="L510" s="41"/>
      <c r="M510" s="41"/>
      <c r="N510" s="41"/>
      <c r="O510" s="41"/>
      <c r="P510" s="41"/>
      <c r="Q510" s="41"/>
      <c r="R510" s="41"/>
      <c r="S510" s="41"/>
      <c r="T510" s="41"/>
      <c r="U510" s="41"/>
      <c r="V510" s="41"/>
      <c r="W510" s="41"/>
      <c r="X510" s="41"/>
      <c r="Y510" s="41"/>
      <c r="Z510" s="41"/>
      <c r="AA510" s="41"/>
      <c r="AB510" s="41"/>
      <c r="AC510" s="1777"/>
      <c r="AD510" s="1778"/>
      <c r="AE510" s="1778"/>
      <c r="AF510" s="1779"/>
      <c r="AG510" s="31"/>
      <c r="AH510" s="1780"/>
      <c r="AI510" s="1780"/>
      <c r="AJ510" s="1780"/>
      <c r="AK510" s="178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56" t="s">
        <v>1409</v>
      </c>
      <c r="AD511" s="1489"/>
      <c r="AE511" s="1489"/>
      <c r="AF511" s="1489"/>
      <c r="AG511" s="31" t="s">
        <v>1410</v>
      </c>
      <c r="AH511" s="1489" t="s">
        <v>1411</v>
      </c>
      <c r="AI511" s="1489"/>
      <c r="AJ511" s="1489"/>
      <c r="AK511" s="1758"/>
      <c r="AZ511" s="3"/>
      <c r="BA511" s="3"/>
      <c r="BB511" s="3"/>
      <c r="BC511" s="3"/>
      <c r="BD511" s="3"/>
      <c r="BE511" s="3"/>
      <c r="BF511" s="3"/>
      <c r="BG511" s="3"/>
      <c r="BH511" s="3"/>
      <c r="BI511" s="3"/>
      <c r="BJ511" s="3"/>
      <c r="BK511" s="3"/>
      <c r="BL511" s="3"/>
      <c r="BM511" s="3"/>
      <c r="BN511" s="3" t="s">
        <v>1426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75" t="s">
        <v>1427</v>
      </c>
      <c r="C512" s="1333"/>
      <c r="D512" s="1333"/>
      <c r="E512" s="1333"/>
      <c r="F512" s="1333"/>
      <c r="G512" s="1333"/>
      <c r="H512" s="1334"/>
      <c r="I512" s="35" t="s">
        <v>1428</v>
      </c>
      <c r="J512" s="35"/>
      <c r="K512" s="35"/>
      <c r="L512" s="35"/>
      <c r="M512" s="35"/>
      <c r="N512" s="35"/>
      <c r="O512" s="35"/>
      <c r="P512" s="35"/>
      <c r="Q512" s="35"/>
      <c r="R512" s="35"/>
      <c r="S512" s="35"/>
      <c r="T512" s="35"/>
      <c r="U512" s="35"/>
      <c r="V512" s="35"/>
      <c r="W512" s="35"/>
      <c r="AC512" s="1713">
        <v>5</v>
      </c>
      <c r="AD512" s="1673"/>
      <c r="AE512" s="1673"/>
      <c r="AF512" s="1673"/>
      <c r="AG512" s="13" t="s">
        <v>1410</v>
      </c>
      <c r="AH512" s="1463">
        <v>2023</v>
      </c>
      <c r="AI512" s="1463"/>
      <c r="AJ512" s="1463"/>
      <c r="AK512" s="1464"/>
      <c r="AZ512" s="3"/>
      <c r="BA512" s="3"/>
      <c r="BB512" s="3"/>
      <c r="BC512" s="3"/>
      <c r="BD512" s="3"/>
      <c r="BE512" s="3"/>
      <c r="BF512" s="3"/>
      <c r="BG512" s="3"/>
      <c r="BH512" s="3"/>
      <c r="BI512" s="3"/>
      <c r="BJ512" s="3"/>
      <c r="BK512" s="3"/>
      <c r="BL512" s="3"/>
      <c r="BM512" s="3"/>
      <c r="BN512" s="3" t="s">
        <v>1429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76"/>
      <c r="C513" s="1335"/>
      <c r="D513" s="1335"/>
      <c r="E513" s="1335"/>
      <c r="F513" s="1335"/>
      <c r="G513" s="1335"/>
      <c r="H513" s="1336"/>
      <c r="I513" t="s">
        <v>1430</v>
      </c>
      <c r="AC513" s="1713">
        <v>5</v>
      </c>
      <c r="AD513" s="1673"/>
      <c r="AE513" s="1673"/>
      <c r="AF513" s="1673"/>
      <c r="AG513" s="13" t="s">
        <v>1410</v>
      </c>
      <c r="AH513" s="1463">
        <v>2023</v>
      </c>
      <c r="AI513" s="1463"/>
      <c r="AJ513" s="1463"/>
      <c r="AK513" s="1464"/>
      <c r="AZ513" s="3"/>
      <c r="BA513" s="3"/>
      <c r="BB513" s="3"/>
      <c r="BC513" s="3"/>
      <c r="BD513" s="3"/>
      <c r="BE513" s="3"/>
      <c r="BF513" s="3"/>
      <c r="BG513" s="3"/>
      <c r="BH513" s="3"/>
      <c r="BI513" s="3"/>
      <c r="BJ513" s="3"/>
      <c r="BK513" s="3"/>
      <c r="BL513" s="3"/>
      <c r="BM513" s="3"/>
      <c r="BN513" s="3" t="s">
        <v>1431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76"/>
      <c r="C514" s="1335"/>
      <c r="D514" s="1335"/>
      <c r="E514" s="1335"/>
      <c r="F514" s="1335"/>
      <c r="G514" s="1335"/>
      <c r="H514" s="1336"/>
      <c r="I514" s="41" t="s">
        <v>1432</v>
      </c>
      <c r="J514" s="41"/>
      <c r="K514" s="41"/>
      <c r="L514" s="41"/>
      <c r="M514" s="41"/>
      <c r="N514" s="41"/>
      <c r="O514" s="41"/>
      <c r="P514" s="41"/>
      <c r="Q514" s="41"/>
      <c r="R514" s="41"/>
      <c r="S514" s="41"/>
      <c r="T514" s="41"/>
      <c r="U514" s="41"/>
      <c r="V514" s="41"/>
      <c r="W514" s="41"/>
      <c r="X514" s="41"/>
      <c r="Y514" s="41"/>
      <c r="Z514" s="41"/>
      <c r="AA514" s="41"/>
      <c r="AB514" s="41"/>
      <c r="AC514" s="1713">
        <v>2</v>
      </c>
      <c r="AD514" s="1673"/>
      <c r="AE514" s="1673"/>
      <c r="AF514" s="1673"/>
      <c r="AG514" s="31" t="s">
        <v>1410</v>
      </c>
      <c r="AH514" s="1463">
        <v>2024</v>
      </c>
      <c r="AI514" s="1463"/>
      <c r="AJ514" s="1463"/>
      <c r="AK514" s="1464"/>
      <c r="AZ514" s="3"/>
      <c r="BA514" s="3"/>
      <c r="BB514" s="3"/>
      <c r="BC514" s="3"/>
      <c r="BD514" s="3"/>
      <c r="BE514" s="3"/>
      <c r="BF514" s="3"/>
      <c r="BG514" s="3"/>
      <c r="BH514" s="3"/>
      <c r="BI514" s="3"/>
      <c r="BJ514" s="3"/>
      <c r="BK514" s="3"/>
      <c r="BL514" s="3"/>
      <c r="BM514" s="3"/>
      <c r="BN514" s="3" t="s">
        <v>1433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75" t="s">
        <v>1434</v>
      </c>
      <c r="C515" s="1333"/>
      <c r="D515" s="1333"/>
      <c r="E515" s="1333"/>
      <c r="F515" s="1333"/>
      <c r="G515" s="1333"/>
      <c r="H515" s="1334"/>
      <c r="I515" s="35" t="s">
        <v>1428</v>
      </c>
      <c r="J515" s="35"/>
      <c r="K515" s="35"/>
      <c r="L515" s="35"/>
      <c r="M515" s="35"/>
      <c r="N515" s="35"/>
      <c r="O515" s="35"/>
      <c r="P515" s="35"/>
      <c r="Q515" s="35"/>
      <c r="R515" s="35"/>
      <c r="S515" s="35"/>
      <c r="T515" s="35"/>
      <c r="U515" s="35"/>
      <c r="V515" s="35"/>
      <c r="W515" s="35"/>
      <c r="X515" s="35"/>
      <c r="Y515" s="35"/>
      <c r="Z515" s="35"/>
      <c r="AA515" s="35"/>
      <c r="AB515" s="35"/>
      <c r="AC515" s="1339">
        <v>5</v>
      </c>
      <c r="AD515" s="1340"/>
      <c r="AE515" s="1340"/>
      <c r="AF515" s="1340"/>
      <c r="AG515" s="95" t="s">
        <v>1410</v>
      </c>
      <c r="AH515" s="1463">
        <v>2023</v>
      </c>
      <c r="AI515" s="1463"/>
      <c r="AJ515" s="1463"/>
      <c r="AK515" s="1464"/>
      <c r="AZ515" s="3"/>
      <c r="BA515" s="3"/>
      <c r="BB515" s="3"/>
      <c r="BC515" s="3"/>
      <c r="BD515" s="3"/>
      <c r="BE515" s="3"/>
      <c r="BF515" s="3"/>
      <c r="BG515" s="3"/>
      <c r="BH515" s="3"/>
      <c r="BI515" s="3"/>
      <c r="BJ515" s="3"/>
      <c r="BK515" s="3"/>
      <c r="BL515" s="3"/>
      <c r="BM515" s="3"/>
      <c r="BN515" s="3" t="s">
        <v>1435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76"/>
      <c r="C516" s="1335"/>
      <c r="D516" s="1335"/>
      <c r="E516" s="1335"/>
      <c r="F516" s="1335"/>
      <c r="G516" s="1335"/>
      <c r="H516" s="1336"/>
      <c r="I516" t="s">
        <v>1430</v>
      </c>
      <c r="AC516" s="1713">
        <v>5</v>
      </c>
      <c r="AD516" s="1673"/>
      <c r="AE516" s="1673"/>
      <c r="AF516" s="1673"/>
      <c r="AG516" s="13" t="s">
        <v>1410</v>
      </c>
      <c r="AH516" s="1463">
        <v>2023</v>
      </c>
      <c r="AI516" s="1463"/>
      <c r="AJ516" s="1463"/>
      <c r="AK516" s="1464"/>
      <c r="AZ516" s="3"/>
      <c r="BB516" s="3"/>
      <c r="BC516" s="3"/>
      <c r="BD516" s="3"/>
      <c r="BE516" s="3"/>
      <c r="BF516" s="3"/>
      <c r="BG516" s="3"/>
      <c r="BH516" s="3"/>
      <c r="BI516" s="3"/>
      <c r="BJ516" s="3"/>
      <c r="BK516" s="3"/>
      <c r="BL516" s="3"/>
      <c r="BM516" s="3"/>
      <c r="BN516" s="3" t="s">
        <v>1436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77"/>
      <c r="C517" s="1337"/>
      <c r="D517" s="1337"/>
      <c r="E517" s="1337"/>
      <c r="F517" s="1337"/>
      <c r="G517" s="1337"/>
      <c r="H517" s="1338"/>
      <c r="I517" s="41" t="s">
        <v>1432</v>
      </c>
      <c r="J517" s="41"/>
      <c r="K517" s="41"/>
      <c r="L517" s="41"/>
      <c r="M517" s="41"/>
      <c r="N517" s="41"/>
      <c r="O517" s="41"/>
      <c r="P517" s="41"/>
      <c r="Q517" s="41"/>
      <c r="R517" s="41"/>
      <c r="S517" s="41"/>
      <c r="T517" s="41"/>
      <c r="U517" s="41"/>
      <c r="V517" s="41"/>
      <c r="W517" s="41"/>
      <c r="X517" s="41"/>
      <c r="Y517" s="41"/>
      <c r="Z517" s="41"/>
      <c r="AA517" s="41"/>
      <c r="AB517" s="41"/>
      <c r="AC517" s="1713">
        <v>12</v>
      </c>
      <c r="AD517" s="1673"/>
      <c r="AE517" s="1673"/>
      <c r="AF517" s="1673"/>
      <c r="AG517" s="31" t="s">
        <v>1410</v>
      </c>
      <c r="AH517" s="1463">
        <v>2026</v>
      </c>
      <c r="AI517" s="1463"/>
      <c r="AJ517" s="1463"/>
      <c r="AK517" s="1464"/>
      <c r="BB517" s="3"/>
      <c r="BC517" s="3"/>
      <c r="BD517" s="3"/>
      <c r="BE517" s="3"/>
      <c r="BF517" s="3"/>
      <c r="BG517" s="3"/>
      <c r="BH517" s="3"/>
      <c r="BI517" s="3"/>
      <c r="BJ517" s="3"/>
      <c r="BK517" s="3"/>
      <c r="BL517" s="3"/>
      <c r="BM517" s="3"/>
      <c r="BN517" s="3" t="s">
        <v>1437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75" t="s">
        <v>1438</v>
      </c>
      <c r="C518" s="1333"/>
      <c r="D518" s="1333"/>
      <c r="E518" s="1333"/>
      <c r="F518" s="1333"/>
      <c r="G518" s="1333"/>
      <c r="H518" s="1334"/>
      <c r="I518" s="34" t="s">
        <v>1439</v>
      </c>
      <c r="J518" s="35"/>
      <c r="K518" s="35"/>
      <c r="L518" s="35"/>
      <c r="M518" s="35"/>
      <c r="N518" s="35"/>
      <c r="O518" s="1720" t="s">
        <v>1440</v>
      </c>
      <c r="P518" s="1721"/>
      <c r="Q518" s="1721"/>
      <c r="R518" s="1721"/>
      <c r="S518" s="1721"/>
      <c r="T518" s="1721"/>
      <c r="U518" s="1721"/>
      <c r="V518" s="1721"/>
      <c r="W518" s="1721"/>
      <c r="X518" s="1721"/>
      <c r="Y518" s="1721"/>
      <c r="Z518" s="1721"/>
      <c r="AA518" s="1721"/>
      <c r="AB518" s="51"/>
      <c r="AC518" s="1339" t="s">
        <v>299</v>
      </c>
      <c r="AD518" s="1340"/>
      <c r="AE518" s="1340"/>
      <c r="AF518" s="1340"/>
      <c r="AG518" s="95" t="s">
        <v>1410</v>
      </c>
      <c r="AH518" s="1463"/>
      <c r="AI518" s="1463"/>
      <c r="AJ518" s="1463"/>
      <c r="AK518" s="1464"/>
      <c r="BB518" s="3"/>
      <c r="BC518" s="3"/>
      <c r="BD518" s="3"/>
      <c r="BE518" s="3"/>
      <c r="BF518" s="3"/>
      <c r="BG518" s="3"/>
      <c r="BH518" s="3"/>
      <c r="BI518" s="3"/>
      <c r="BJ518" s="3"/>
      <c r="BK518" s="3"/>
      <c r="BL518" s="3"/>
      <c r="BM518" s="3"/>
      <c r="BN518" s="3" t="s">
        <v>1441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76"/>
      <c r="C519" s="1335"/>
      <c r="D519" s="1335"/>
      <c r="E519" s="1335"/>
      <c r="F519" s="1335"/>
      <c r="G519" s="1335"/>
      <c r="H519" s="1336"/>
      <c r="I519" s="83" t="s">
        <v>43</v>
      </c>
      <c r="AB519" s="57"/>
      <c r="AC519" s="1713">
        <v>9</v>
      </c>
      <c r="AD519" s="1673"/>
      <c r="AE519" s="1673"/>
      <c r="AF519" s="1673"/>
      <c r="AG519" s="13" t="s">
        <v>1410</v>
      </c>
      <c r="AH519" s="1463">
        <v>2022</v>
      </c>
      <c r="AI519" s="1463"/>
      <c r="AJ519" s="1463"/>
      <c r="AK519" s="1464"/>
      <c r="AZ519" s="3"/>
      <c r="BB519" s="3"/>
      <c r="BC519" s="3"/>
      <c r="BD519" s="3"/>
      <c r="BE519" s="3"/>
      <c r="BF519" s="3"/>
      <c r="BG519" s="3"/>
      <c r="BH519" s="3"/>
      <c r="BI519" s="3"/>
      <c r="BJ519" s="3"/>
      <c r="BK519" s="3"/>
      <c r="BL519" s="3"/>
      <c r="BM519" s="3"/>
      <c r="BN519" s="3" t="s">
        <v>1442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76"/>
      <c r="C520" s="1335"/>
      <c r="D520" s="1335"/>
      <c r="E520" s="1335"/>
      <c r="F520" s="1335"/>
      <c r="G520" s="1335"/>
      <c r="H520" s="1336"/>
      <c r="I520" s="40" t="s">
        <v>1443</v>
      </c>
      <c r="J520" s="41"/>
      <c r="K520" s="41"/>
      <c r="L520" s="41"/>
      <c r="M520" s="41"/>
      <c r="N520" s="41"/>
      <c r="O520" s="41"/>
      <c r="P520" s="41"/>
      <c r="Q520" s="41"/>
      <c r="R520" s="41"/>
      <c r="S520" s="41"/>
      <c r="T520" s="41"/>
      <c r="U520" s="41"/>
      <c r="V520" s="41"/>
      <c r="W520" s="41"/>
      <c r="X520" s="41"/>
      <c r="Y520" s="41"/>
      <c r="Z520" s="41"/>
      <c r="AA520" s="41"/>
      <c r="AB520" s="42"/>
      <c r="AC520" s="1713">
        <v>5</v>
      </c>
      <c r="AD520" s="1673"/>
      <c r="AE520" s="1673"/>
      <c r="AF520" s="1673"/>
      <c r="AG520" s="31" t="s">
        <v>1410</v>
      </c>
      <c r="AH520" s="1463">
        <v>2023</v>
      </c>
      <c r="AI520" s="1463"/>
      <c r="AJ520" s="1463"/>
      <c r="AK520" s="1464"/>
      <c r="AZ520" s="3"/>
      <c r="BB520" s="3"/>
      <c r="BC520" s="3"/>
      <c r="BD520" s="3"/>
      <c r="BE520" s="3"/>
      <c r="BF520" s="3"/>
      <c r="BG520" s="3"/>
      <c r="BH520" s="3"/>
      <c r="BI520" s="3"/>
      <c r="BJ520" s="3"/>
      <c r="BK520" s="3"/>
      <c r="BL520" s="3"/>
      <c r="BM520" s="3"/>
      <c r="BN520" s="3" t="s">
        <v>1444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76"/>
      <c r="C521" s="1335"/>
      <c r="D521" s="1335"/>
      <c r="E521" s="1335"/>
      <c r="F521" s="1335"/>
      <c r="G521" s="1335"/>
      <c r="H521" s="1336"/>
      <c r="I521" s="35" t="s">
        <v>1445</v>
      </c>
      <c r="J521" s="35"/>
      <c r="K521" s="35"/>
      <c r="L521" s="35"/>
      <c r="M521" s="35"/>
      <c r="N521" s="35"/>
      <c r="O521" s="1720" t="s">
        <v>1446</v>
      </c>
      <c r="P521" s="1721"/>
      <c r="Q521" s="1721"/>
      <c r="R521" s="1721"/>
      <c r="S521" s="1721"/>
      <c r="T521" s="1721"/>
      <c r="U521" s="1721"/>
      <c r="V521" s="1721"/>
      <c r="W521" s="1721"/>
      <c r="X521" s="1721"/>
      <c r="Y521" s="1721"/>
      <c r="Z521" s="1721"/>
      <c r="AA521" s="1721"/>
      <c r="AC521" s="1713" t="s">
        <v>299</v>
      </c>
      <c r="AD521" s="1673"/>
      <c r="AE521" s="1673"/>
      <c r="AF521" s="1673"/>
      <c r="AG521" s="13" t="s">
        <v>1410</v>
      </c>
      <c r="AH521" s="1463"/>
      <c r="AI521" s="1463"/>
      <c r="AJ521" s="1463"/>
      <c r="AK521" s="1464"/>
      <c r="AZ521" s="3"/>
      <c r="BA521" s="3"/>
      <c r="BB521" s="3"/>
      <c r="BC521" s="3"/>
      <c r="BD521" s="3"/>
      <c r="BE521" s="3"/>
      <c r="BF521" s="3"/>
      <c r="BG521" s="3"/>
      <c r="BH521" s="3"/>
      <c r="BI521" s="3"/>
      <c r="BJ521" s="3"/>
      <c r="BK521" s="3"/>
      <c r="BL521" s="3"/>
      <c r="BM521" s="3"/>
      <c r="BN521" s="3" t="s">
        <v>1447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76"/>
      <c r="C522" s="1335"/>
      <c r="D522" s="1335"/>
      <c r="E522" s="1335"/>
      <c r="F522" s="1335"/>
      <c r="G522" s="1335"/>
      <c r="H522" s="1336"/>
      <c r="I522" t="s">
        <v>43</v>
      </c>
      <c r="AC522" s="1713">
        <v>6</v>
      </c>
      <c r="AD522" s="1673"/>
      <c r="AE522" s="1673"/>
      <c r="AF522" s="1673"/>
      <c r="AG522" s="13" t="s">
        <v>1410</v>
      </c>
      <c r="AH522" s="1463">
        <v>2021</v>
      </c>
      <c r="AI522" s="1463"/>
      <c r="AJ522" s="1463"/>
      <c r="AK522" s="1464"/>
      <c r="AZ522" s="3"/>
      <c r="BA522" s="3"/>
      <c r="BB522" s="3"/>
      <c r="BC522" s="3"/>
      <c r="BD522" s="3"/>
      <c r="BE522" s="3"/>
      <c r="BF522" s="3"/>
      <c r="BG522" s="3"/>
      <c r="BH522" s="3"/>
      <c r="BI522" s="3"/>
      <c r="BJ522" s="3"/>
      <c r="BK522" s="3"/>
      <c r="BL522" s="3"/>
      <c r="BM522" s="3"/>
      <c r="BN522" s="3" t="s">
        <v>1448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76"/>
      <c r="C523" s="1335"/>
      <c r="D523" s="1335"/>
      <c r="E523" s="1335"/>
      <c r="F523" s="1335"/>
      <c r="G523" s="1335"/>
      <c r="H523" s="1336"/>
      <c r="I523" s="41" t="s">
        <v>1443</v>
      </c>
      <c r="J523" s="41"/>
      <c r="K523" s="41"/>
      <c r="L523" s="41"/>
      <c r="M523" s="41"/>
      <c r="N523" s="41"/>
      <c r="O523" s="41"/>
      <c r="P523" s="41"/>
      <c r="Q523" s="41"/>
      <c r="R523" s="41"/>
      <c r="S523" s="41"/>
      <c r="T523" s="41"/>
      <c r="U523" s="41"/>
      <c r="V523" s="41"/>
      <c r="W523" s="41"/>
      <c r="X523" s="41"/>
      <c r="Y523" s="41"/>
      <c r="Z523" s="41"/>
      <c r="AA523" s="41"/>
      <c r="AB523" s="41"/>
      <c r="AC523" s="1713">
        <v>1</v>
      </c>
      <c r="AD523" s="1673"/>
      <c r="AE523" s="1673"/>
      <c r="AF523" s="1673"/>
      <c r="AG523" s="31" t="s">
        <v>1410</v>
      </c>
      <c r="AH523" s="1463">
        <v>2023</v>
      </c>
      <c r="AI523" s="1463"/>
      <c r="AJ523" s="1463"/>
      <c r="AK523" s="1464"/>
      <c r="AZ523" s="3"/>
      <c r="BA523" s="3"/>
      <c r="BB523" s="3"/>
      <c r="BC523" s="3"/>
      <c r="BD523" s="3"/>
      <c r="BE523" s="3"/>
      <c r="BF523" s="3"/>
      <c r="BG523" s="3"/>
      <c r="BH523" s="3"/>
      <c r="BI523" s="3"/>
      <c r="BJ523" s="3"/>
      <c r="BK523" s="3"/>
      <c r="BL523" s="3"/>
      <c r="BM523" s="3"/>
      <c r="BN523" s="3" t="s">
        <v>1449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76"/>
      <c r="C524" s="1335"/>
      <c r="D524" s="1335"/>
      <c r="E524" s="1335"/>
      <c r="F524" s="1335"/>
      <c r="G524" s="1335"/>
      <c r="H524" s="1336"/>
      <c r="I524" s="35" t="s">
        <v>1445</v>
      </c>
      <c r="J524" s="35"/>
      <c r="K524" s="35"/>
      <c r="L524" s="35"/>
      <c r="M524" s="35"/>
      <c r="N524" s="35"/>
      <c r="O524" s="1720" t="s">
        <v>1421</v>
      </c>
      <c r="P524" s="1721"/>
      <c r="Q524" s="1721"/>
      <c r="R524" s="1721"/>
      <c r="S524" s="1721"/>
      <c r="T524" s="1721"/>
      <c r="U524" s="1721"/>
      <c r="V524" s="1721"/>
      <c r="W524" s="1721"/>
      <c r="X524" s="1721"/>
      <c r="Y524" s="1721"/>
      <c r="Z524" s="1721"/>
      <c r="AA524" s="1721"/>
      <c r="AC524" s="1713" t="s">
        <v>299</v>
      </c>
      <c r="AD524" s="1673"/>
      <c r="AE524" s="1673"/>
      <c r="AF524" s="1673"/>
      <c r="AG524" s="13" t="s">
        <v>1410</v>
      </c>
      <c r="AH524" s="1463"/>
      <c r="AI524" s="1463"/>
      <c r="AJ524" s="1463"/>
      <c r="AK524" s="1464"/>
      <c r="AZ524" s="3"/>
      <c r="BA524" s="3"/>
      <c r="BB524" s="3"/>
      <c r="BC524" s="3"/>
      <c r="BD524" s="3"/>
      <c r="BE524" s="3"/>
      <c r="BF524" s="3"/>
      <c r="BG524" s="3"/>
      <c r="BH524" s="3"/>
      <c r="BI524" s="3"/>
      <c r="BJ524" s="3"/>
      <c r="BK524" s="3"/>
      <c r="BL524" s="3"/>
      <c r="BM524" s="3"/>
      <c r="BN524" s="3" t="s">
        <v>1450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76"/>
      <c r="C525" s="1335"/>
      <c r="D525" s="1335"/>
      <c r="E525" s="1335"/>
      <c r="F525" s="1335"/>
      <c r="G525" s="1335"/>
      <c r="H525" s="1336"/>
      <c r="I525" t="s">
        <v>43</v>
      </c>
      <c r="AC525" s="1713" t="s">
        <v>299</v>
      </c>
      <c r="AD525" s="1673"/>
      <c r="AE525" s="1673"/>
      <c r="AF525" s="1673"/>
      <c r="AG525" s="13" t="s">
        <v>1410</v>
      </c>
      <c r="AH525" s="1463"/>
      <c r="AI525" s="1463"/>
      <c r="AJ525" s="1463"/>
      <c r="AK525" s="1464"/>
      <c r="AZ525" s="3"/>
      <c r="BA525" s="3"/>
      <c r="BB525" s="3"/>
      <c r="BC525" s="3"/>
      <c r="BD525" s="3"/>
      <c r="BE525" s="3"/>
      <c r="BF525" s="3"/>
      <c r="BG525" s="3"/>
      <c r="BH525" s="3"/>
      <c r="BI525" s="3"/>
      <c r="BJ525" s="3"/>
      <c r="BK525" s="3"/>
      <c r="BL525" s="3"/>
      <c r="BM525" s="3"/>
      <c r="BN525" s="3" t="s">
        <v>1451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76"/>
      <c r="C526" s="1335"/>
      <c r="D526" s="1335"/>
      <c r="E526" s="1335"/>
      <c r="F526" s="1335"/>
      <c r="G526" s="1335"/>
      <c r="H526" s="1336"/>
      <c r="I526" s="41" t="s">
        <v>1443</v>
      </c>
      <c r="J526" s="41"/>
      <c r="K526" s="41"/>
      <c r="L526" s="41"/>
      <c r="M526" s="41"/>
      <c r="N526" s="41"/>
      <c r="O526" s="41"/>
      <c r="P526" s="41"/>
      <c r="Q526" s="41"/>
      <c r="R526" s="41"/>
      <c r="S526" s="41"/>
      <c r="T526" s="41"/>
      <c r="U526" s="41"/>
      <c r="V526" s="41"/>
      <c r="W526" s="41"/>
      <c r="X526" s="41"/>
      <c r="Y526" s="41"/>
      <c r="Z526" s="41"/>
      <c r="AA526" s="41"/>
      <c r="AB526" s="41"/>
      <c r="AC526" s="1713" t="s">
        <v>299</v>
      </c>
      <c r="AD526" s="1673"/>
      <c r="AE526" s="1673"/>
      <c r="AF526" s="1673"/>
      <c r="AG526" s="31" t="s">
        <v>1410</v>
      </c>
      <c r="AH526" s="1463"/>
      <c r="AI526" s="1463"/>
      <c r="AJ526" s="1463"/>
      <c r="AK526" s="1464"/>
      <c r="AZ526" s="3"/>
      <c r="BA526" s="3"/>
      <c r="BB526" s="3"/>
      <c r="BC526" s="3"/>
      <c r="BD526" s="3"/>
      <c r="BE526" s="3"/>
      <c r="BF526" s="3"/>
      <c r="BG526" s="3"/>
      <c r="BH526" s="3"/>
      <c r="BI526" s="3"/>
      <c r="BJ526" s="3"/>
      <c r="BK526" s="3"/>
      <c r="BL526" s="3"/>
      <c r="BM526" s="3"/>
      <c r="BN526" s="3" t="s">
        <v>1452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76"/>
      <c r="C527" s="1335"/>
      <c r="D527" s="1335"/>
      <c r="E527" s="1335"/>
      <c r="F527" s="1335"/>
      <c r="G527" s="1335"/>
      <c r="H527" s="1336"/>
      <c r="I527" s="35" t="s">
        <v>1445</v>
      </c>
      <c r="J527" s="35"/>
      <c r="K527" s="35"/>
      <c r="L527" s="35"/>
      <c r="M527" s="35"/>
      <c r="N527" s="35"/>
      <c r="O527" s="1720" t="s">
        <v>1421</v>
      </c>
      <c r="P527" s="1721"/>
      <c r="Q527" s="1721"/>
      <c r="R527" s="1721"/>
      <c r="S527" s="1721"/>
      <c r="T527" s="1721"/>
      <c r="U527" s="1721"/>
      <c r="V527" s="1721"/>
      <c r="W527" s="1721"/>
      <c r="X527" s="1721"/>
      <c r="Y527" s="1721"/>
      <c r="Z527" s="1721"/>
      <c r="AA527" s="1721"/>
      <c r="AC527" s="1713" t="s">
        <v>299</v>
      </c>
      <c r="AD527" s="1673"/>
      <c r="AE527" s="1673"/>
      <c r="AF527" s="1673"/>
      <c r="AG527" s="13" t="s">
        <v>1410</v>
      </c>
      <c r="AH527" s="1463"/>
      <c r="AI527" s="1463"/>
      <c r="AJ527" s="1463"/>
      <c r="AK527" s="1464"/>
      <c r="AZ527" s="3"/>
      <c r="BA527" s="3"/>
      <c r="BB527" s="3"/>
      <c r="BC527" s="3"/>
      <c r="BD527" s="3"/>
      <c r="BE527" s="3"/>
      <c r="BF527" s="3"/>
      <c r="BG527" s="3"/>
      <c r="BH527" s="3"/>
      <c r="BI527" s="3"/>
      <c r="BJ527" s="3"/>
      <c r="BK527" s="3"/>
      <c r="BL527" s="3"/>
      <c r="BM527" s="3"/>
      <c r="BN527" s="3" t="s">
        <v>1453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76"/>
      <c r="C528" s="1335"/>
      <c r="D528" s="1335"/>
      <c r="E528" s="1335"/>
      <c r="F528" s="1335"/>
      <c r="G528" s="1335"/>
      <c r="H528" s="1336"/>
      <c r="I528" t="s">
        <v>43</v>
      </c>
      <c r="AC528" s="1713" t="s">
        <v>299</v>
      </c>
      <c r="AD528" s="1673"/>
      <c r="AE528" s="1673"/>
      <c r="AF528" s="1673"/>
      <c r="AG528" s="13" t="s">
        <v>1410</v>
      </c>
      <c r="AH528" s="1463"/>
      <c r="AI528" s="1463"/>
      <c r="AJ528" s="1463"/>
      <c r="AK528" s="1464"/>
      <c r="AZ528" s="3"/>
      <c r="BA528" s="3"/>
      <c r="BB528" s="3"/>
      <c r="BC528" s="3"/>
      <c r="BD528" s="3"/>
      <c r="BE528" s="3"/>
      <c r="BF528" s="3"/>
      <c r="BG528" s="3"/>
      <c r="BH528" s="3"/>
      <c r="BI528" s="3"/>
      <c r="BJ528" s="3"/>
      <c r="BK528" s="3"/>
      <c r="BL528" s="3"/>
      <c r="BM528" s="3"/>
      <c r="BN528" s="3" t="s">
        <v>1454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76"/>
      <c r="C529" s="1335"/>
      <c r="D529" s="1335"/>
      <c r="E529" s="1335"/>
      <c r="F529" s="1335"/>
      <c r="G529" s="1335"/>
      <c r="H529" s="1336"/>
      <c r="I529" s="41" t="s">
        <v>1443</v>
      </c>
      <c r="J529" s="41"/>
      <c r="K529" s="41"/>
      <c r="L529" s="41"/>
      <c r="M529" s="41"/>
      <c r="N529" s="41"/>
      <c r="O529" s="41"/>
      <c r="P529" s="41"/>
      <c r="Q529" s="41"/>
      <c r="R529" s="41"/>
      <c r="S529" s="41"/>
      <c r="T529" s="41"/>
      <c r="U529" s="41"/>
      <c r="V529" s="41"/>
      <c r="W529" s="41"/>
      <c r="X529" s="41"/>
      <c r="Y529" s="41"/>
      <c r="Z529" s="41"/>
      <c r="AA529" s="41"/>
      <c r="AB529" s="41"/>
      <c r="AC529" s="1713" t="s">
        <v>299</v>
      </c>
      <c r="AD529" s="1673"/>
      <c r="AE529" s="1673"/>
      <c r="AF529" s="1673"/>
      <c r="AG529" s="31" t="s">
        <v>1410</v>
      </c>
      <c r="AH529" s="1463"/>
      <c r="AI529" s="1463"/>
      <c r="AJ529" s="1463"/>
      <c r="AK529" s="1464"/>
      <c r="AZ529" s="3"/>
      <c r="BA529" s="3"/>
      <c r="BB529" s="3"/>
      <c r="BC529" s="3"/>
      <c r="BD529" s="3"/>
      <c r="BE529" s="3"/>
      <c r="BF529" s="3"/>
      <c r="BG529" s="3"/>
      <c r="BH529" s="3"/>
      <c r="BI529" s="3"/>
      <c r="BJ529" s="3"/>
      <c r="BK529" s="3"/>
      <c r="BL529" s="3"/>
      <c r="BM529" s="3"/>
      <c r="BN529" s="3" t="s">
        <v>1455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76"/>
      <c r="C530" s="1335"/>
      <c r="D530" s="1335"/>
      <c r="E530" s="1335"/>
      <c r="F530" s="1335"/>
      <c r="G530" s="1335"/>
      <c r="H530" s="1336"/>
      <c r="I530" s="35" t="s">
        <v>1445</v>
      </c>
      <c r="J530" s="35"/>
      <c r="K530" s="35"/>
      <c r="L530" s="35"/>
      <c r="M530" s="35"/>
      <c r="N530" s="35"/>
      <c r="O530" s="1720" t="s">
        <v>1421</v>
      </c>
      <c r="P530" s="1721"/>
      <c r="Q530" s="1721"/>
      <c r="R530" s="1721"/>
      <c r="S530" s="1721"/>
      <c r="T530" s="1721"/>
      <c r="U530" s="1721"/>
      <c r="V530" s="1721"/>
      <c r="W530" s="1721"/>
      <c r="X530" s="1721"/>
      <c r="Y530" s="1721"/>
      <c r="Z530" s="1721"/>
      <c r="AA530" s="1721"/>
      <c r="AC530" s="1713" t="s">
        <v>299</v>
      </c>
      <c r="AD530" s="1673"/>
      <c r="AE530" s="1673"/>
      <c r="AF530" s="1673"/>
      <c r="AG530" s="13" t="s">
        <v>1410</v>
      </c>
      <c r="AH530" s="1463"/>
      <c r="AI530" s="1463"/>
      <c r="AJ530" s="1463"/>
      <c r="AK530" s="1464"/>
      <c r="AZ530" s="3"/>
      <c r="BA530" s="3"/>
      <c r="BB530" s="3"/>
      <c r="BC530" s="3"/>
      <c r="BD530" s="3"/>
      <c r="BE530" s="3"/>
      <c r="BF530" s="3"/>
      <c r="BG530" s="3"/>
      <c r="BH530" s="3"/>
      <c r="BI530" s="3"/>
      <c r="BJ530" s="3"/>
      <c r="BK530" s="3"/>
      <c r="BL530" s="3"/>
      <c r="BM530" s="3"/>
      <c r="BN530" s="3" t="s">
        <v>1456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76"/>
      <c r="C531" s="1335"/>
      <c r="D531" s="1335"/>
      <c r="E531" s="1335"/>
      <c r="F531" s="1335"/>
      <c r="G531" s="1335"/>
      <c r="H531" s="1336"/>
      <c r="I531" t="s">
        <v>43</v>
      </c>
      <c r="AC531" s="1713" t="s">
        <v>299</v>
      </c>
      <c r="AD531" s="1673"/>
      <c r="AE531" s="1673"/>
      <c r="AF531" s="1673"/>
      <c r="AG531" s="31" t="s">
        <v>1410</v>
      </c>
      <c r="AH531" s="1463"/>
      <c r="AI531" s="1463"/>
      <c r="AJ531" s="1463"/>
      <c r="AK531" s="1464"/>
      <c r="AZ531" s="3"/>
      <c r="BA531" s="3"/>
      <c r="BB531" s="3"/>
      <c r="BC531" s="3"/>
      <c r="BD531" s="3"/>
      <c r="BE531" s="3"/>
      <c r="BF531" s="3"/>
      <c r="BG531" s="3"/>
      <c r="BH531" s="3"/>
      <c r="BI531" s="3"/>
      <c r="BJ531" s="3"/>
      <c r="BK531" s="3"/>
      <c r="BL531" s="3"/>
      <c r="BM531" s="3"/>
      <c r="BN531" s="3" t="s">
        <v>1457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76"/>
      <c r="C532" s="1335"/>
      <c r="D532" s="1335"/>
      <c r="E532" s="1335"/>
      <c r="F532" s="1335"/>
      <c r="G532" s="1335"/>
      <c r="H532" s="1336"/>
      <c r="I532" s="41" t="s">
        <v>1443</v>
      </c>
      <c r="J532" s="41"/>
      <c r="K532" s="41"/>
      <c r="L532" s="41"/>
      <c r="M532" s="41"/>
      <c r="N532" s="41"/>
      <c r="O532" s="41"/>
      <c r="P532" s="41"/>
      <c r="Q532" s="41"/>
      <c r="R532" s="41"/>
      <c r="S532" s="41"/>
      <c r="T532" s="41"/>
      <c r="U532" s="41"/>
      <c r="V532" s="41"/>
      <c r="W532" s="41"/>
      <c r="X532" s="41"/>
      <c r="Y532" s="41"/>
      <c r="Z532" s="41"/>
      <c r="AA532" s="41"/>
      <c r="AB532" s="41"/>
      <c r="AC532" s="1713" t="s">
        <v>299</v>
      </c>
      <c r="AD532" s="1673"/>
      <c r="AE532" s="1673"/>
      <c r="AF532" s="1673"/>
      <c r="AG532" s="13" t="s">
        <v>1410</v>
      </c>
      <c r="AH532" s="1463"/>
      <c r="AI532" s="1463"/>
      <c r="AJ532" s="1463"/>
      <c r="AK532" s="1464"/>
      <c r="AZ532" s="3"/>
      <c r="BA532" s="3"/>
      <c r="BB532" s="3"/>
      <c r="BC532" s="3"/>
      <c r="BD532" s="3"/>
      <c r="BE532" s="3"/>
      <c r="BF532" s="3"/>
      <c r="BG532" s="3"/>
      <c r="BH532" s="3"/>
      <c r="BI532" s="3"/>
      <c r="BJ532" s="3"/>
      <c r="BK532" s="3"/>
      <c r="BL532" s="3"/>
      <c r="BM532" s="3"/>
      <c r="BN532" s="3" t="s">
        <v>1458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76"/>
      <c r="C533" s="1335"/>
      <c r="D533" s="1335"/>
      <c r="E533" s="1335"/>
      <c r="F533" s="1335"/>
      <c r="G533" s="1335"/>
      <c r="H533" s="1336"/>
      <c r="I533" s="35" t="s">
        <v>1445</v>
      </c>
      <c r="J533" s="35"/>
      <c r="K533" s="35"/>
      <c r="L533" s="35"/>
      <c r="M533" s="35"/>
      <c r="N533" s="35"/>
      <c r="O533" s="1720" t="s">
        <v>1421</v>
      </c>
      <c r="P533" s="1721"/>
      <c r="Q533" s="1721"/>
      <c r="R533" s="1721"/>
      <c r="S533" s="1721"/>
      <c r="T533" s="1721"/>
      <c r="U533" s="1721"/>
      <c r="V533" s="1721"/>
      <c r="W533" s="1721"/>
      <c r="X533" s="1721"/>
      <c r="Y533" s="1721"/>
      <c r="Z533" s="1721"/>
      <c r="AA533" s="1721"/>
      <c r="AC533" s="1713" t="s">
        <v>299</v>
      </c>
      <c r="AD533" s="1673"/>
      <c r="AE533" s="1673"/>
      <c r="AF533" s="1673"/>
      <c r="AG533" s="31" t="s">
        <v>1410</v>
      </c>
      <c r="AH533" s="1463"/>
      <c r="AI533" s="1463"/>
      <c r="AJ533" s="1463"/>
      <c r="AK533" s="1464"/>
      <c r="AZ533" s="3"/>
      <c r="BA533" s="3"/>
      <c r="BB533" s="3"/>
      <c r="BC533" s="3"/>
      <c r="BD533" s="3"/>
      <c r="BE533" s="3"/>
      <c r="BF533" s="3"/>
      <c r="BG533" s="3"/>
      <c r="BH533" s="3"/>
      <c r="BI533" s="3"/>
      <c r="BJ533" s="3"/>
      <c r="BK533" s="3"/>
      <c r="BL533" s="3"/>
      <c r="BM533" s="3"/>
      <c r="BN533" s="3" t="s">
        <v>1459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76"/>
      <c r="C534" s="1335"/>
      <c r="D534" s="1335"/>
      <c r="E534" s="1335"/>
      <c r="F534" s="1335"/>
      <c r="G534" s="1335"/>
      <c r="H534" s="1336"/>
      <c r="I534" t="s">
        <v>43</v>
      </c>
      <c r="AC534" s="1713" t="s">
        <v>299</v>
      </c>
      <c r="AD534" s="1673"/>
      <c r="AE534" s="1673"/>
      <c r="AF534" s="1673"/>
      <c r="AG534" s="13" t="s">
        <v>1410</v>
      </c>
      <c r="AH534" s="1463"/>
      <c r="AI534" s="1463"/>
      <c r="AJ534" s="1463"/>
      <c r="AK534" s="1464"/>
      <c r="AZ534" s="3"/>
      <c r="BA534" s="3"/>
      <c r="BB534" s="3"/>
      <c r="BC534" s="3"/>
      <c r="BD534" s="3"/>
      <c r="BE534" s="3"/>
      <c r="BF534" s="3"/>
      <c r="BG534" s="3"/>
      <c r="BH534" s="3"/>
      <c r="BI534" s="3"/>
      <c r="BJ534" s="3"/>
      <c r="BK534" s="3"/>
      <c r="BL534" s="3"/>
      <c r="BM534" s="3"/>
      <c r="BN534" s="3" t="s">
        <v>1460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76"/>
      <c r="C535" s="1335"/>
      <c r="D535" s="1335"/>
      <c r="E535" s="1335"/>
      <c r="F535" s="1335"/>
      <c r="G535" s="1335"/>
      <c r="H535" s="1336"/>
      <c r="I535" s="41" t="s">
        <v>1443</v>
      </c>
      <c r="J535" s="41"/>
      <c r="K535" s="41"/>
      <c r="L535" s="41"/>
      <c r="M535" s="41"/>
      <c r="N535" s="41"/>
      <c r="O535" s="41"/>
      <c r="P535" s="41"/>
      <c r="Q535" s="41"/>
      <c r="R535" s="41"/>
      <c r="S535" s="41"/>
      <c r="T535" s="41"/>
      <c r="U535" s="41"/>
      <c r="V535" s="41"/>
      <c r="W535" s="41"/>
      <c r="X535" s="41"/>
      <c r="Y535" s="41"/>
      <c r="Z535" s="41"/>
      <c r="AA535" s="41"/>
      <c r="AB535" s="41"/>
      <c r="AC535" s="1713" t="s">
        <v>299</v>
      </c>
      <c r="AD535" s="1673"/>
      <c r="AE535" s="1673"/>
      <c r="AF535" s="1673"/>
      <c r="AG535" s="31" t="s">
        <v>1410</v>
      </c>
      <c r="AH535" s="1463"/>
      <c r="AI535" s="1463"/>
      <c r="AJ535" s="1463"/>
      <c r="AK535" s="1464"/>
      <c r="AZ535" s="3"/>
      <c r="BA535" s="3"/>
      <c r="BB535" s="3"/>
      <c r="BC535" s="3"/>
      <c r="BD535" s="3"/>
      <c r="BE535" s="3"/>
      <c r="BF535" s="3"/>
      <c r="BG535" s="3"/>
      <c r="BH535" s="3"/>
      <c r="BI535" s="3"/>
      <c r="BJ535" s="3"/>
      <c r="BK535" s="3"/>
      <c r="BL535" s="3"/>
      <c r="BM535" s="3"/>
      <c r="BN535" s="3" t="s">
        <v>1461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76"/>
      <c r="C536" s="1335"/>
      <c r="D536" s="1335"/>
      <c r="E536" s="1335"/>
      <c r="F536" s="1335"/>
      <c r="G536" s="1335"/>
      <c r="H536" s="1336"/>
      <c r="I536" s="35" t="s">
        <v>1462</v>
      </c>
      <c r="J536" s="35"/>
      <c r="K536" s="35"/>
      <c r="L536" s="35"/>
      <c r="M536" s="35"/>
      <c r="N536" s="35"/>
      <c r="O536" s="35"/>
      <c r="P536" s="35"/>
      <c r="Q536" s="35"/>
      <c r="R536" s="35"/>
      <c r="S536" s="35"/>
      <c r="T536" s="35"/>
      <c r="U536" s="35"/>
      <c r="V536" s="35"/>
      <c r="W536" s="35"/>
      <c r="AC536" s="1713">
        <v>2</v>
      </c>
      <c r="AD536" s="1673"/>
      <c r="AE536" s="1673"/>
      <c r="AF536" s="1673"/>
      <c r="AG536" s="31" t="s">
        <v>1410</v>
      </c>
      <c r="AH536" s="1463">
        <v>2024</v>
      </c>
      <c r="AI536" s="1463"/>
      <c r="AJ536" s="1463"/>
      <c r="AK536" s="1464"/>
      <c r="AZ536" s="3"/>
      <c r="BA536" s="3"/>
      <c r="BB536" s="3"/>
      <c r="BC536" s="3"/>
      <c r="BD536" s="3"/>
      <c r="BE536" s="3"/>
      <c r="BF536" s="3"/>
      <c r="BG536" s="3"/>
      <c r="BH536" s="3"/>
      <c r="BI536" s="3"/>
      <c r="BJ536" s="3"/>
      <c r="BK536" s="3"/>
      <c r="BL536" s="3"/>
      <c r="BM536" s="3"/>
      <c r="BN536" s="3" t="s">
        <v>1463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76"/>
      <c r="C537" s="1335"/>
      <c r="D537" s="1335"/>
      <c r="E537" s="1335"/>
      <c r="F537" s="1335"/>
      <c r="G537" s="1335"/>
      <c r="H537" s="1336"/>
      <c r="I537" t="s">
        <v>1464</v>
      </c>
      <c r="AC537" s="1713">
        <v>2</v>
      </c>
      <c r="AD537" s="1673"/>
      <c r="AE537" s="1673"/>
      <c r="AF537" s="1673"/>
      <c r="AG537" s="13" t="s">
        <v>1410</v>
      </c>
      <c r="AH537" s="1463">
        <v>2024</v>
      </c>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76"/>
      <c r="C538" s="1335"/>
      <c r="D538" s="1335"/>
      <c r="E538" s="1335"/>
      <c r="F538" s="1335"/>
      <c r="G538" s="1335"/>
      <c r="H538" s="1336"/>
      <c r="I538" t="s">
        <v>1465</v>
      </c>
      <c r="AC538" s="1713">
        <v>12</v>
      </c>
      <c r="AD538" s="1673"/>
      <c r="AE538" s="1673"/>
      <c r="AF538" s="1673"/>
      <c r="AG538" s="31" t="s">
        <v>1410</v>
      </c>
      <c r="AH538" s="1463">
        <v>2025</v>
      </c>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76"/>
      <c r="C539" s="1335"/>
      <c r="D539" s="1335"/>
      <c r="E539" s="1335"/>
      <c r="F539" s="1335"/>
      <c r="G539" s="1335"/>
      <c r="H539" s="1336"/>
      <c r="I539" t="s">
        <v>1466</v>
      </c>
      <c r="AC539" s="1713">
        <v>12</v>
      </c>
      <c r="AD539" s="1673"/>
      <c r="AE539" s="1673"/>
      <c r="AF539" s="1673"/>
      <c r="AG539" s="31" t="s">
        <v>1410</v>
      </c>
      <c r="AH539" s="1463">
        <v>2025</v>
      </c>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77"/>
      <c r="C540" s="1337"/>
      <c r="D540" s="1337"/>
      <c r="E540" s="1337"/>
      <c r="F540" s="1337"/>
      <c r="G540" s="1337"/>
      <c r="H540" s="1338"/>
      <c r="I540" s="41" t="s">
        <v>1467</v>
      </c>
      <c r="J540" s="41"/>
      <c r="K540" s="41"/>
      <c r="L540" s="41"/>
      <c r="M540" s="41"/>
      <c r="N540" s="41"/>
      <c r="O540" s="41"/>
      <c r="P540" s="41"/>
      <c r="Q540" s="41"/>
      <c r="R540" s="41"/>
      <c r="S540" s="41"/>
      <c r="T540" s="41"/>
      <c r="U540" s="41"/>
      <c r="V540" s="41"/>
      <c r="W540" s="41"/>
      <c r="X540" s="41"/>
      <c r="Y540" s="41"/>
      <c r="Z540" s="41"/>
      <c r="AA540" s="41"/>
      <c r="AB540" s="41"/>
      <c r="AC540" s="1713">
        <v>6</v>
      </c>
      <c r="AD540" s="1673"/>
      <c r="AE540" s="1673"/>
      <c r="AF540" s="1673"/>
      <c r="AG540" s="31" t="s">
        <v>1410</v>
      </c>
      <c r="AH540" s="1463">
        <v>2026</v>
      </c>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7" t="s">
        <v>1468</v>
      </c>
      <c r="B542" s="1217"/>
      <c r="C542" s="1217"/>
      <c r="D542" s="1217"/>
      <c r="E542" s="1217"/>
      <c r="F542" s="1217"/>
      <c r="G542" s="1217"/>
      <c r="H542" s="1217"/>
      <c r="I542" s="1217"/>
      <c r="J542" s="1217"/>
      <c r="K542" s="1217"/>
      <c r="L542" s="1217"/>
      <c r="M542" s="1217"/>
      <c r="N542" s="1217"/>
      <c r="O542" s="1217"/>
      <c r="P542" s="1217"/>
      <c r="Q542" s="1217"/>
      <c r="R542" s="1217"/>
      <c r="S542" s="1217"/>
      <c r="T542" s="1217"/>
      <c r="U542" s="1217"/>
      <c r="V542" s="1217"/>
      <c r="W542" s="1217"/>
      <c r="X542" s="1217"/>
      <c r="Y542" s="1217"/>
      <c r="Z542" s="1217"/>
      <c r="AA542" s="1217"/>
      <c r="AB542" s="1217"/>
      <c r="AC542" s="1217"/>
      <c r="AD542" s="1217"/>
      <c r="AE542" s="1217"/>
      <c r="AF542" s="1217"/>
      <c r="AG542" s="1217"/>
      <c r="AH542" s="1217"/>
      <c r="AI542" s="1217"/>
      <c r="AJ542" s="1217"/>
      <c r="AK542" s="1217"/>
      <c r="AL542" s="1217"/>
      <c r="AM542" s="1217"/>
      <c r="AN542" s="1217"/>
      <c r="AO542" s="1217"/>
      <c r="AP542" s="1217"/>
      <c r="AQ542" s="1217"/>
      <c r="AR542" s="1217"/>
      <c r="AS542" s="1217"/>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7"/>
      <c r="B543" s="1217"/>
      <c r="C543" s="1217"/>
      <c r="D543" s="1217"/>
      <c r="E543" s="1217"/>
      <c r="F543" s="1217"/>
      <c r="G543" s="1217"/>
      <c r="H543" s="1217"/>
      <c r="I543" s="1217"/>
      <c r="J543" s="1217"/>
      <c r="K543" s="1217"/>
      <c r="L543" s="1217"/>
      <c r="M543" s="1217"/>
      <c r="N543" s="1217"/>
      <c r="O543" s="1217"/>
      <c r="P543" s="1217"/>
      <c r="Q543" s="1217"/>
      <c r="R543" s="1217"/>
      <c r="S543" s="1217"/>
      <c r="T543" s="1217"/>
      <c r="U543" s="1217"/>
      <c r="V543" s="1217"/>
      <c r="W543" s="1217"/>
      <c r="X543" s="1217"/>
      <c r="Y543" s="1217"/>
      <c r="Z543" s="1217"/>
      <c r="AA543" s="1217"/>
      <c r="AB543" s="1217"/>
      <c r="AC543" s="1217"/>
      <c r="AD543" s="1217"/>
      <c r="AE543" s="1217"/>
      <c r="AF543" s="1217"/>
      <c r="AG543" s="1217"/>
      <c r="AH543" s="1217"/>
      <c r="AI543" s="1217"/>
      <c r="AJ543" s="1217"/>
      <c r="AK543" s="1217"/>
      <c r="AL543" s="1217"/>
      <c r="AM543" s="1217"/>
      <c r="AN543" s="1217"/>
      <c r="AO543" s="1217"/>
      <c r="AP543" s="1217"/>
      <c r="AQ543" s="1217"/>
      <c r="AR543" s="1217"/>
      <c r="AS543" s="1217"/>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971</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1469</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4" t="s">
        <v>1470</v>
      </c>
      <c r="C549" s="1715"/>
      <c r="D549" s="1715"/>
      <c r="E549" s="1715"/>
      <c r="F549" s="1715"/>
      <c r="G549" s="1715"/>
      <c r="H549" s="1715"/>
      <c r="I549" s="1715"/>
      <c r="J549" s="1715"/>
      <c r="K549" s="1715"/>
      <c r="L549" s="1716"/>
      <c r="M549" s="1332" t="s">
        <v>1471</v>
      </c>
      <c r="N549" s="1332"/>
      <c r="O549" s="1332"/>
      <c r="P549" s="1332"/>
      <c r="Q549" s="1714" t="s">
        <v>1472</v>
      </c>
      <c r="R549" s="1715"/>
      <c r="S549" s="1716"/>
      <c r="T549" s="1714" t="s">
        <v>1473</v>
      </c>
      <c r="U549" s="1715"/>
      <c r="V549" s="1716"/>
      <c r="W549" s="1714" t="s">
        <v>1474</v>
      </c>
      <c r="X549" s="1715"/>
      <c r="Y549" s="1716"/>
      <c r="Z549" s="1714" t="s">
        <v>1475</v>
      </c>
      <c r="AA549" s="1715"/>
      <c r="AB549" s="1715"/>
      <c r="AC549" s="1715"/>
      <c r="AD549" s="1715"/>
      <c r="AE549" s="1714" t="s">
        <v>1476</v>
      </c>
      <c r="AF549" s="1715"/>
      <c r="AG549" s="1715"/>
      <c r="AH549" s="1716"/>
      <c r="AI549" s="1714" t="s">
        <v>1477</v>
      </c>
      <c r="AJ549" s="1715"/>
      <c r="AK549" s="1715"/>
      <c r="AL549" s="1716"/>
      <c r="AM549" s="1714" t="s">
        <v>1478</v>
      </c>
      <c r="AN549" s="1715"/>
      <c r="AO549" s="1715"/>
      <c r="AP549" s="1715"/>
      <c r="AQ549" s="1715"/>
      <c r="AR549" s="1715"/>
      <c r="AS549" s="1716"/>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680" t="s">
        <v>1479</v>
      </c>
      <c r="D550" s="1680"/>
      <c r="E550" s="1680"/>
      <c r="F550" s="1680"/>
      <c r="G550" s="1680"/>
      <c r="H550" s="1680"/>
      <c r="I550" s="1680"/>
      <c r="J550" s="1680"/>
      <c r="K550" s="1680"/>
      <c r="L550" s="1680"/>
      <c r="M550" s="1601" t="s">
        <v>1453</v>
      </c>
      <c r="N550" s="1602"/>
      <c r="O550" s="1602"/>
      <c r="P550" s="1603"/>
      <c r="Q550" s="1324">
        <v>34</v>
      </c>
      <c r="R550" s="1324"/>
      <c r="S550" s="1325"/>
      <c r="T550" s="1323">
        <v>0</v>
      </c>
      <c r="U550" s="1324"/>
      <c r="V550" s="1325"/>
      <c r="W550" s="1597">
        <v>8.0500000000000002E-2</v>
      </c>
      <c r="X550" s="1598"/>
      <c r="Y550" s="1599"/>
      <c r="Z550" s="1327" t="s">
        <v>1480</v>
      </c>
      <c r="AA550" s="1327"/>
      <c r="AB550" s="1327"/>
      <c r="AC550" s="1327"/>
      <c r="AD550" s="1327"/>
      <c r="AE550" s="1726">
        <v>1</v>
      </c>
      <c r="AF550" s="1727"/>
      <c r="AG550" s="1727"/>
      <c r="AH550" s="1728"/>
      <c r="AI550" s="1723">
        <v>0</v>
      </c>
      <c r="AJ550" s="1724"/>
      <c r="AK550" s="1724"/>
      <c r="AL550" s="1725"/>
      <c r="AM550" s="1729">
        <v>45112346</v>
      </c>
      <c r="AN550" s="1730"/>
      <c r="AO550" s="1730"/>
      <c r="AP550" s="1730"/>
      <c r="AQ550" s="1730"/>
      <c r="AR550" s="1730"/>
      <c r="AS550" s="1731"/>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600" t="s">
        <v>1446</v>
      </c>
      <c r="D551" s="1600"/>
      <c r="E551" s="1600"/>
      <c r="F551" s="1600"/>
      <c r="G551" s="1600"/>
      <c r="H551" s="1600"/>
      <c r="I551" s="1600"/>
      <c r="J551" s="1600"/>
      <c r="K551" s="1600"/>
      <c r="L551" s="1600"/>
      <c r="M551" s="1601" t="s">
        <v>1449</v>
      </c>
      <c r="N551" s="1602"/>
      <c r="O551" s="1602"/>
      <c r="P551" s="1603"/>
      <c r="Q551" s="1323">
        <v>34</v>
      </c>
      <c r="R551" s="1324"/>
      <c r="S551" s="1325"/>
      <c r="T551" s="1323">
        <v>0</v>
      </c>
      <c r="U551" s="1324"/>
      <c r="V551" s="1325"/>
      <c r="W551" s="1597">
        <v>0.03</v>
      </c>
      <c r="X551" s="1598"/>
      <c r="Y551" s="1599"/>
      <c r="Z551" s="1327" t="s">
        <v>1481</v>
      </c>
      <c r="AA551" s="1327"/>
      <c r="AB551" s="1327"/>
      <c r="AC551" s="1327"/>
      <c r="AD551" s="1327"/>
      <c r="AE551" s="1726">
        <v>3</v>
      </c>
      <c r="AF551" s="1727"/>
      <c r="AG551" s="1727"/>
      <c r="AH551" s="1728"/>
      <c r="AI551" s="1723"/>
      <c r="AJ551" s="1724"/>
      <c r="AK551" s="1724"/>
      <c r="AL551" s="1725"/>
      <c r="AM551" s="1729">
        <v>14672303</v>
      </c>
      <c r="AN551" s="1730"/>
      <c r="AO551" s="1730"/>
      <c r="AP551" s="1730"/>
      <c r="AQ551" s="1730"/>
      <c r="AR551" s="1730"/>
      <c r="AS551" s="1731"/>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600" t="s">
        <v>1331</v>
      </c>
      <c r="D552" s="1600"/>
      <c r="E552" s="1600"/>
      <c r="F552" s="1600"/>
      <c r="G552" s="1600"/>
      <c r="H552" s="1600"/>
      <c r="I552" s="1600"/>
      <c r="J552" s="1600"/>
      <c r="K552" s="1600"/>
      <c r="L552" s="1600"/>
      <c r="M552" s="1601" t="s">
        <v>1449</v>
      </c>
      <c r="N552" s="1602"/>
      <c r="O552" s="1602"/>
      <c r="P552" s="1603"/>
      <c r="Q552" s="1323">
        <v>34</v>
      </c>
      <c r="R552" s="1324"/>
      <c r="S552" s="1325"/>
      <c r="T552" s="1323">
        <v>0</v>
      </c>
      <c r="U552" s="1324"/>
      <c r="V552" s="1325"/>
      <c r="W552" s="1597">
        <v>0.03</v>
      </c>
      <c r="X552" s="1598"/>
      <c r="Y552" s="1599"/>
      <c r="Z552" s="1327" t="s">
        <v>1481</v>
      </c>
      <c r="AA552" s="1327"/>
      <c r="AB552" s="1327"/>
      <c r="AC552" s="1327"/>
      <c r="AD552" s="1327"/>
      <c r="AE552" s="1726">
        <v>2</v>
      </c>
      <c r="AF552" s="1727"/>
      <c r="AG552" s="1727"/>
      <c r="AH552" s="1728"/>
      <c r="AI552" s="1723"/>
      <c r="AJ552" s="1724"/>
      <c r="AK552" s="1724"/>
      <c r="AL552" s="1725"/>
      <c r="AM552" s="1729">
        <v>18000000</v>
      </c>
      <c r="AN552" s="1730"/>
      <c r="AO552" s="1730"/>
      <c r="AP552" s="1730"/>
      <c r="AQ552" s="1730"/>
      <c r="AR552" s="1730"/>
      <c r="AS552" s="1731"/>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600" t="s">
        <v>1429</v>
      </c>
      <c r="D553" s="1600"/>
      <c r="E553" s="1600"/>
      <c r="F553" s="1600"/>
      <c r="G553" s="1600"/>
      <c r="H553" s="1600"/>
      <c r="I553" s="1600"/>
      <c r="J553" s="1600"/>
      <c r="K553" s="1600"/>
      <c r="L553" s="1600"/>
      <c r="M553" s="1601" t="s">
        <v>1429</v>
      </c>
      <c r="N553" s="1602"/>
      <c r="O553" s="1602"/>
      <c r="P553" s="1603"/>
      <c r="Q553" s="1323">
        <v>0</v>
      </c>
      <c r="R553" s="1324"/>
      <c r="S553" s="1325"/>
      <c r="T553" s="1323">
        <v>0</v>
      </c>
      <c r="U553" s="1324"/>
      <c r="V553" s="1325"/>
      <c r="W553" s="1597">
        <v>0</v>
      </c>
      <c r="X553" s="1598"/>
      <c r="Y553" s="1599"/>
      <c r="Z553" s="1327" t="s">
        <v>299</v>
      </c>
      <c r="AA553" s="1327"/>
      <c r="AB553" s="1327"/>
      <c r="AC553" s="1327"/>
      <c r="AD553" s="1327"/>
      <c r="AE553" s="1726"/>
      <c r="AF553" s="1727"/>
      <c r="AG553" s="1727"/>
      <c r="AH553" s="1728"/>
      <c r="AI553" s="1723"/>
      <c r="AJ553" s="1724"/>
      <c r="AK553" s="1724"/>
      <c r="AL553" s="1725"/>
      <c r="AM553" s="1729">
        <v>1595718</v>
      </c>
      <c r="AN553" s="1730"/>
      <c r="AO553" s="1730"/>
      <c r="AP553" s="1730"/>
      <c r="AQ553" s="1730"/>
      <c r="AR553" s="1730"/>
      <c r="AS553" s="1731"/>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600" t="s">
        <v>1482</v>
      </c>
      <c r="D554" s="1600"/>
      <c r="E554" s="1600"/>
      <c r="F554" s="1600"/>
      <c r="G554" s="1600"/>
      <c r="H554" s="1600"/>
      <c r="I554" s="1600"/>
      <c r="J554" s="1600"/>
      <c r="K554" s="1600"/>
      <c r="L554" s="1600"/>
      <c r="M554" s="1601" t="s">
        <v>1431</v>
      </c>
      <c r="N554" s="1602"/>
      <c r="O554" s="1602"/>
      <c r="P554" s="1603"/>
      <c r="Q554" s="1323">
        <v>0</v>
      </c>
      <c r="R554" s="1324"/>
      <c r="S554" s="1325"/>
      <c r="T554" s="1323">
        <v>0</v>
      </c>
      <c r="U554" s="1324"/>
      <c r="V554" s="1325"/>
      <c r="W554" s="1597">
        <v>0</v>
      </c>
      <c r="X554" s="1598"/>
      <c r="Y554" s="1599"/>
      <c r="Z554" s="1327" t="s">
        <v>299</v>
      </c>
      <c r="AA554" s="1327"/>
      <c r="AB554" s="1327"/>
      <c r="AC554" s="1327"/>
      <c r="AD554" s="1327"/>
      <c r="AE554" s="1726"/>
      <c r="AF554" s="1727"/>
      <c r="AG554" s="1727"/>
      <c r="AH554" s="1728"/>
      <c r="AI554" s="1723"/>
      <c r="AJ554" s="1724"/>
      <c r="AK554" s="1724"/>
      <c r="AL554" s="1725"/>
      <c r="AM554" s="1729">
        <v>2624270</v>
      </c>
      <c r="AN554" s="1730"/>
      <c r="AO554" s="1730"/>
      <c r="AP554" s="1730"/>
      <c r="AQ554" s="1730"/>
      <c r="AR554" s="1730"/>
      <c r="AS554" s="1731"/>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1483</v>
      </c>
      <c r="C555" s="1600" t="s">
        <v>1484</v>
      </c>
      <c r="D555" s="1600"/>
      <c r="E555" s="1600"/>
      <c r="F555" s="1600"/>
      <c r="G555" s="1600"/>
      <c r="H555" s="1600"/>
      <c r="I555" s="1600"/>
      <c r="J555" s="1600"/>
      <c r="K555" s="1600"/>
      <c r="L555" s="1600"/>
      <c r="M555" s="1601" t="s">
        <v>1433</v>
      </c>
      <c r="N555" s="1602"/>
      <c r="O555" s="1602"/>
      <c r="P555" s="1603"/>
      <c r="Q555" s="1323">
        <v>0</v>
      </c>
      <c r="R555" s="1324"/>
      <c r="S555" s="1325"/>
      <c r="T555" s="1323">
        <v>0</v>
      </c>
      <c r="U555" s="1324"/>
      <c r="V555" s="1325"/>
      <c r="W555" s="1597">
        <v>0</v>
      </c>
      <c r="X555" s="1598"/>
      <c r="Y555" s="1599"/>
      <c r="Z555" s="1327" t="s">
        <v>299</v>
      </c>
      <c r="AA555" s="1327"/>
      <c r="AB555" s="1327"/>
      <c r="AC555" s="1327"/>
      <c r="AD555" s="1327"/>
      <c r="AE555" s="1726"/>
      <c r="AF555" s="1727"/>
      <c r="AG555" s="1727"/>
      <c r="AH555" s="1728"/>
      <c r="AI555" s="1723"/>
      <c r="AJ555" s="1724"/>
      <c r="AK555" s="1724"/>
      <c r="AL555" s="1725"/>
      <c r="AM555" s="1729">
        <v>7307100</v>
      </c>
      <c r="AN555" s="1730"/>
      <c r="AO555" s="1730"/>
      <c r="AP555" s="1730"/>
      <c r="AQ555" s="1730"/>
      <c r="AR555" s="1730"/>
      <c r="AS555" s="1731"/>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1485</v>
      </c>
      <c r="C556" s="1600" t="s">
        <v>1486</v>
      </c>
      <c r="D556" s="1600"/>
      <c r="E556" s="1600"/>
      <c r="F556" s="1600"/>
      <c r="G556" s="1600"/>
      <c r="H556" s="1600"/>
      <c r="I556" s="1600"/>
      <c r="J556" s="1600"/>
      <c r="K556" s="1600"/>
      <c r="L556" s="1600"/>
      <c r="M556" s="1601" t="s">
        <v>1441</v>
      </c>
      <c r="N556" s="1602"/>
      <c r="O556" s="1602"/>
      <c r="P556" s="1603"/>
      <c r="Q556" s="1323">
        <v>0</v>
      </c>
      <c r="R556" s="1324"/>
      <c r="S556" s="1325"/>
      <c r="T556" s="1323">
        <v>0</v>
      </c>
      <c r="U556" s="1324"/>
      <c r="V556" s="1325"/>
      <c r="W556" s="1597">
        <v>0</v>
      </c>
      <c r="X556" s="1598"/>
      <c r="Y556" s="1599"/>
      <c r="Z556" s="1327" t="s">
        <v>299</v>
      </c>
      <c r="AA556" s="1327"/>
      <c r="AB556" s="1327"/>
      <c r="AC556" s="1327"/>
      <c r="AD556" s="1327"/>
      <c r="AE556" s="1726"/>
      <c r="AF556" s="1727"/>
      <c r="AG556" s="1727"/>
      <c r="AH556" s="1728"/>
      <c r="AI556" s="1723"/>
      <c r="AJ556" s="1724"/>
      <c r="AK556" s="1724"/>
      <c r="AL556" s="1725"/>
      <c r="AM556" s="1729">
        <v>3333435</v>
      </c>
      <c r="AN556" s="1730"/>
      <c r="AO556" s="1730"/>
      <c r="AP556" s="1730"/>
      <c r="AQ556" s="1730"/>
      <c r="AR556" s="1730"/>
      <c r="AS556" s="1731"/>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1487</v>
      </c>
      <c r="C557" s="1600"/>
      <c r="D557" s="1600"/>
      <c r="E557" s="1600"/>
      <c r="F557" s="1600"/>
      <c r="G557" s="1600"/>
      <c r="H557" s="1600"/>
      <c r="I557" s="1600"/>
      <c r="J557" s="1600"/>
      <c r="K557" s="1600"/>
      <c r="L557" s="1600"/>
      <c r="M557" s="1680"/>
      <c r="N557" s="1680"/>
      <c r="O557" s="1680"/>
      <c r="P557" s="1680"/>
      <c r="Q557" s="1323">
        <v>0</v>
      </c>
      <c r="R557" s="1324"/>
      <c r="S557" s="1325"/>
      <c r="T557" s="1323">
        <v>0</v>
      </c>
      <c r="U557" s="1324"/>
      <c r="V557" s="1325"/>
      <c r="W557" s="1597"/>
      <c r="X557" s="1598"/>
      <c r="Y557" s="1599"/>
      <c r="Z557" s="1327" t="s">
        <v>1426</v>
      </c>
      <c r="AA557" s="1327"/>
      <c r="AB557" s="1327"/>
      <c r="AC557" s="1327"/>
      <c r="AD557" s="1327"/>
      <c r="AE557" s="1726"/>
      <c r="AF557" s="1727"/>
      <c r="AG557" s="1727"/>
      <c r="AH557" s="1728"/>
      <c r="AI557" s="1723"/>
      <c r="AJ557" s="1724"/>
      <c r="AK557" s="1724"/>
      <c r="AL557" s="1725"/>
      <c r="AM557" s="1729"/>
      <c r="AN557" s="1730"/>
      <c r="AO557" s="1730"/>
      <c r="AP557" s="1730"/>
      <c r="AQ557" s="1730"/>
      <c r="AR557" s="1730"/>
      <c r="AS557" s="1731"/>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1488</v>
      </c>
      <c r="C558" s="1600"/>
      <c r="D558" s="1600"/>
      <c r="E558" s="1600"/>
      <c r="F558" s="1600"/>
      <c r="G558" s="1600"/>
      <c r="H558" s="1600"/>
      <c r="I558" s="1600"/>
      <c r="J558" s="1600"/>
      <c r="K558" s="1600"/>
      <c r="L558" s="1600"/>
      <c r="M558" s="1680"/>
      <c r="N558" s="1680"/>
      <c r="O558" s="1680"/>
      <c r="P558" s="1680"/>
      <c r="Q558" s="1323">
        <v>0</v>
      </c>
      <c r="R558" s="1324"/>
      <c r="S558" s="1325"/>
      <c r="T558" s="1323">
        <v>0</v>
      </c>
      <c r="U558" s="1324"/>
      <c r="V558" s="1325"/>
      <c r="W558" s="1597"/>
      <c r="X558" s="1598"/>
      <c r="Y558" s="1599"/>
      <c r="Z558" s="1327" t="s">
        <v>1426</v>
      </c>
      <c r="AA558" s="1327"/>
      <c r="AB558" s="1327"/>
      <c r="AC558" s="1327"/>
      <c r="AD558" s="1327"/>
      <c r="AE558" s="1726"/>
      <c r="AF558" s="1727"/>
      <c r="AG558" s="1727"/>
      <c r="AH558" s="1728"/>
      <c r="AI558" s="1723"/>
      <c r="AJ558" s="1724"/>
      <c r="AK558" s="1724"/>
      <c r="AL558" s="1725"/>
      <c r="AM558" s="1729"/>
      <c r="AN558" s="1730"/>
      <c r="AO558" s="1730"/>
      <c r="AP558" s="1730"/>
      <c r="AQ558" s="1730"/>
      <c r="AR558" s="1730"/>
      <c r="AS558" s="1731"/>
      <c r="AT558" s="1080" t="str">
        <f t="shared" si="0"/>
        <v/>
      </c>
      <c r="AU558" s="1079"/>
      <c r="BB558" s="3"/>
      <c r="BC558" s="3"/>
      <c r="BD558" s="3"/>
      <c r="BE558" s="3"/>
      <c r="BF558" s="3"/>
      <c r="BG558" s="3"/>
      <c r="BH558" s="3" t="s">
        <v>1483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1489</v>
      </c>
      <c r="C559" s="1600"/>
      <c r="D559" s="1600"/>
      <c r="E559" s="1600"/>
      <c r="F559" s="1600"/>
      <c r="G559" s="1600"/>
      <c r="H559" s="1600"/>
      <c r="I559" s="1600"/>
      <c r="J559" s="1600"/>
      <c r="K559" s="1600"/>
      <c r="L559" s="1600"/>
      <c r="M559" s="1680"/>
      <c r="N559" s="1680"/>
      <c r="O559" s="1680"/>
      <c r="P559" s="1680"/>
      <c r="Q559" s="1323">
        <v>0</v>
      </c>
      <c r="R559" s="1324"/>
      <c r="S559" s="1325"/>
      <c r="T559" s="1323">
        <v>0</v>
      </c>
      <c r="U559" s="1324"/>
      <c r="V559" s="1325"/>
      <c r="W559" s="1597"/>
      <c r="X559" s="1598"/>
      <c r="Y559" s="1599"/>
      <c r="Z559" s="1327" t="s">
        <v>1426</v>
      </c>
      <c r="AA559" s="1327"/>
      <c r="AB559" s="1327"/>
      <c r="AC559" s="1327"/>
      <c r="AD559" s="1327"/>
      <c r="AE559" s="1726"/>
      <c r="AF559" s="1727"/>
      <c r="AG559" s="1727"/>
      <c r="AH559" s="1728"/>
      <c r="AI559" s="1723"/>
      <c r="AJ559" s="1724"/>
      <c r="AK559" s="1724"/>
      <c r="AL559" s="1725"/>
      <c r="AM559" s="1729"/>
      <c r="AN559" s="1730"/>
      <c r="AO559" s="1730"/>
      <c r="AP559" s="1730"/>
      <c r="AQ559" s="1730"/>
      <c r="AR559" s="1730"/>
      <c r="AS559" s="1731"/>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1490</v>
      </c>
      <c r="C560" s="1600"/>
      <c r="D560" s="1600"/>
      <c r="E560" s="1600"/>
      <c r="F560" s="1600"/>
      <c r="G560" s="1600"/>
      <c r="H560" s="1600"/>
      <c r="I560" s="1600"/>
      <c r="J560" s="1600"/>
      <c r="K560" s="1600"/>
      <c r="L560" s="1600"/>
      <c r="M560" s="1680"/>
      <c r="N560" s="1680"/>
      <c r="O560" s="1680"/>
      <c r="P560" s="1680"/>
      <c r="Q560" s="1323">
        <v>0</v>
      </c>
      <c r="R560" s="1324"/>
      <c r="S560" s="1325"/>
      <c r="T560" s="1323">
        <v>0</v>
      </c>
      <c r="U560" s="1324"/>
      <c r="V560" s="1325"/>
      <c r="W560" s="1597"/>
      <c r="X560" s="1598"/>
      <c r="Y560" s="1599"/>
      <c r="Z560" s="1327" t="s">
        <v>1426</v>
      </c>
      <c r="AA560" s="1327"/>
      <c r="AB560" s="1327"/>
      <c r="AC560" s="1327"/>
      <c r="AD560" s="1327"/>
      <c r="AE560" s="1726"/>
      <c r="AF560" s="1727"/>
      <c r="AG560" s="1727"/>
      <c r="AH560" s="1728"/>
      <c r="AI560" s="1723"/>
      <c r="AJ560" s="1724"/>
      <c r="AK560" s="1724"/>
      <c r="AL560" s="1725"/>
      <c r="AM560" s="1729"/>
      <c r="AN560" s="1730"/>
      <c r="AO560" s="1730"/>
      <c r="AP560" s="1730"/>
      <c r="AQ560" s="1730"/>
      <c r="AR560" s="1730"/>
      <c r="AS560" s="1731"/>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1491</v>
      </c>
      <c r="C561" s="1600"/>
      <c r="D561" s="1600"/>
      <c r="E561" s="1600"/>
      <c r="F561" s="1600"/>
      <c r="G561" s="1600"/>
      <c r="H561" s="1600"/>
      <c r="I561" s="1600"/>
      <c r="J561" s="1600"/>
      <c r="K561" s="1600"/>
      <c r="L561" s="1600"/>
      <c r="M561" s="1680"/>
      <c r="N561" s="1680"/>
      <c r="O561" s="1680"/>
      <c r="P561" s="1680"/>
      <c r="Q561" s="1323">
        <v>0</v>
      </c>
      <c r="R561" s="1324"/>
      <c r="S561" s="1325"/>
      <c r="T561" s="1323">
        <v>0</v>
      </c>
      <c r="U561" s="1324"/>
      <c r="V561" s="1325"/>
      <c r="W561" s="1597"/>
      <c r="X561" s="1598"/>
      <c r="Y561" s="1599"/>
      <c r="Z561" s="1327" t="s">
        <v>1426</v>
      </c>
      <c r="AA561" s="1327"/>
      <c r="AB561" s="1327"/>
      <c r="AC561" s="1327"/>
      <c r="AD561" s="1327"/>
      <c r="AE561" s="1726"/>
      <c r="AF561" s="1727"/>
      <c r="AG561" s="1727"/>
      <c r="AH561" s="1728"/>
      <c r="AI561" s="1723"/>
      <c r="AJ561" s="1724"/>
      <c r="AK561" s="1724"/>
      <c r="AL561" s="1725"/>
      <c r="AM561" s="1729"/>
      <c r="AN561" s="1730"/>
      <c r="AO561" s="1730"/>
      <c r="AP561" s="1730"/>
      <c r="AQ561" s="1730"/>
      <c r="AR561" s="1730"/>
      <c r="AS561" s="1731"/>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0" t="s">
        <v>1492</v>
      </c>
      <c r="C562" s="1521"/>
      <c r="D562" s="1521"/>
      <c r="E562" s="1521"/>
      <c r="F562" s="1521"/>
      <c r="G562" s="1521"/>
      <c r="H562" s="1521"/>
      <c r="I562" s="1521"/>
      <c r="J562" s="1521"/>
      <c r="K562" s="1521"/>
      <c r="L562" s="1521"/>
      <c r="M562" s="1521"/>
      <c r="N562" s="1521"/>
      <c r="O562" s="1521"/>
      <c r="P562" s="1521"/>
      <c r="Q562" s="1521"/>
      <c r="R562" s="1521"/>
      <c r="S562" s="1521"/>
      <c r="T562" s="1521"/>
      <c r="U562" s="1683"/>
      <c r="V562" s="1521"/>
      <c r="W562" s="1521"/>
      <c r="X562" s="1521"/>
      <c r="Y562" s="1521"/>
      <c r="Z562" s="1521"/>
      <c r="AA562" s="1521"/>
      <c r="AB562" s="1521"/>
      <c r="AC562" s="1521"/>
      <c r="AD562" s="1521"/>
      <c r="AE562" s="1521"/>
      <c r="AF562" s="1521"/>
      <c r="AG562" s="1521"/>
      <c r="AH562" s="1521"/>
      <c r="AI562" s="1521"/>
      <c r="AJ562" s="1521"/>
      <c r="AK562" s="1521"/>
      <c r="AL562" s="1522"/>
      <c r="AM562" s="1583">
        <f>SUM(AM550:AS561)</f>
        <v>92645172</v>
      </c>
      <c r="AN562" s="1584"/>
      <c r="AO562" s="1584"/>
      <c r="AP562" s="1584"/>
      <c r="AQ562" s="1584"/>
      <c r="AR562" s="1584"/>
      <c r="AS562" s="158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1493</v>
      </c>
      <c r="G564" s="1306" t="str">
        <f>C550</f>
        <v>Citibank Tax-Exempt Construction Loan</v>
      </c>
      <c r="H564" s="1306"/>
      <c r="I564" s="1306"/>
      <c r="J564" s="1306"/>
      <c r="K564" s="1306"/>
      <c r="L564" s="1306"/>
      <c r="M564" s="1306"/>
      <c r="N564" s="1306"/>
      <c r="O564" s="1306"/>
      <c r="P564" s="1306"/>
      <c r="Q564" s="1306"/>
      <c r="R564" s="1306"/>
      <c r="S564" s="8"/>
      <c r="T564" s="48" t="s">
        <v>30</v>
      </c>
      <c r="U564" t="s">
        <v>1493</v>
      </c>
      <c r="Z564" s="1306" t="str">
        <f>C551</f>
        <v>City of Mountain View</v>
      </c>
      <c r="AA564" s="1306"/>
      <c r="AB564" s="1306"/>
      <c r="AC564" s="1306"/>
      <c r="AD564" s="1306"/>
      <c r="AE564" s="1306"/>
      <c r="AF564" s="1306"/>
      <c r="AG564" s="1306"/>
      <c r="AH564" s="1306"/>
      <c r="AI564" s="1306"/>
      <c r="AJ564" s="1306"/>
      <c r="AK564" s="130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1153</v>
      </c>
      <c r="G565" s="1307" t="s">
        <v>1494</v>
      </c>
      <c r="H565" s="1307"/>
      <c r="I565" s="1307"/>
      <c r="J565" s="1307"/>
      <c r="K565" s="1307"/>
      <c r="L565" s="1307"/>
      <c r="M565" s="1307"/>
      <c r="N565" s="1307"/>
      <c r="O565" s="1307"/>
      <c r="P565" s="1307"/>
      <c r="Q565" s="1307"/>
      <c r="R565" s="1307"/>
      <c r="S565" s="8"/>
      <c r="T565" s="20"/>
      <c r="U565" t="s">
        <v>1153</v>
      </c>
      <c r="Z565" s="1307" t="s">
        <v>1495</v>
      </c>
      <c r="AA565" s="1307"/>
      <c r="AB565" s="1307"/>
      <c r="AC565" s="1307"/>
      <c r="AD565" s="1307"/>
      <c r="AE565" s="1307"/>
      <c r="AF565" s="1307"/>
      <c r="AG565" s="1307"/>
      <c r="AH565" s="1307"/>
      <c r="AI565" s="1307"/>
      <c r="AJ565" s="1307"/>
      <c r="AK565" s="1307"/>
      <c r="BB565" s="3"/>
      <c r="BC565" s="3"/>
      <c r="BD565" s="3"/>
      <c r="BE565" s="3"/>
      <c r="BF565" s="3"/>
      <c r="BG565" s="3"/>
      <c r="BH565" s="3" t="s">
        <v>1485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1026</v>
      </c>
      <c r="G566" s="1307" t="s">
        <v>984</v>
      </c>
      <c r="H566" s="1307"/>
      <c r="I566" s="1307"/>
      <c r="J566" s="1307"/>
      <c r="K566" s="1307"/>
      <c r="L566" s="1307"/>
      <c r="M566" s="1307"/>
      <c r="N566" s="1307"/>
      <c r="O566" s="1307"/>
      <c r="P566" s="1307"/>
      <c r="Q566" s="1307"/>
      <c r="R566" s="1307"/>
      <c r="T566" s="20"/>
      <c r="U566" t="s">
        <v>1026</v>
      </c>
      <c r="Z566" s="1326" t="s">
        <v>927</v>
      </c>
      <c r="AA566" s="1326"/>
      <c r="AB566" s="1326"/>
      <c r="AC566" s="1326"/>
      <c r="AD566" s="1326"/>
      <c r="AE566" s="1326"/>
      <c r="AF566" s="1326"/>
      <c r="AG566" s="1326"/>
      <c r="AH566" s="1326"/>
      <c r="AI566" s="1326"/>
      <c r="AJ566" s="1326"/>
      <c r="AK566" s="1326"/>
      <c r="BB566" s="3"/>
      <c r="BC566" s="3"/>
      <c r="BD566" s="3"/>
      <c r="BE566" s="3"/>
      <c r="BF566" s="3"/>
      <c r="BG566" s="3"/>
      <c r="BH566" s="3" t="s">
        <v>1487</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1496</v>
      </c>
      <c r="G567" s="1307" t="s">
        <v>1497</v>
      </c>
      <c r="H567" s="1307"/>
      <c r="I567" s="1307"/>
      <c r="J567" s="1307"/>
      <c r="K567" s="1307"/>
      <c r="L567" s="1307"/>
      <c r="M567" s="1307"/>
      <c r="N567" s="1307"/>
      <c r="O567" s="1307"/>
      <c r="P567" s="1307"/>
      <c r="Q567" s="1307"/>
      <c r="R567" s="1307"/>
      <c r="S567" s="8"/>
      <c r="T567" s="20"/>
      <c r="U567" t="s">
        <v>1496</v>
      </c>
      <c r="Z567" s="1326" t="s">
        <v>1498</v>
      </c>
      <c r="AA567" s="1326"/>
      <c r="AB567" s="1326"/>
      <c r="AC567" s="1326"/>
      <c r="AD567" s="1326"/>
      <c r="AE567" s="1326"/>
      <c r="AF567" s="1326"/>
      <c r="AG567" s="1326"/>
      <c r="AH567" s="1326"/>
      <c r="AI567" s="1326"/>
      <c r="AJ567" s="1326"/>
      <c r="AK567" s="132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933</v>
      </c>
      <c r="G568" s="1322" t="s">
        <v>1499</v>
      </c>
      <c r="H568" s="1322"/>
      <c r="I568" s="1322"/>
      <c r="J568" s="1322"/>
      <c r="K568" s="1322"/>
      <c r="L568" s="1322"/>
      <c r="O568" s="957" t="s">
        <v>1162</v>
      </c>
      <c r="P568" s="1305"/>
      <c r="Q568" s="1305"/>
      <c r="R568" s="1305"/>
      <c r="S568" s="10"/>
      <c r="T568" s="20"/>
      <c r="U568" t="s">
        <v>933</v>
      </c>
      <c r="Z568" s="1322" t="s">
        <v>1500</v>
      </c>
      <c r="AA568" s="1322"/>
      <c r="AB568" s="1322"/>
      <c r="AC568" s="1322"/>
      <c r="AD568" s="1322"/>
      <c r="AE568" s="1322"/>
      <c r="AH568" s="957" t="s">
        <v>1162</v>
      </c>
      <c r="AI568" s="1305"/>
      <c r="AJ568" s="1305"/>
      <c r="AK568" s="13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1501</v>
      </c>
      <c r="H569" s="1307" t="s">
        <v>1453</v>
      </c>
      <c r="I569" s="1307"/>
      <c r="J569" s="1307"/>
      <c r="K569" s="1307"/>
      <c r="L569" s="1307"/>
      <c r="M569" s="1307"/>
      <c r="N569" s="1307"/>
      <c r="O569" s="1307"/>
      <c r="P569" s="1307"/>
      <c r="Q569" s="1307"/>
      <c r="R569" s="1307"/>
      <c r="S569" s="8"/>
      <c r="T569" s="20"/>
      <c r="U569" t="s">
        <v>1501</v>
      </c>
      <c r="AA569" s="1307" t="s">
        <v>1449</v>
      </c>
      <c r="AB569" s="1307"/>
      <c r="AC569" s="1307"/>
      <c r="AD569" s="1307"/>
      <c r="AE569" s="1307"/>
      <c r="AF569" s="1307"/>
      <c r="AG569" s="1307"/>
      <c r="AH569" s="1307"/>
      <c r="AI569" s="1307"/>
      <c r="AJ569" s="1307"/>
      <c r="AK569" s="13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1502</v>
      </c>
      <c r="H570" s="8"/>
      <c r="I570" s="8"/>
      <c r="J570" s="8"/>
      <c r="K570" s="8"/>
      <c r="L570" s="8"/>
      <c r="M570" s="1312" t="s">
        <v>1328</v>
      </c>
      <c r="N570" s="1312"/>
      <c r="O570" s="1312"/>
      <c r="P570" s="1312"/>
      <c r="Q570" s="1312"/>
      <c r="R570" s="1312"/>
      <c r="S570" s="8"/>
      <c r="T570" s="20"/>
      <c r="U570" s="244" t="s">
        <v>1502</v>
      </c>
      <c r="AA570" s="8"/>
      <c r="AB570" s="8"/>
      <c r="AC570" s="8"/>
      <c r="AD570" s="8"/>
      <c r="AE570" s="8"/>
      <c r="AF570" s="1312" t="s">
        <v>299</v>
      </c>
      <c r="AG570" s="1312"/>
      <c r="AH570" s="1312"/>
      <c r="AI570" s="1312"/>
      <c r="AJ570" s="1312"/>
      <c r="AK570" s="131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1503</v>
      </c>
      <c r="N571" s="1308" t="s">
        <v>946</v>
      </c>
      <c r="O571" s="1308"/>
      <c r="T571" s="20"/>
      <c r="U571" t="s">
        <v>1503</v>
      </c>
      <c r="AG571" s="1308" t="s">
        <v>946</v>
      </c>
      <c r="AH571" s="130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1493</v>
      </c>
      <c r="G573" s="1306" t="str">
        <f>C552</f>
        <v>County of Santa Clara</v>
      </c>
      <c r="H573" s="1306"/>
      <c r="I573" s="1306"/>
      <c r="J573" s="1306"/>
      <c r="K573" s="1306"/>
      <c r="L573" s="1306"/>
      <c r="M573" s="1306"/>
      <c r="N573" s="1306"/>
      <c r="O573" s="1306"/>
      <c r="P573" s="1306"/>
      <c r="Q573" s="1306"/>
      <c r="R573" s="1306"/>
      <c r="T573" s="48" t="s">
        <v>81</v>
      </c>
      <c r="U573" t="s">
        <v>1493</v>
      </c>
      <c r="Z573" s="1306" t="str">
        <f>C553</f>
        <v>Accrued Interest</v>
      </c>
      <c r="AA573" s="1306"/>
      <c r="AB573" s="1306"/>
      <c r="AC573" s="1306"/>
      <c r="AD573" s="1306"/>
      <c r="AE573" s="1306"/>
      <c r="AF573" s="1306"/>
      <c r="AG573" s="1306"/>
      <c r="AH573" s="1306"/>
      <c r="AI573" s="1306"/>
      <c r="AJ573" s="1306"/>
      <c r="AK573" s="13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1153</v>
      </c>
      <c r="G574" s="1307" t="s">
        <v>1504</v>
      </c>
      <c r="H574" s="1307"/>
      <c r="I574" s="1307"/>
      <c r="J574" s="1307"/>
      <c r="K574" s="1307"/>
      <c r="L574" s="1307"/>
      <c r="M574" s="1307"/>
      <c r="N574" s="1307"/>
      <c r="O574" s="1307"/>
      <c r="P574" s="1307"/>
      <c r="Q574" s="1307"/>
      <c r="R574" s="1307"/>
      <c r="T574" s="20"/>
      <c r="U574" t="s">
        <v>1153</v>
      </c>
      <c r="Z574" s="1307" t="s">
        <v>1505</v>
      </c>
      <c r="AA574" s="1307"/>
      <c r="AB574" s="1307"/>
      <c r="AC574" s="1307"/>
      <c r="AD574" s="1307"/>
      <c r="AE574" s="1307"/>
      <c r="AF574" s="1307"/>
      <c r="AG574" s="1307"/>
      <c r="AH574" s="1307"/>
      <c r="AI574" s="1307"/>
      <c r="AJ574" s="1307"/>
      <c r="AK574" s="130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1026</v>
      </c>
      <c r="G575" s="1326" t="s">
        <v>1155</v>
      </c>
      <c r="H575" s="1326"/>
      <c r="I575" s="1326"/>
      <c r="J575" s="1326"/>
      <c r="K575" s="1326"/>
      <c r="L575" s="1326"/>
      <c r="M575" s="1326"/>
      <c r="N575" s="1326"/>
      <c r="O575" s="1326"/>
      <c r="P575" s="1326"/>
      <c r="Q575" s="1326"/>
      <c r="R575" s="1326"/>
      <c r="T575" s="20"/>
      <c r="U575" t="s">
        <v>1026</v>
      </c>
      <c r="Z575" s="1326"/>
      <c r="AA575" s="1326"/>
      <c r="AB575" s="1326"/>
      <c r="AC575" s="1326"/>
      <c r="AD575" s="1326"/>
      <c r="AE575" s="1326"/>
      <c r="AF575" s="1326"/>
      <c r="AG575" s="1326"/>
      <c r="AH575" s="1326"/>
      <c r="AI575" s="1326"/>
      <c r="AJ575" s="1326"/>
      <c r="AK575" s="13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1496</v>
      </c>
      <c r="G576" s="1326" t="s">
        <v>1506</v>
      </c>
      <c r="H576" s="1326"/>
      <c r="I576" s="1326"/>
      <c r="J576" s="1326"/>
      <c r="K576" s="1326"/>
      <c r="L576" s="1326"/>
      <c r="M576" s="1326"/>
      <c r="N576" s="1326"/>
      <c r="O576" s="1326"/>
      <c r="P576" s="1326"/>
      <c r="Q576" s="1326"/>
      <c r="R576" s="1326"/>
      <c r="T576" s="20"/>
      <c r="U576" t="s">
        <v>1496</v>
      </c>
      <c r="Z576" s="1326"/>
      <c r="AA576" s="1326"/>
      <c r="AB576" s="1326"/>
      <c r="AC576" s="1326"/>
      <c r="AD576" s="1326"/>
      <c r="AE576" s="1326"/>
      <c r="AF576" s="1326"/>
      <c r="AG576" s="1326"/>
      <c r="AH576" s="1326"/>
      <c r="AI576" s="1326"/>
      <c r="AJ576" s="1326"/>
      <c r="AK576" s="132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933</v>
      </c>
      <c r="G577" s="1322" t="s">
        <v>1507</v>
      </c>
      <c r="H577" s="1322"/>
      <c r="I577" s="1322"/>
      <c r="J577" s="1322"/>
      <c r="K577" s="1322"/>
      <c r="L577" s="1322"/>
      <c r="O577" s="957" t="s">
        <v>1162</v>
      </c>
      <c r="P577" s="1305"/>
      <c r="Q577" s="1305"/>
      <c r="R577" s="1305"/>
      <c r="T577" s="20"/>
      <c r="U577" t="s">
        <v>933</v>
      </c>
      <c r="Z577" s="1322"/>
      <c r="AA577" s="1322"/>
      <c r="AB577" s="1322"/>
      <c r="AC577" s="1322"/>
      <c r="AD577" s="1322"/>
      <c r="AE577" s="1322"/>
      <c r="AH577" s="957" t="s">
        <v>1162</v>
      </c>
      <c r="AI577" s="1305"/>
      <c r="AJ577" s="1305"/>
      <c r="AK577" s="13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1501</v>
      </c>
      <c r="H578" s="1307" t="s">
        <v>1449</v>
      </c>
      <c r="I578" s="1307"/>
      <c r="J578" s="1307"/>
      <c r="K578" s="1307"/>
      <c r="L578" s="1307"/>
      <c r="M578" s="1307"/>
      <c r="N578" s="1307"/>
      <c r="O578" s="1307"/>
      <c r="P578" s="1307"/>
      <c r="Q578" s="1307"/>
      <c r="R578" s="1307"/>
      <c r="T578" s="20"/>
      <c r="U578" t="s">
        <v>1501</v>
      </c>
      <c r="AA578" s="1307"/>
      <c r="AB578" s="1307"/>
      <c r="AC578" s="1307"/>
      <c r="AD578" s="1307"/>
      <c r="AE578" s="1307"/>
      <c r="AF578" s="1307"/>
      <c r="AG578" s="1307"/>
      <c r="AH578" s="1307"/>
      <c r="AI578" s="1307"/>
      <c r="AJ578" s="1307"/>
      <c r="AK578" s="130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1503</v>
      </c>
      <c r="N579" s="1308" t="s">
        <v>946</v>
      </c>
      <c r="O579" s="1308"/>
      <c r="T579" s="20"/>
      <c r="U579" t="s">
        <v>1503</v>
      </c>
      <c r="AG579" s="1308" t="s">
        <v>946</v>
      </c>
      <c r="AH579" s="130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1493</v>
      </c>
      <c r="G581" s="1306" t="str">
        <f>C554</f>
        <v>Costs Deferred Until Conversion</v>
      </c>
      <c r="H581" s="1306"/>
      <c r="I581" s="1306"/>
      <c r="J581" s="1306"/>
      <c r="K581" s="1306"/>
      <c r="L581" s="1306"/>
      <c r="M581" s="1306"/>
      <c r="N581" s="1306"/>
      <c r="O581" s="1306"/>
      <c r="P581" s="1306"/>
      <c r="Q581" s="1306"/>
      <c r="R581" s="1306"/>
      <c r="T581" s="48" t="s">
        <v>1483</v>
      </c>
      <c r="U581" t="s">
        <v>1493</v>
      </c>
      <c r="Z581" s="1306" t="str">
        <f>C555</f>
        <v>Deferred Developer Fee</v>
      </c>
      <c r="AA581" s="1306"/>
      <c r="AB581" s="1306"/>
      <c r="AC581" s="1306"/>
      <c r="AD581" s="1306"/>
      <c r="AE581" s="1306"/>
      <c r="AF581" s="1306"/>
      <c r="AG581" s="1306"/>
      <c r="AH581" s="1306"/>
      <c r="AI581" s="1306"/>
      <c r="AJ581" s="1306"/>
      <c r="AK581" s="130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1153</v>
      </c>
      <c r="G582" s="1307" t="s">
        <v>1154</v>
      </c>
      <c r="H582" s="1307"/>
      <c r="I582" s="1307"/>
      <c r="J582" s="1307"/>
      <c r="K582" s="1307"/>
      <c r="L582" s="1307"/>
      <c r="M582" s="1307"/>
      <c r="N582" s="1307"/>
      <c r="O582" s="1307"/>
      <c r="P582" s="1307"/>
      <c r="Q582" s="1307"/>
      <c r="R582" s="1307"/>
      <c r="T582" s="20"/>
      <c r="U582" t="s">
        <v>1153</v>
      </c>
      <c r="Z582" s="1307" t="s">
        <v>1154</v>
      </c>
      <c r="AA582" s="1307"/>
      <c r="AB582" s="1307"/>
      <c r="AC582" s="1307"/>
      <c r="AD582" s="1307"/>
      <c r="AE582" s="1307"/>
      <c r="AF582" s="1307"/>
      <c r="AG582" s="1307"/>
      <c r="AH582" s="1307"/>
      <c r="AI582" s="1307"/>
      <c r="AJ582" s="1307"/>
      <c r="AK582" s="13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1026</v>
      </c>
      <c r="G583" s="1326" t="s">
        <v>1155</v>
      </c>
      <c r="H583" s="1326"/>
      <c r="I583" s="1326"/>
      <c r="J583" s="1326"/>
      <c r="K583" s="1326"/>
      <c r="L583" s="1326"/>
      <c r="M583" s="1326"/>
      <c r="N583" s="1326"/>
      <c r="O583" s="1326"/>
      <c r="P583" s="1326"/>
      <c r="Q583" s="1326"/>
      <c r="R583" s="1326"/>
      <c r="T583" s="20"/>
      <c r="U583" t="s">
        <v>1026</v>
      </c>
      <c r="Z583" s="1326" t="s">
        <v>1155</v>
      </c>
      <c r="AA583" s="1326"/>
      <c r="AB583" s="1326"/>
      <c r="AC583" s="1326"/>
      <c r="AD583" s="1326"/>
      <c r="AE583" s="1326"/>
      <c r="AF583" s="1326"/>
      <c r="AG583" s="1326"/>
      <c r="AH583" s="1326"/>
      <c r="AI583" s="1326"/>
      <c r="AJ583" s="1326"/>
      <c r="AK583" s="13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1496</v>
      </c>
      <c r="G584" s="1227" t="s">
        <v>914</v>
      </c>
      <c r="H584" s="1326"/>
      <c r="I584" s="1326"/>
      <c r="J584" s="1326"/>
      <c r="K584" s="1326"/>
      <c r="L584" s="1326"/>
      <c r="M584" s="1326"/>
      <c r="N584" s="1326"/>
      <c r="O584" s="1326"/>
      <c r="P584" s="1326"/>
      <c r="Q584" s="1326"/>
      <c r="R584" s="1326"/>
      <c r="T584" s="20"/>
      <c r="U584" t="s">
        <v>1496</v>
      </c>
      <c r="Z584" s="1227" t="s">
        <v>914</v>
      </c>
      <c r="AA584" s="1326"/>
      <c r="AB584" s="1326"/>
      <c r="AC584" s="1326"/>
      <c r="AD584" s="1326"/>
      <c r="AE584" s="1326"/>
      <c r="AF584" s="1326"/>
      <c r="AG584" s="1326"/>
      <c r="AH584" s="1326"/>
      <c r="AI584" s="1326"/>
      <c r="AJ584" s="1326"/>
      <c r="AK584" s="132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933</v>
      </c>
      <c r="G585" s="1322" t="s">
        <v>1181</v>
      </c>
      <c r="H585" s="1322"/>
      <c r="I585" s="1322"/>
      <c r="J585" s="1322"/>
      <c r="K585" s="1322"/>
      <c r="L585" s="1322"/>
      <c r="O585" s="957" t="s">
        <v>1162</v>
      </c>
      <c r="P585" s="1305"/>
      <c r="Q585" s="1305"/>
      <c r="R585" s="1305"/>
      <c r="T585" s="20"/>
      <c r="U585" t="s">
        <v>933</v>
      </c>
      <c r="Z585" s="1322" t="s">
        <v>1181</v>
      </c>
      <c r="AA585" s="1322"/>
      <c r="AB585" s="1322"/>
      <c r="AC585" s="1322"/>
      <c r="AD585" s="1322"/>
      <c r="AE585" s="1322"/>
      <c r="AH585" s="957" t="s">
        <v>1162</v>
      </c>
      <c r="AI585" s="1305"/>
      <c r="AJ585" s="1305"/>
      <c r="AK585" s="13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1501</v>
      </c>
      <c r="H586" s="1307" t="s">
        <v>1431</v>
      </c>
      <c r="I586" s="1307"/>
      <c r="J586" s="1307"/>
      <c r="K586" s="1307"/>
      <c r="L586" s="1307"/>
      <c r="M586" s="1307"/>
      <c r="N586" s="1307"/>
      <c r="O586" s="1307"/>
      <c r="P586" s="1307"/>
      <c r="Q586" s="1307"/>
      <c r="R586" s="1307"/>
      <c r="T586" s="20"/>
      <c r="U586" t="s">
        <v>1501</v>
      </c>
      <c r="AA586" s="1307" t="s">
        <v>1433</v>
      </c>
      <c r="AB586" s="1307"/>
      <c r="AC586" s="1307"/>
      <c r="AD586" s="1307"/>
      <c r="AE586" s="1307"/>
      <c r="AF586" s="1307"/>
      <c r="AG586" s="1307"/>
      <c r="AH586" s="1307"/>
      <c r="AI586" s="1307"/>
      <c r="AJ586" s="1307"/>
      <c r="AK586" s="130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1503</v>
      </c>
      <c r="N587" s="1308" t="s">
        <v>946</v>
      </c>
      <c r="O587" s="1308"/>
      <c r="T587" s="20"/>
      <c r="U587" t="s">
        <v>1503</v>
      </c>
      <c r="AG587" s="1308" t="s">
        <v>946</v>
      </c>
      <c r="AH587" s="1308"/>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1485</v>
      </c>
      <c r="B589" t="s">
        <v>1493</v>
      </c>
      <c r="G589" s="1306" t="str">
        <f>C556</f>
        <v>LP Equity</v>
      </c>
      <c r="H589" s="1306"/>
      <c r="I589" s="1306"/>
      <c r="J589" s="1306"/>
      <c r="K589" s="1306"/>
      <c r="L589" s="1306"/>
      <c r="M589" s="1306"/>
      <c r="N589" s="1306"/>
      <c r="O589" s="1306"/>
      <c r="P589" s="1306"/>
      <c r="Q589" s="1306"/>
      <c r="R589" s="1306"/>
      <c r="T589" s="48" t="s">
        <v>1487</v>
      </c>
      <c r="U589" t="s">
        <v>1493</v>
      </c>
      <c r="Z589" s="1306">
        <f>C557</f>
        <v>0</v>
      </c>
      <c r="AA589" s="1306"/>
      <c r="AB589" s="1306"/>
      <c r="AC589" s="1306"/>
      <c r="AD589" s="1306"/>
      <c r="AE589" s="1306"/>
      <c r="AF589" s="1306"/>
      <c r="AG589" s="1306"/>
      <c r="AH589" s="1306"/>
      <c r="AI589" s="1306"/>
      <c r="AJ589" s="1306"/>
      <c r="AK589" s="130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1153</v>
      </c>
      <c r="G590" s="1307" t="s">
        <v>1328</v>
      </c>
      <c r="H590" s="1307"/>
      <c r="I590" s="1307"/>
      <c r="J590" s="1307"/>
      <c r="K590" s="1307"/>
      <c r="L590" s="1307"/>
      <c r="M590" s="1307"/>
      <c r="N590" s="1307"/>
      <c r="O590" s="1307"/>
      <c r="P590" s="1307"/>
      <c r="Q590" s="1307"/>
      <c r="R590" s="1307"/>
      <c r="T590" s="20"/>
      <c r="U590" t="s">
        <v>1153</v>
      </c>
      <c r="Z590" s="1307"/>
      <c r="AA590" s="1307"/>
      <c r="AB590" s="1307"/>
      <c r="AC590" s="1307"/>
      <c r="AD590" s="1307"/>
      <c r="AE590" s="1307"/>
      <c r="AF590" s="1307"/>
      <c r="AG590" s="1307"/>
      <c r="AH590" s="1307"/>
      <c r="AI590" s="1307"/>
      <c r="AJ590" s="1307"/>
      <c r="AK590" s="13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1026</v>
      </c>
      <c r="G591" s="1307"/>
      <c r="H591" s="1307"/>
      <c r="I591" s="1307"/>
      <c r="J591" s="1307"/>
      <c r="K591" s="1307"/>
      <c r="L591" s="1307"/>
      <c r="M591" s="1307"/>
      <c r="N591" s="1307"/>
      <c r="O591" s="1307"/>
      <c r="P591" s="1307"/>
      <c r="Q591" s="1307"/>
      <c r="R591" s="1307"/>
      <c r="T591" s="20"/>
      <c r="U591" t="s">
        <v>1026</v>
      </c>
      <c r="Z591" s="1326"/>
      <c r="AA591" s="1326"/>
      <c r="AB591" s="1326"/>
      <c r="AC591" s="1326"/>
      <c r="AD591" s="1326"/>
      <c r="AE591" s="1326"/>
      <c r="AF591" s="1326"/>
      <c r="AG591" s="1326"/>
      <c r="AH591" s="1326"/>
      <c r="AI591" s="1326"/>
      <c r="AJ591" s="1326"/>
      <c r="AK591" s="13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1496</v>
      </c>
      <c r="G592" s="1307"/>
      <c r="H592" s="1307"/>
      <c r="I592" s="1307"/>
      <c r="J592" s="1307"/>
      <c r="K592" s="1307"/>
      <c r="L592" s="1307"/>
      <c r="M592" s="1307"/>
      <c r="N592" s="1307"/>
      <c r="O592" s="1307"/>
      <c r="P592" s="1307"/>
      <c r="Q592" s="1307"/>
      <c r="R592" s="1307"/>
      <c r="T592" s="20"/>
      <c r="U592" t="s">
        <v>1496</v>
      </c>
      <c r="Z592" s="1326"/>
      <c r="AA592" s="1326"/>
      <c r="AB592" s="1326"/>
      <c r="AC592" s="1326"/>
      <c r="AD592" s="1326"/>
      <c r="AE592" s="1326"/>
      <c r="AF592" s="1326"/>
      <c r="AG592" s="1326"/>
      <c r="AH592" s="1326"/>
      <c r="AI592" s="1326"/>
      <c r="AJ592" s="1326"/>
      <c r="AK592" s="132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933</v>
      </c>
      <c r="C593"/>
      <c r="D593"/>
      <c r="E593"/>
      <c r="F593"/>
      <c r="G593" s="1322"/>
      <c r="H593" s="1322"/>
      <c r="I593" s="1322"/>
      <c r="J593" s="1322"/>
      <c r="K593" s="1322"/>
      <c r="L593" s="1322"/>
      <c r="M593"/>
      <c r="N593"/>
      <c r="O593" s="957" t="s">
        <v>1162</v>
      </c>
      <c r="P593" s="1305"/>
      <c r="Q593" s="1305"/>
      <c r="R593" s="1305"/>
      <c r="S593"/>
      <c r="T593" s="20"/>
      <c r="U593" t="s">
        <v>933</v>
      </c>
      <c r="V593"/>
      <c r="W593"/>
      <c r="X593"/>
      <c r="Y593"/>
      <c r="Z593" s="1322"/>
      <c r="AA593" s="1322"/>
      <c r="AB593" s="1322"/>
      <c r="AC593" s="1322"/>
      <c r="AD593" s="1322"/>
      <c r="AE593" s="1322"/>
      <c r="AF593"/>
      <c r="AG593"/>
      <c r="AH593" s="957" t="s">
        <v>1162</v>
      </c>
      <c r="AI593" s="1305"/>
      <c r="AJ593" s="1305"/>
      <c r="AK593" s="130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1501</v>
      </c>
      <c r="C594"/>
      <c r="D594"/>
      <c r="E594"/>
      <c r="F594"/>
      <c r="G594"/>
      <c r="H594" s="1307" t="s">
        <v>1441</v>
      </c>
      <c r="I594" s="1307"/>
      <c r="J594" s="1307"/>
      <c r="K594" s="1307"/>
      <c r="L594" s="1307"/>
      <c r="M594" s="1307"/>
      <c r="N594" s="1307"/>
      <c r="O594" s="1307"/>
      <c r="P594" s="1307"/>
      <c r="Q594" s="1307"/>
      <c r="R594" s="1307"/>
      <c r="S594"/>
      <c r="T594" s="20"/>
      <c r="U594" t="s">
        <v>1501</v>
      </c>
      <c r="V594"/>
      <c r="W594"/>
      <c r="X594"/>
      <c r="Y594"/>
      <c r="Z594"/>
      <c r="AA594" s="1307"/>
      <c r="AB594" s="1307"/>
      <c r="AC594" s="1307"/>
      <c r="AD594" s="1307"/>
      <c r="AE594" s="1307"/>
      <c r="AF594" s="1307"/>
      <c r="AG594" s="1307"/>
      <c r="AH594" s="1307"/>
      <c r="AI594" s="1307"/>
      <c r="AJ594" s="1307"/>
      <c r="AK594" s="13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1508</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1509</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1510</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1503</v>
      </c>
      <c r="C595"/>
      <c r="D595"/>
      <c r="E595"/>
      <c r="F595"/>
      <c r="G595"/>
      <c r="H595"/>
      <c r="I595"/>
      <c r="J595"/>
      <c r="K595"/>
      <c r="L595"/>
      <c r="M595"/>
      <c r="N595" s="1308" t="s">
        <v>837</v>
      </c>
      <c r="O595" s="1308"/>
      <c r="P595"/>
      <c r="Q595"/>
      <c r="R595"/>
      <c r="S595"/>
      <c r="T595" s="20"/>
      <c r="U595" t="s">
        <v>1503</v>
      </c>
      <c r="V595"/>
      <c r="W595"/>
      <c r="X595"/>
      <c r="Y595"/>
      <c r="Z595"/>
      <c r="AA595"/>
      <c r="AB595"/>
      <c r="AC595"/>
      <c r="AD595"/>
      <c r="AE595"/>
      <c r="AF595"/>
      <c r="AG595" s="1308" t="s">
        <v>837</v>
      </c>
      <c r="AH595" s="1308"/>
      <c r="AI595"/>
      <c r="AJ595"/>
      <c r="AK595"/>
      <c r="AL595"/>
      <c r="AM595"/>
      <c r="AN595"/>
      <c r="AO595"/>
      <c r="AP595"/>
      <c r="AQ595"/>
      <c r="AR595"/>
      <c r="AS595"/>
      <c r="AT595"/>
      <c r="AU595"/>
      <c r="AV595"/>
      <c r="AW595"/>
      <c r="AX595"/>
      <c r="AY595"/>
      <c r="AZ595" s="3"/>
      <c r="BA595" s="3" t="s">
        <v>1511</v>
      </c>
      <c r="BB595" s="3"/>
      <c r="BC595" s="3"/>
      <c r="BD595" s="3"/>
      <c r="BE595" s="88" t="s">
        <v>1512</v>
      </c>
      <c r="BF595" s="89"/>
      <c r="BG595" s="1366"/>
      <c r="BH595" s="1368"/>
      <c r="BI595" s="88" t="s">
        <v>1513</v>
      </c>
      <c r="BJ595" s="89"/>
      <c r="BK595" s="1366"/>
      <c r="BL595" s="1368"/>
      <c r="BM595" s="3"/>
      <c r="BN595" s="1420" t="s">
        <v>1514</v>
      </c>
      <c r="BO595" s="1421"/>
      <c r="BP595" s="1421"/>
      <c r="BQ595" s="1421"/>
      <c r="BR595" s="1422"/>
      <c r="BS595" s="1385" t="s">
        <v>1515</v>
      </c>
      <c r="BT595" s="1385"/>
      <c r="BU595" s="1385"/>
      <c r="BV595" s="1385"/>
      <c r="BW595" s="1385"/>
      <c r="BX595" s="1385" t="s">
        <v>1516</v>
      </c>
      <c r="BY595" s="1385"/>
      <c r="BZ595" s="1385"/>
      <c r="CA595" s="1385"/>
      <c r="CB595" s="1385"/>
      <c r="CC595" s="1385" t="s">
        <v>1517</v>
      </c>
      <c r="CD595" s="1385"/>
      <c r="CE595" s="1385"/>
      <c r="CF595" s="1385"/>
      <c r="CG595" s="1385"/>
      <c r="CH595" s="1385" t="s">
        <v>1518</v>
      </c>
      <c r="CI595" s="1385"/>
      <c r="CJ595" s="1385"/>
      <c r="CK595" s="1385"/>
      <c r="CL595" s="1385"/>
      <c r="CM595" s="1385" t="s">
        <v>1519</v>
      </c>
      <c r="CN595" s="1385"/>
      <c r="CO595" s="1385"/>
      <c r="CP595" s="1385"/>
      <c r="CQ595" s="1385"/>
      <c r="CR595" s="66"/>
      <c r="CS595" s="1385" t="s">
        <v>1514</v>
      </c>
      <c r="CT595" s="1385"/>
      <c r="CU595" s="1385"/>
      <c r="CV595" s="1385"/>
      <c r="CW595" s="1385"/>
      <c r="CX595" s="1385" t="s">
        <v>1515</v>
      </c>
      <c r="CY595" s="1385"/>
      <c r="CZ595" s="1385"/>
      <c r="DA595" s="1385"/>
      <c r="DB595" s="1385"/>
      <c r="DC595" s="1385" t="s">
        <v>1516</v>
      </c>
      <c r="DD595" s="1385"/>
      <c r="DE595" s="1385"/>
      <c r="DF595" s="1385"/>
      <c r="DG595" s="1385"/>
      <c r="DH595" s="1385" t="s">
        <v>1517</v>
      </c>
      <c r="DI595" s="1385"/>
      <c r="DJ595" s="1385"/>
      <c r="DK595" s="1385"/>
      <c r="DL595" s="1385"/>
      <c r="DM595" s="1385" t="s">
        <v>1518</v>
      </c>
      <c r="DN595" s="1385"/>
      <c r="DO595" s="1385"/>
      <c r="DP595" s="1385"/>
      <c r="DQ595" s="1385"/>
      <c r="DR595" s="1385" t="s">
        <v>1519</v>
      </c>
      <c r="DS595" s="1385"/>
      <c r="DT595" s="1385"/>
      <c r="DU595" s="1385"/>
      <c r="DV595" s="1385"/>
      <c r="DW595" s="3"/>
      <c r="DX595" s="1385" t="s">
        <v>1514</v>
      </c>
      <c r="DY595" s="1385"/>
      <c r="DZ595" s="1385"/>
      <c r="EA595" s="1385"/>
      <c r="EB595" s="1385"/>
      <c r="EC595" s="1385" t="s">
        <v>1515</v>
      </c>
      <c r="ED595" s="1385"/>
      <c r="EE595" s="1385"/>
      <c r="EF595" s="1385"/>
      <c r="EG595" s="1385"/>
      <c r="EH595" s="1385" t="s">
        <v>1516</v>
      </c>
      <c r="EI595" s="1385"/>
      <c r="EJ595" s="1385"/>
      <c r="EK595" s="1385"/>
      <c r="EL595" s="1385"/>
      <c r="EM595" s="1385" t="s">
        <v>1517</v>
      </c>
      <c r="EN595" s="1385"/>
      <c r="EO595" s="1385"/>
      <c r="EP595" s="1385"/>
      <c r="EQ595" s="1385"/>
      <c r="ER595" s="1385" t="s">
        <v>1518</v>
      </c>
      <c r="ES595" s="1385"/>
      <c r="ET595" s="1385"/>
      <c r="EU595" s="1385"/>
      <c r="EV595" s="1385"/>
      <c r="EW595" s="1385" t="s">
        <v>1519</v>
      </c>
      <c r="EX595" s="1385"/>
      <c r="EY595" s="1385"/>
      <c r="EZ595" s="1385"/>
      <c r="FA595" s="1385"/>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1515</v>
      </c>
      <c r="BB596" s="3"/>
      <c r="BC596" s="3"/>
      <c r="BD596" s="3"/>
      <c r="BE596" s="1366">
        <f t="shared" ref="BE596:BE620" si="1">IF(AND(AC714&lt;=0.5,AC714&gt;=0.36),1,0)</f>
        <v>0</v>
      </c>
      <c r="BF596" s="1368"/>
      <c r="BG596" s="1366">
        <f t="shared" ref="BG596:BG620" si="2">IF(BE596=1,G714,0)</f>
        <v>0</v>
      </c>
      <c r="BH596" s="1368"/>
      <c r="BI596" s="1366">
        <f t="shared" ref="BI596:BI620" si="3">IF(AND(AC714&lt;=0.35,AC714&gt;0),1,0)</f>
        <v>1</v>
      </c>
      <c r="BJ596" s="1368"/>
      <c r="BK596" s="1366">
        <f t="shared" ref="BK596:BK620" si="4">IF(BI596=1,G714,0)</f>
        <v>21</v>
      </c>
      <c r="BL596" s="1368"/>
      <c r="BM596" s="3"/>
      <c r="BN596" s="1363">
        <f t="shared" ref="BN596:BN620" si="5">IF(B714="SRO/Studio",G714,0)</f>
        <v>21</v>
      </c>
      <c r="BO596" s="1364"/>
      <c r="BP596" s="1364"/>
      <c r="BQ596" s="1364"/>
      <c r="BR596" s="1365"/>
      <c r="BS596" s="1369">
        <f t="shared" ref="BS596:BS620" si="6">IF(B714="1 Bedroom",G714,0)</f>
        <v>0</v>
      </c>
      <c r="BT596" s="1369"/>
      <c r="BU596" s="1369"/>
      <c r="BV596" s="1369"/>
      <c r="BW596" s="1369"/>
      <c r="BX596" s="1369">
        <f t="shared" ref="BX596:BX620" si="7">IF(B714="2 Bedrooms",G714,0)</f>
        <v>0</v>
      </c>
      <c r="BY596" s="1369"/>
      <c r="BZ596" s="1369"/>
      <c r="CA596" s="1369"/>
      <c r="CB596" s="1369"/>
      <c r="CC596" s="1369">
        <f t="shared" ref="CC596:CC620" si="8">IF(B714="3 Bedrooms",G714,0)</f>
        <v>0</v>
      </c>
      <c r="CD596" s="1369"/>
      <c r="CE596" s="1369"/>
      <c r="CF596" s="1369"/>
      <c r="CG596" s="1369"/>
      <c r="CH596" s="1369">
        <f t="shared" ref="CH596:CH620" si="9">IF(B714="4 Bedrooms",G714,0)</f>
        <v>0</v>
      </c>
      <c r="CI596" s="1369"/>
      <c r="CJ596" s="1369"/>
      <c r="CK596" s="1369"/>
      <c r="CL596" s="1369"/>
      <c r="CM596" s="1369">
        <f t="shared" ref="CM596:CM620" si="10">IF(B714="5 Bedrooms",G714,0)</f>
        <v>0</v>
      </c>
      <c r="CN596" s="1369"/>
      <c r="CO596" s="1369"/>
      <c r="CP596" s="1369"/>
      <c r="CQ596" s="1369"/>
      <c r="CR596" s="279"/>
      <c r="CS596" s="1370">
        <f t="shared" ref="CS596:CS620" si="11">IF(AND(B714="SRO/Studio",AC714&lt;=0.3),G714,0)</f>
        <v>21</v>
      </c>
      <c r="CT596" s="1370"/>
      <c r="CU596" s="1370"/>
      <c r="CV596" s="1370"/>
      <c r="CW596" s="1370"/>
      <c r="CX596" s="1370">
        <f t="shared" ref="CX596:CX620" si="12">IF(AND(B714="1 Bedroom",AC714&lt;=0.3),G714,0)</f>
        <v>0</v>
      </c>
      <c r="CY596" s="1370"/>
      <c r="CZ596" s="1370"/>
      <c r="DA596" s="1370"/>
      <c r="DB596" s="1370"/>
      <c r="DC596" s="1370">
        <f t="shared" ref="DC596:DC620" si="13">IF(AND(B714="2 Bedrooms",AC714&lt;=0.3),G714,0)</f>
        <v>0</v>
      </c>
      <c r="DD596" s="1370"/>
      <c r="DE596" s="1370"/>
      <c r="DF596" s="1370"/>
      <c r="DG596" s="1370"/>
      <c r="DH596" s="1370">
        <f t="shared" ref="DH596:DH620" si="14">IF(AND(B714="3 Bedrooms",AC714&lt;=0.3),G714,0)</f>
        <v>0</v>
      </c>
      <c r="DI596" s="1370"/>
      <c r="DJ596" s="1370"/>
      <c r="DK596" s="1370"/>
      <c r="DL596" s="1370"/>
      <c r="DM596" s="1370">
        <f t="shared" ref="DM596:DM620" si="15">IF(AND(B714="4 Bedrooms",AC714&lt;=0.3),G714,0)</f>
        <v>0</v>
      </c>
      <c r="DN596" s="1370"/>
      <c r="DO596" s="1370"/>
      <c r="DP596" s="1370"/>
      <c r="DQ596" s="1370"/>
      <c r="DR596" s="1370">
        <f t="shared" ref="DR596:DR620" si="16">IF(AND(B714="5 Bedrooms",AC714&lt;=0.3),G714,0)</f>
        <v>0</v>
      </c>
      <c r="DS596" s="1370"/>
      <c r="DT596" s="1370"/>
      <c r="DU596" s="1370"/>
      <c r="DV596" s="1370"/>
      <c r="DW596" s="3"/>
      <c r="DX596" s="1366">
        <f t="shared" ref="DX596:DX620" si="17">IF(BN596&gt;0,O714," ")</f>
        <v>843</v>
      </c>
      <c r="DY596" s="1367"/>
      <c r="DZ596" s="1367"/>
      <c r="EA596" s="1367"/>
      <c r="EB596" s="1368"/>
      <c r="EC596" s="1366" t="str">
        <f t="shared" ref="EC596:EC620" si="18">IF(BS596&gt;0,O714," ")</f>
        <v xml:space="preserve"> </v>
      </c>
      <c r="ED596" s="1367"/>
      <c r="EE596" s="1367"/>
      <c r="EF596" s="1367"/>
      <c r="EG596" s="1368"/>
      <c r="EH596" s="1366" t="str">
        <f t="shared" ref="EH596:EH620" si="19">IF(BX596&gt;0,O714," ")</f>
        <v xml:space="preserve"> </v>
      </c>
      <c r="EI596" s="1367"/>
      <c r="EJ596" s="1367"/>
      <c r="EK596" s="1367"/>
      <c r="EL596" s="1368"/>
      <c r="EM596" s="1366" t="str">
        <f t="shared" ref="EM596:EM620" si="20">IF(CC596&gt;0,O714," ")</f>
        <v xml:space="preserve"> </v>
      </c>
      <c r="EN596" s="1367"/>
      <c r="EO596" s="1367"/>
      <c r="EP596" s="1367"/>
      <c r="EQ596" s="1368"/>
      <c r="ER596" s="1366" t="str">
        <f t="shared" ref="ER596:ER620" si="21">IF(CH596&gt;0,O714," ")</f>
        <v xml:space="preserve"> </v>
      </c>
      <c r="ES596" s="1367"/>
      <c r="ET596" s="1367"/>
      <c r="EU596" s="1367"/>
      <c r="EV596" s="1368"/>
      <c r="EW596" s="1366" t="str">
        <f t="shared" ref="EW596:EW620" si="22">IF(CM596&gt;0,O714," ")</f>
        <v xml:space="preserve"> </v>
      </c>
      <c r="EX596" s="1367"/>
      <c r="EY596" s="1367"/>
      <c r="EZ596" s="1367"/>
      <c r="FA596" s="1368"/>
    </row>
    <row r="597" spans="1:157" s="4" customFormat="1" ht="12.95" customHeight="1">
      <c r="A597" s="48" t="s">
        <v>1488</v>
      </c>
      <c r="B597" t="s">
        <v>1493</v>
      </c>
      <c r="C597"/>
      <c r="D597"/>
      <c r="E597"/>
      <c r="F597"/>
      <c r="G597" s="1306">
        <f>C558</f>
        <v>0</v>
      </c>
      <c r="H597" s="1306"/>
      <c r="I597" s="1306"/>
      <c r="J597" s="1306"/>
      <c r="K597" s="1306"/>
      <c r="L597" s="1306"/>
      <c r="M597" s="1306"/>
      <c r="N597" s="1306"/>
      <c r="O597" s="1306"/>
      <c r="P597" s="1306"/>
      <c r="Q597" s="1306"/>
      <c r="R597" s="1306"/>
      <c r="S597"/>
      <c r="T597" s="48" t="s">
        <v>1489</v>
      </c>
      <c r="U597" t="s">
        <v>1493</v>
      </c>
      <c r="V597"/>
      <c r="W597"/>
      <c r="X597"/>
      <c r="Y597"/>
      <c r="Z597" s="1306">
        <f>C559</f>
        <v>0</v>
      </c>
      <c r="AA597" s="1306"/>
      <c r="AB597" s="1306"/>
      <c r="AC597" s="1306"/>
      <c r="AD597" s="1306"/>
      <c r="AE597" s="1306"/>
      <c r="AF597" s="1306"/>
      <c r="AG597" s="1306"/>
      <c r="AH597" s="1306"/>
      <c r="AI597" s="1306"/>
      <c r="AJ597" s="1306"/>
      <c r="AK597" s="1306"/>
      <c r="AL597"/>
      <c r="AM597"/>
      <c r="AN597"/>
      <c r="AO597"/>
      <c r="AP597"/>
      <c r="AQ597"/>
      <c r="AR597"/>
      <c r="AS597"/>
      <c r="AT597"/>
      <c r="AU597"/>
      <c r="AV597"/>
      <c r="AW597"/>
      <c r="AX597"/>
      <c r="AY597"/>
      <c r="AZ597" s="3"/>
      <c r="BA597" s="3" t="s">
        <v>1516</v>
      </c>
      <c r="BB597" s="3"/>
      <c r="BC597" s="3"/>
      <c r="BD597" s="3"/>
      <c r="BE597" s="1366">
        <f t="shared" si="1"/>
        <v>0</v>
      </c>
      <c r="BF597" s="1368"/>
      <c r="BG597" s="1366">
        <f t="shared" si="2"/>
        <v>0</v>
      </c>
      <c r="BH597" s="1368"/>
      <c r="BI597" s="1366">
        <f t="shared" si="3"/>
        <v>1</v>
      </c>
      <c r="BJ597" s="1368"/>
      <c r="BK597" s="1366">
        <f t="shared" si="4"/>
        <v>10</v>
      </c>
      <c r="BL597" s="1368"/>
      <c r="BM597" s="3"/>
      <c r="BN597" s="1363">
        <f t="shared" si="5"/>
        <v>0</v>
      </c>
      <c r="BO597" s="1364"/>
      <c r="BP597" s="1364"/>
      <c r="BQ597" s="1364"/>
      <c r="BR597" s="1365"/>
      <c r="BS597" s="1369">
        <f t="shared" si="6"/>
        <v>10</v>
      </c>
      <c r="BT597" s="1369"/>
      <c r="BU597" s="1369"/>
      <c r="BV597" s="1369"/>
      <c r="BW597" s="1369"/>
      <c r="BX597" s="1369">
        <f t="shared" si="7"/>
        <v>0</v>
      </c>
      <c r="BY597" s="1369"/>
      <c r="BZ597" s="1369"/>
      <c r="CA597" s="1369"/>
      <c r="CB597" s="1369"/>
      <c r="CC597" s="1369">
        <f t="shared" si="8"/>
        <v>0</v>
      </c>
      <c r="CD597" s="1369"/>
      <c r="CE597" s="1369"/>
      <c r="CF597" s="1369"/>
      <c r="CG597" s="1369"/>
      <c r="CH597" s="1369">
        <f t="shared" si="9"/>
        <v>0</v>
      </c>
      <c r="CI597" s="1369"/>
      <c r="CJ597" s="1369"/>
      <c r="CK597" s="1369"/>
      <c r="CL597" s="1369"/>
      <c r="CM597" s="1369">
        <f t="shared" si="10"/>
        <v>0</v>
      </c>
      <c r="CN597" s="1369"/>
      <c r="CO597" s="1369"/>
      <c r="CP597" s="1369"/>
      <c r="CQ597" s="1369"/>
      <c r="CR597" s="279"/>
      <c r="CS597" s="1370">
        <f t="shared" si="11"/>
        <v>0</v>
      </c>
      <c r="CT597" s="1370"/>
      <c r="CU597" s="1370"/>
      <c r="CV597" s="1370"/>
      <c r="CW597" s="1370"/>
      <c r="CX597" s="1370">
        <f t="shared" si="12"/>
        <v>10</v>
      </c>
      <c r="CY597" s="1370"/>
      <c r="CZ597" s="1370"/>
      <c r="DA597" s="1370"/>
      <c r="DB597" s="1370"/>
      <c r="DC597" s="1370">
        <f t="shared" si="13"/>
        <v>0</v>
      </c>
      <c r="DD597" s="1370"/>
      <c r="DE597" s="1370"/>
      <c r="DF597" s="1370"/>
      <c r="DG597" s="1370"/>
      <c r="DH597" s="1370">
        <f t="shared" si="14"/>
        <v>0</v>
      </c>
      <c r="DI597" s="1370"/>
      <c r="DJ597" s="1370"/>
      <c r="DK597" s="1370"/>
      <c r="DL597" s="1370"/>
      <c r="DM597" s="1370">
        <f t="shared" si="15"/>
        <v>0</v>
      </c>
      <c r="DN597" s="1370"/>
      <c r="DO597" s="1370"/>
      <c r="DP597" s="1370"/>
      <c r="DQ597" s="1370"/>
      <c r="DR597" s="1370">
        <f t="shared" si="16"/>
        <v>0</v>
      </c>
      <c r="DS597" s="1370"/>
      <c r="DT597" s="1370"/>
      <c r="DU597" s="1370"/>
      <c r="DV597" s="1370"/>
      <c r="DW597" s="3"/>
      <c r="DX597" s="1366" t="str">
        <f t="shared" si="17"/>
        <v xml:space="preserve"> </v>
      </c>
      <c r="DY597" s="1367"/>
      <c r="DZ597" s="1367"/>
      <c r="EA597" s="1367"/>
      <c r="EB597" s="1368"/>
      <c r="EC597" s="1366">
        <f t="shared" si="18"/>
        <v>899</v>
      </c>
      <c r="ED597" s="1367"/>
      <c r="EE597" s="1367"/>
      <c r="EF597" s="1367"/>
      <c r="EG597" s="1368"/>
      <c r="EH597" s="1366" t="str">
        <f t="shared" si="19"/>
        <v xml:space="preserve"> </v>
      </c>
      <c r="EI597" s="1367"/>
      <c r="EJ597" s="1367"/>
      <c r="EK597" s="1367"/>
      <c r="EL597" s="1368"/>
      <c r="EM597" s="1366" t="str">
        <f t="shared" si="20"/>
        <v xml:space="preserve"> </v>
      </c>
      <c r="EN597" s="1367"/>
      <c r="EO597" s="1367"/>
      <c r="EP597" s="1367"/>
      <c r="EQ597" s="1368"/>
      <c r="ER597" s="1366" t="str">
        <f t="shared" si="21"/>
        <v xml:space="preserve"> </v>
      </c>
      <c r="ES597" s="1367"/>
      <c r="ET597" s="1367"/>
      <c r="EU597" s="1367"/>
      <c r="EV597" s="1368"/>
      <c r="EW597" s="1366" t="str">
        <f t="shared" si="22"/>
        <v xml:space="preserve"> </v>
      </c>
      <c r="EX597" s="1367"/>
      <c r="EY597" s="1367"/>
      <c r="EZ597" s="1367"/>
      <c r="FA597" s="1368"/>
    </row>
    <row r="598" spans="1:157" ht="12.95" customHeight="1">
      <c r="A598" s="20"/>
      <c r="B598" t="s">
        <v>1153</v>
      </c>
      <c r="G598" s="1307"/>
      <c r="H598" s="1307"/>
      <c r="I598" s="1307"/>
      <c r="J598" s="1307"/>
      <c r="K598" s="1307"/>
      <c r="L598" s="1307"/>
      <c r="M598" s="1307"/>
      <c r="N598" s="1307"/>
      <c r="O598" s="1307"/>
      <c r="P598" s="1307"/>
      <c r="Q598" s="1307"/>
      <c r="R598" s="1307"/>
      <c r="T598" s="20"/>
      <c r="U598" t="s">
        <v>1153</v>
      </c>
      <c r="Z598" s="1307"/>
      <c r="AA598" s="1307"/>
      <c r="AB598" s="1307"/>
      <c r="AC598" s="1307"/>
      <c r="AD598" s="1307"/>
      <c r="AE598" s="1307"/>
      <c r="AF598" s="1307"/>
      <c r="AG598" s="1307"/>
      <c r="AH598" s="1307"/>
      <c r="AI598" s="1307"/>
      <c r="AJ598" s="1307"/>
      <c r="AK598" s="1307"/>
      <c r="BA598" s="3" t="s">
        <v>1517</v>
      </c>
      <c r="BB598" s="3"/>
      <c r="BC598" s="3"/>
      <c r="BD598" s="3"/>
      <c r="BE598" s="1366">
        <f t="shared" si="1"/>
        <v>0</v>
      </c>
      <c r="BF598" s="1368"/>
      <c r="BG598" s="1366">
        <f t="shared" si="2"/>
        <v>0</v>
      </c>
      <c r="BH598" s="1368"/>
      <c r="BI598" s="1366">
        <f t="shared" si="3"/>
        <v>1</v>
      </c>
      <c r="BJ598" s="1368"/>
      <c r="BK598" s="1366">
        <f t="shared" si="4"/>
        <v>9</v>
      </c>
      <c r="BL598" s="1368"/>
      <c r="BM598" s="3"/>
      <c r="BN598" s="1363">
        <f t="shared" si="5"/>
        <v>0</v>
      </c>
      <c r="BO598" s="1364"/>
      <c r="BP598" s="1364"/>
      <c r="BQ598" s="1364"/>
      <c r="BR598" s="1365"/>
      <c r="BS598" s="1369">
        <f t="shared" si="6"/>
        <v>0</v>
      </c>
      <c r="BT598" s="1369"/>
      <c r="BU598" s="1369"/>
      <c r="BV598" s="1369"/>
      <c r="BW598" s="1369"/>
      <c r="BX598" s="1369">
        <f t="shared" si="7"/>
        <v>9</v>
      </c>
      <c r="BY598" s="1369"/>
      <c r="BZ598" s="1369"/>
      <c r="CA598" s="1369"/>
      <c r="CB598" s="1369"/>
      <c r="CC598" s="1369">
        <f t="shared" si="8"/>
        <v>0</v>
      </c>
      <c r="CD598" s="1369"/>
      <c r="CE598" s="1369"/>
      <c r="CF598" s="1369"/>
      <c r="CG598" s="1369"/>
      <c r="CH598" s="1369">
        <f t="shared" si="9"/>
        <v>0</v>
      </c>
      <c r="CI598" s="1369"/>
      <c r="CJ598" s="1369"/>
      <c r="CK598" s="1369"/>
      <c r="CL598" s="1369"/>
      <c r="CM598" s="1369">
        <f t="shared" si="10"/>
        <v>0</v>
      </c>
      <c r="CN598" s="1369"/>
      <c r="CO598" s="1369"/>
      <c r="CP598" s="1369"/>
      <c r="CQ598" s="1369"/>
      <c r="CR598" s="279"/>
      <c r="CS598" s="1370">
        <f t="shared" si="11"/>
        <v>0</v>
      </c>
      <c r="CT598" s="1370"/>
      <c r="CU598" s="1370"/>
      <c r="CV598" s="1370"/>
      <c r="CW598" s="1370"/>
      <c r="CX598" s="1370">
        <f t="shared" si="12"/>
        <v>0</v>
      </c>
      <c r="CY598" s="1370"/>
      <c r="CZ598" s="1370"/>
      <c r="DA598" s="1370"/>
      <c r="DB598" s="1370"/>
      <c r="DC598" s="1370">
        <f t="shared" si="13"/>
        <v>9</v>
      </c>
      <c r="DD598" s="1370"/>
      <c r="DE598" s="1370"/>
      <c r="DF598" s="1370"/>
      <c r="DG598" s="1370"/>
      <c r="DH598" s="1370">
        <f t="shared" si="14"/>
        <v>0</v>
      </c>
      <c r="DI598" s="1370"/>
      <c r="DJ598" s="1370"/>
      <c r="DK598" s="1370"/>
      <c r="DL598" s="1370"/>
      <c r="DM598" s="1370">
        <f t="shared" si="15"/>
        <v>0</v>
      </c>
      <c r="DN598" s="1370"/>
      <c r="DO598" s="1370"/>
      <c r="DP598" s="1370"/>
      <c r="DQ598" s="1370"/>
      <c r="DR598" s="1370">
        <f t="shared" si="16"/>
        <v>0</v>
      </c>
      <c r="DS598" s="1370"/>
      <c r="DT598" s="1370"/>
      <c r="DU598" s="1370"/>
      <c r="DV598" s="1370"/>
      <c r="DX598" s="1366" t="str">
        <f t="shared" si="17"/>
        <v xml:space="preserve"> </v>
      </c>
      <c r="DY598" s="1367"/>
      <c r="DZ598" s="1367"/>
      <c r="EA598" s="1367"/>
      <c r="EB598" s="1368"/>
      <c r="EC598" s="1366" t="str">
        <f t="shared" si="18"/>
        <v xml:space="preserve"> </v>
      </c>
      <c r="ED598" s="1367"/>
      <c r="EE598" s="1367"/>
      <c r="EF598" s="1367"/>
      <c r="EG598" s="1368"/>
      <c r="EH598" s="1366">
        <f t="shared" si="19"/>
        <v>1069</v>
      </c>
      <c r="EI598" s="1367"/>
      <c r="EJ598" s="1367"/>
      <c r="EK598" s="1367"/>
      <c r="EL598" s="1368"/>
      <c r="EM598" s="1366" t="str">
        <f t="shared" si="20"/>
        <v xml:space="preserve"> </v>
      </c>
      <c r="EN598" s="1367"/>
      <c r="EO598" s="1367"/>
      <c r="EP598" s="1367"/>
      <c r="EQ598" s="1368"/>
      <c r="ER598" s="1366" t="str">
        <f t="shared" si="21"/>
        <v xml:space="preserve"> </v>
      </c>
      <c r="ES598" s="1367"/>
      <c r="ET598" s="1367"/>
      <c r="EU598" s="1367"/>
      <c r="EV598" s="1368"/>
      <c r="EW598" s="1366" t="str">
        <f t="shared" si="22"/>
        <v xml:space="preserve"> </v>
      </c>
      <c r="EX598" s="1367"/>
      <c r="EY598" s="1367"/>
      <c r="EZ598" s="1367"/>
      <c r="FA598" s="1368"/>
    </row>
    <row r="599" spans="1:157" ht="12.95" customHeight="1">
      <c r="A599" s="20"/>
      <c r="B599" t="s">
        <v>1026</v>
      </c>
      <c r="G599" s="1307"/>
      <c r="H599" s="1307"/>
      <c r="I599" s="1307"/>
      <c r="J599" s="1307"/>
      <c r="K599" s="1307"/>
      <c r="L599" s="1307"/>
      <c r="M599" s="1307"/>
      <c r="N599" s="1307"/>
      <c r="O599" s="1307"/>
      <c r="P599" s="1307"/>
      <c r="Q599" s="1307"/>
      <c r="R599" s="1307"/>
      <c r="T599" s="20"/>
      <c r="U599" t="s">
        <v>1026</v>
      </c>
      <c r="Z599" s="1326"/>
      <c r="AA599" s="1326"/>
      <c r="AB599" s="1326"/>
      <c r="AC599" s="1326"/>
      <c r="AD599" s="1326"/>
      <c r="AE599" s="1326"/>
      <c r="AF599" s="1326"/>
      <c r="AG599" s="1326"/>
      <c r="AH599" s="1326"/>
      <c r="AI599" s="1326"/>
      <c r="AJ599" s="1326"/>
      <c r="AK599" s="1326"/>
      <c r="BA599" s="3" t="s">
        <v>1520</v>
      </c>
      <c r="BB599" s="3"/>
      <c r="BC599" s="3"/>
      <c r="BD599" s="3"/>
      <c r="BE599" s="1366">
        <f t="shared" si="1"/>
        <v>0</v>
      </c>
      <c r="BF599" s="1368"/>
      <c r="BG599" s="1366">
        <f t="shared" si="2"/>
        <v>0</v>
      </c>
      <c r="BH599" s="1368"/>
      <c r="BI599" s="1366">
        <f t="shared" si="3"/>
        <v>1</v>
      </c>
      <c r="BJ599" s="1368"/>
      <c r="BK599" s="1366">
        <f t="shared" si="4"/>
        <v>2</v>
      </c>
      <c r="BL599" s="1368"/>
      <c r="BM599" s="3"/>
      <c r="BN599" s="1363">
        <f t="shared" si="5"/>
        <v>0</v>
      </c>
      <c r="BO599" s="1364"/>
      <c r="BP599" s="1364"/>
      <c r="BQ599" s="1364"/>
      <c r="BR599" s="1365"/>
      <c r="BS599" s="1369">
        <f t="shared" si="6"/>
        <v>0</v>
      </c>
      <c r="BT599" s="1369"/>
      <c r="BU599" s="1369"/>
      <c r="BV599" s="1369"/>
      <c r="BW599" s="1369"/>
      <c r="BX599" s="1369">
        <f t="shared" si="7"/>
        <v>0</v>
      </c>
      <c r="BY599" s="1369"/>
      <c r="BZ599" s="1369"/>
      <c r="CA599" s="1369"/>
      <c r="CB599" s="1369"/>
      <c r="CC599" s="1369">
        <f t="shared" si="8"/>
        <v>2</v>
      </c>
      <c r="CD599" s="1369"/>
      <c r="CE599" s="1369"/>
      <c r="CF599" s="1369"/>
      <c r="CG599" s="1369"/>
      <c r="CH599" s="1369">
        <f t="shared" si="9"/>
        <v>0</v>
      </c>
      <c r="CI599" s="1369"/>
      <c r="CJ599" s="1369"/>
      <c r="CK599" s="1369"/>
      <c r="CL599" s="1369"/>
      <c r="CM599" s="1369">
        <f t="shared" si="10"/>
        <v>0</v>
      </c>
      <c r="CN599" s="1369"/>
      <c r="CO599" s="1369"/>
      <c r="CP599" s="1369"/>
      <c r="CQ599" s="1369"/>
      <c r="CR599" s="279"/>
      <c r="CS599" s="1370">
        <f t="shared" si="11"/>
        <v>0</v>
      </c>
      <c r="CT599" s="1370"/>
      <c r="CU599" s="1370"/>
      <c r="CV599" s="1370"/>
      <c r="CW599" s="1370"/>
      <c r="CX599" s="1370">
        <f t="shared" si="12"/>
        <v>0</v>
      </c>
      <c r="CY599" s="1370"/>
      <c r="CZ599" s="1370"/>
      <c r="DA599" s="1370"/>
      <c r="DB599" s="1370"/>
      <c r="DC599" s="1370">
        <f t="shared" si="13"/>
        <v>0</v>
      </c>
      <c r="DD599" s="1370"/>
      <c r="DE599" s="1370"/>
      <c r="DF599" s="1370"/>
      <c r="DG599" s="1370"/>
      <c r="DH599" s="1370">
        <f t="shared" si="14"/>
        <v>2</v>
      </c>
      <c r="DI599" s="1370"/>
      <c r="DJ599" s="1370"/>
      <c r="DK599" s="1370"/>
      <c r="DL599" s="1370"/>
      <c r="DM599" s="1370">
        <f t="shared" si="15"/>
        <v>0</v>
      </c>
      <c r="DN599" s="1370"/>
      <c r="DO599" s="1370"/>
      <c r="DP599" s="1370"/>
      <c r="DQ599" s="1370"/>
      <c r="DR599" s="1370">
        <f t="shared" si="16"/>
        <v>0</v>
      </c>
      <c r="DS599" s="1370"/>
      <c r="DT599" s="1370"/>
      <c r="DU599" s="1370"/>
      <c r="DV599" s="1370"/>
      <c r="DX599" s="1366" t="str">
        <f t="shared" si="17"/>
        <v xml:space="preserve"> </v>
      </c>
      <c r="DY599" s="1367"/>
      <c r="DZ599" s="1367"/>
      <c r="EA599" s="1367"/>
      <c r="EB599" s="1368"/>
      <c r="EC599" s="1366" t="str">
        <f t="shared" si="18"/>
        <v xml:space="preserve"> </v>
      </c>
      <c r="ED599" s="1367"/>
      <c r="EE599" s="1367"/>
      <c r="EF599" s="1367"/>
      <c r="EG599" s="1368"/>
      <c r="EH599" s="1366" t="str">
        <f t="shared" si="19"/>
        <v xml:space="preserve"> </v>
      </c>
      <c r="EI599" s="1367"/>
      <c r="EJ599" s="1367"/>
      <c r="EK599" s="1367"/>
      <c r="EL599" s="1368"/>
      <c r="EM599" s="1366">
        <f t="shared" si="20"/>
        <v>1229</v>
      </c>
      <c r="EN599" s="1367"/>
      <c r="EO599" s="1367"/>
      <c r="EP599" s="1367"/>
      <c r="EQ599" s="1368"/>
      <c r="ER599" s="1366" t="str">
        <f t="shared" si="21"/>
        <v xml:space="preserve"> </v>
      </c>
      <c r="ES599" s="1367"/>
      <c r="ET599" s="1367"/>
      <c r="EU599" s="1367"/>
      <c r="EV599" s="1368"/>
      <c r="EW599" s="1366" t="str">
        <f t="shared" si="22"/>
        <v xml:space="preserve"> </v>
      </c>
      <c r="EX599" s="1367"/>
      <c r="EY599" s="1367"/>
      <c r="EZ599" s="1367"/>
      <c r="FA599" s="1368"/>
    </row>
    <row r="600" spans="1:157" ht="12.95" customHeight="1">
      <c r="A600" s="20"/>
      <c r="B600" t="s">
        <v>1496</v>
      </c>
      <c r="G600" s="1307"/>
      <c r="H600" s="1307"/>
      <c r="I600" s="1307"/>
      <c r="J600" s="1307"/>
      <c r="K600" s="1307"/>
      <c r="L600" s="1307"/>
      <c r="M600" s="1307"/>
      <c r="N600" s="1307"/>
      <c r="O600" s="1307"/>
      <c r="P600" s="1307"/>
      <c r="Q600" s="1307"/>
      <c r="R600" s="1307"/>
      <c r="T600" s="20"/>
      <c r="U600" t="s">
        <v>1496</v>
      </c>
      <c r="Z600" s="1326"/>
      <c r="AA600" s="1326"/>
      <c r="AB600" s="1326"/>
      <c r="AC600" s="1326"/>
      <c r="AD600" s="1326"/>
      <c r="AE600" s="1326"/>
      <c r="AF600" s="1326"/>
      <c r="AG600" s="1326"/>
      <c r="AH600" s="1326"/>
      <c r="AI600" s="1326"/>
      <c r="AJ600" s="1326"/>
      <c r="AK600" s="1326"/>
      <c r="BA600" s="3" t="s">
        <v>1519</v>
      </c>
      <c r="BB600" s="3"/>
      <c r="BC600" s="3"/>
      <c r="BD600" s="3"/>
      <c r="BE600" s="1366">
        <f t="shared" si="1"/>
        <v>1</v>
      </c>
      <c r="BF600" s="1368"/>
      <c r="BG600" s="1366">
        <f t="shared" si="2"/>
        <v>3</v>
      </c>
      <c r="BH600" s="1368"/>
      <c r="BI600" s="1366">
        <f t="shared" si="3"/>
        <v>0</v>
      </c>
      <c r="BJ600" s="1368"/>
      <c r="BK600" s="1366">
        <f t="shared" si="4"/>
        <v>0</v>
      </c>
      <c r="BL600" s="1368"/>
      <c r="BM600" s="3"/>
      <c r="BN600" s="1363">
        <f t="shared" si="5"/>
        <v>3</v>
      </c>
      <c r="BO600" s="1364"/>
      <c r="BP600" s="1364"/>
      <c r="BQ600" s="1364"/>
      <c r="BR600" s="1365"/>
      <c r="BS600" s="1369">
        <f t="shared" si="6"/>
        <v>0</v>
      </c>
      <c r="BT600" s="1369"/>
      <c r="BU600" s="1369"/>
      <c r="BV600" s="1369"/>
      <c r="BW600" s="1369"/>
      <c r="BX600" s="1369">
        <f t="shared" si="7"/>
        <v>0</v>
      </c>
      <c r="BY600" s="1369"/>
      <c r="BZ600" s="1369"/>
      <c r="CA600" s="1369"/>
      <c r="CB600" s="1369"/>
      <c r="CC600" s="1369">
        <f t="shared" si="8"/>
        <v>0</v>
      </c>
      <c r="CD600" s="1369"/>
      <c r="CE600" s="1369"/>
      <c r="CF600" s="1369"/>
      <c r="CG600" s="1369"/>
      <c r="CH600" s="1369">
        <f t="shared" si="9"/>
        <v>0</v>
      </c>
      <c r="CI600" s="1369"/>
      <c r="CJ600" s="1369"/>
      <c r="CK600" s="1369"/>
      <c r="CL600" s="1369"/>
      <c r="CM600" s="1369">
        <f t="shared" si="10"/>
        <v>0</v>
      </c>
      <c r="CN600" s="1369"/>
      <c r="CO600" s="1369"/>
      <c r="CP600" s="1369"/>
      <c r="CQ600" s="1369"/>
      <c r="CR600" s="279"/>
      <c r="CS600" s="1370">
        <f t="shared" si="11"/>
        <v>0</v>
      </c>
      <c r="CT600" s="1370"/>
      <c r="CU600" s="1370"/>
      <c r="CV600" s="1370"/>
      <c r="CW600" s="1370"/>
      <c r="CX600" s="1370">
        <f t="shared" si="12"/>
        <v>0</v>
      </c>
      <c r="CY600" s="1370"/>
      <c r="CZ600" s="1370"/>
      <c r="DA600" s="1370"/>
      <c r="DB600" s="1370"/>
      <c r="DC600" s="1370">
        <f t="shared" si="13"/>
        <v>0</v>
      </c>
      <c r="DD600" s="1370"/>
      <c r="DE600" s="1370"/>
      <c r="DF600" s="1370"/>
      <c r="DG600" s="1370"/>
      <c r="DH600" s="1370">
        <f t="shared" si="14"/>
        <v>0</v>
      </c>
      <c r="DI600" s="1370"/>
      <c r="DJ600" s="1370"/>
      <c r="DK600" s="1370"/>
      <c r="DL600" s="1370"/>
      <c r="DM600" s="1370">
        <f t="shared" si="15"/>
        <v>0</v>
      </c>
      <c r="DN600" s="1370"/>
      <c r="DO600" s="1370"/>
      <c r="DP600" s="1370"/>
      <c r="DQ600" s="1370"/>
      <c r="DR600" s="1370">
        <f t="shared" si="16"/>
        <v>0</v>
      </c>
      <c r="DS600" s="1370"/>
      <c r="DT600" s="1370"/>
      <c r="DU600" s="1370"/>
      <c r="DV600" s="1370"/>
      <c r="DX600" s="1366">
        <f t="shared" si="17"/>
        <v>1433</v>
      </c>
      <c r="DY600" s="1367"/>
      <c r="DZ600" s="1367"/>
      <c r="EA600" s="1367"/>
      <c r="EB600" s="1368"/>
      <c r="EC600" s="1366" t="str">
        <f t="shared" si="18"/>
        <v xml:space="preserve"> </v>
      </c>
      <c r="ED600" s="1367"/>
      <c r="EE600" s="1367"/>
      <c r="EF600" s="1367"/>
      <c r="EG600" s="1368"/>
      <c r="EH600" s="1366" t="str">
        <f t="shared" si="19"/>
        <v xml:space="preserve"> </v>
      </c>
      <c r="EI600" s="1367"/>
      <c r="EJ600" s="1367"/>
      <c r="EK600" s="1367"/>
      <c r="EL600" s="1368"/>
      <c r="EM600" s="1366" t="str">
        <f t="shared" si="20"/>
        <v xml:space="preserve"> </v>
      </c>
      <c r="EN600" s="1367"/>
      <c r="EO600" s="1367"/>
      <c r="EP600" s="1367"/>
      <c r="EQ600" s="1368"/>
      <c r="ER600" s="1366" t="str">
        <f t="shared" si="21"/>
        <v xml:space="preserve"> </v>
      </c>
      <c r="ES600" s="1367"/>
      <c r="ET600" s="1367"/>
      <c r="EU600" s="1367"/>
      <c r="EV600" s="1368"/>
      <c r="EW600" s="1366" t="str">
        <f t="shared" si="22"/>
        <v xml:space="preserve"> </v>
      </c>
      <c r="EX600" s="1367"/>
      <c r="EY600" s="1367"/>
      <c r="EZ600" s="1367"/>
      <c r="FA600" s="1368"/>
    </row>
    <row r="601" spans="1:157" ht="12.95" customHeight="1">
      <c r="A601" s="20"/>
      <c r="B601" t="s">
        <v>933</v>
      </c>
      <c r="G601" s="1322"/>
      <c r="H601" s="1322"/>
      <c r="I601" s="1322"/>
      <c r="J601" s="1322"/>
      <c r="K601" s="1322"/>
      <c r="L601" s="1322"/>
      <c r="O601" s="957" t="s">
        <v>1162</v>
      </c>
      <c r="P601" s="1305"/>
      <c r="Q601" s="1305"/>
      <c r="R601" s="1305"/>
      <c r="T601" s="20"/>
      <c r="U601" t="s">
        <v>933</v>
      </c>
      <c r="Z601" s="1322"/>
      <c r="AA601" s="1322"/>
      <c r="AB601" s="1322"/>
      <c r="AC601" s="1322"/>
      <c r="AD601" s="1322"/>
      <c r="AE601" s="1322"/>
      <c r="AH601" s="957" t="s">
        <v>1162</v>
      </c>
      <c r="AI601" s="1305"/>
      <c r="AJ601" s="1305"/>
      <c r="AK601" s="1305"/>
      <c r="AZ601" s="3"/>
      <c r="BA601" s="3"/>
      <c r="BB601" s="3"/>
      <c r="BC601" s="3"/>
      <c r="BD601" s="3"/>
      <c r="BE601" s="1366">
        <f t="shared" si="1"/>
        <v>1</v>
      </c>
      <c r="BF601" s="1368"/>
      <c r="BG601" s="1366">
        <f t="shared" si="2"/>
        <v>8</v>
      </c>
      <c r="BH601" s="1368"/>
      <c r="BI601" s="1366">
        <f t="shared" si="3"/>
        <v>0</v>
      </c>
      <c r="BJ601" s="1368"/>
      <c r="BK601" s="1366">
        <f t="shared" si="4"/>
        <v>0</v>
      </c>
      <c r="BL601" s="1368"/>
      <c r="BM601" s="3"/>
      <c r="BN601" s="1363">
        <f t="shared" si="5"/>
        <v>0</v>
      </c>
      <c r="BO601" s="1364"/>
      <c r="BP601" s="1364"/>
      <c r="BQ601" s="1364"/>
      <c r="BR601" s="1365"/>
      <c r="BS601" s="1369">
        <f t="shared" si="6"/>
        <v>8</v>
      </c>
      <c r="BT601" s="1369"/>
      <c r="BU601" s="1369"/>
      <c r="BV601" s="1369"/>
      <c r="BW601" s="1369"/>
      <c r="BX601" s="1369">
        <f t="shared" si="7"/>
        <v>0</v>
      </c>
      <c r="BY601" s="1369"/>
      <c r="BZ601" s="1369"/>
      <c r="CA601" s="1369"/>
      <c r="CB601" s="1369"/>
      <c r="CC601" s="1369">
        <f t="shared" si="8"/>
        <v>0</v>
      </c>
      <c r="CD601" s="1369"/>
      <c r="CE601" s="1369"/>
      <c r="CF601" s="1369"/>
      <c r="CG601" s="1369"/>
      <c r="CH601" s="1369">
        <f t="shared" si="9"/>
        <v>0</v>
      </c>
      <c r="CI601" s="1369"/>
      <c r="CJ601" s="1369"/>
      <c r="CK601" s="1369"/>
      <c r="CL601" s="1369"/>
      <c r="CM601" s="1369">
        <f t="shared" si="10"/>
        <v>0</v>
      </c>
      <c r="CN601" s="1369"/>
      <c r="CO601" s="1369"/>
      <c r="CP601" s="1369"/>
      <c r="CQ601" s="1369"/>
      <c r="CR601" s="279"/>
      <c r="CS601" s="1370">
        <f t="shared" si="11"/>
        <v>0</v>
      </c>
      <c r="CT601" s="1370"/>
      <c r="CU601" s="1370"/>
      <c r="CV601" s="1370"/>
      <c r="CW601" s="1370"/>
      <c r="CX601" s="1370">
        <f t="shared" si="12"/>
        <v>0</v>
      </c>
      <c r="CY601" s="1370"/>
      <c r="CZ601" s="1370"/>
      <c r="DA601" s="1370"/>
      <c r="DB601" s="1370"/>
      <c r="DC601" s="1370">
        <f t="shared" si="13"/>
        <v>0</v>
      </c>
      <c r="DD601" s="1370"/>
      <c r="DE601" s="1370"/>
      <c r="DF601" s="1370"/>
      <c r="DG601" s="1370"/>
      <c r="DH601" s="1370">
        <f t="shared" si="14"/>
        <v>0</v>
      </c>
      <c r="DI601" s="1370"/>
      <c r="DJ601" s="1370"/>
      <c r="DK601" s="1370"/>
      <c r="DL601" s="1370"/>
      <c r="DM601" s="1370">
        <f t="shared" si="15"/>
        <v>0</v>
      </c>
      <c r="DN601" s="1370"/>
      <c r="DO601" s="1370"/>
      <c r="DP601" s="1370"/>
      <c r="DQ601" s="1370"/>
      <c r="DR601" s="1370">
        <f t="shared" si="16"/>
        <v>0</v>
      </c>
      <c r="DS601" s="1370"/>
      <c r="DT601" s="1370"/>
      <c r="DU601" s="1370"/>
      <c r="DV601" s="1370"/>
      <c r="DX601" s="1366" t="str">
        <f t="shared" si="17"/>
        <v xml:space="preserve"> </v>
      </c>
      <c r="DY601" s="1367"/>
      <c r="DZ601" s="1367"/>
      <c r="EA601" s="1367"/>
      <c r="EB601" s="1368"/>
      <c r="EC601" s="1366">
        <f t="shared" si="18"/>
        <v>1531</v>
      </c>
      <c r="ED601" s="1367"/>
      <c r="EE601" s="1367"/>
      <c r="EF601" s="1367"/>
      <c r="EG601" s="1368"/>
      <c r="EH601" s="1366" t="str">
        <f t="shared" si="19"/>
        <v xml:space="preserve"> </v>
      </c>
      <c r="EI601" s="1367"/>
      <c r="EJ601" s="1367"/>
      <c r="EK601" s="1367"/>
      <c r="EL601" s="1368"/>
      <c r="EM601" s="1366" t="str">
        <f t="shared" si="20"/>
        <v xml:space="preserve"> </v>
      </c>
      <c r="EN601" s="1367"/>
      <c r="EO601" s="1367"/>
      <c r="EP601" s="1367"/>
      <c r="EQ601" s="1368"/>
      <c r="ER601" s="1366" t="str">
        <f t="shared" si="21"/>
        <v xml:space="preserve"> </v>
      </c>
      <c r="ES601" s="1367"/>
      <c r="ET601" s="1367"/>
      <c r="EU601" s="1367"/>
      <c r="EV601" s="1368"/>
      <c r="EW601" s="1366" t="str">
        <f t="shared" si="22"/>
        <v xml:space="preserve"> </v>
      </c>
      <c r="EX601" s="1367"/>
      <c r="EY601" s="1367"/>
      <c r="EZ601" s="1367"/>
      <c r="FA601" s="1368"/>
    </row>
    <row r="602" spans="1:157" ht="12.95" customHeight="1">
      <c r="A602" s="20"/>
      <c r="B602" t="s">
        <v>1501</v>
      </c>
      <c r="H602" s="1307"/>
      <c r="I602" s="1307"/>
      <c r="J602" s="1307"/>
      <c r="K602" s="1307"/>
      <c r="L602" s="1307"/>
      <c r="M602" s="1307"/>
      <c r="N602" s="1307"/>
      <c r="O602" s="1307"/>
      <c r="P602" s="1307"/>
      <c r="Q602" s="1307"/>
      <c r="R602" s="1307"/>
      <c r="T602" s="20"/>
      <c r="U602" t="s">
        <v>1501</v>
      </c>
      <c r="AA602" s="1307"/>
      <c r="AB602" s="1307"/>
      <c r="AC602" s="1307"/>
      <c r="AD602" s="1307"/>
      <c r="AE602" s="1307"/>
      <c r="AF602" s="1307"/>
      <c r="AG602" s="1307"/>
      <c r="AH602" s="1307"/>
      <c r="AI602" s="1307"/>
      <c r="AJ602" s="1307"/>
      <c r="AK602" s="1307"/>
      <c r="AZ602" s="3"/>
      <c r="BA602" s="3"/>
      <c r="BB602" s="3"/>
      <c r="BC602" s="3"/>
      <c r="BD602" s="3"/>
      <c r="BE602" s="1366">
        <f t="shared" si="1"/>
        <v>1</v>
      </c>
      <c r="BF602" s="1368"/>
      <c r="BG602" s="1366">
        <f t="shared" si="2"/>
        <v>12</v>
      </c>
      <c r="BH602" s="1368"/>
      <c r="BI602" s="1366">
        <f t="shared" si="3"/>
        <v>0</v>
      </c>
      <c r="BJ602" s="1368"/>
      <c r="BK602" s="1366">
        <f t="shared" si="4"/>
        <v>0</v>
      </c>
      <c r="BL602" s="1368"/>
      <c r="BM602" s="3"/>
      <c r="BN602" s="1363">
        <f t="shared" si="5"/>
        <v>0</v>
      </c>
      <c r="BO602" s="1364"/>
      <c r="BP602" s="1364"/>
      <c r="BQ602" s="1364"/>
      <c r="BR602" s="1365"/>
      <c r="BS602" s="1369">
        <f t="shared" si="6"/>
        <v>0</v>
      </c>
      <c r="BT602" s="1369"/>
      <c r="BU602" s="1369"/>
      <c r="BV602" s="1369"/>
      <c r="BW602" s="1369"/>
      <c r="BX602" s="1369">
        <f t="shared" si="7"/>
        <v>12</v>
      </c>
      <c r="BY602" s="1369"/>
      <c r="BZ602" s="1369"/>
      <c r="CA602" s="1369"/>
      <c r="CB602" s="1369"/>
      <c r="CC602" s="1369">
        <f t="shared" si="8"/>
        <v>0</v>
      </c>
      <c r="CD602" s="1369"/>
      <c r="CE602" s="1369"/>
      <c r="CF602" s="1369"/>
      <c r="CG602" s="1369"/>
      <c r="CH602" s="1369">
        <f t="shared" si="9"/>
        <v>0</v>
      </c>
      <c r="CI602" s="1369"/>
      <c r="CJ602" s="1369"/>
      <c r="CK602" s="1369"/>
      <c r="CL602" s="1369"/>
      <c r="CM602" s="1369">
        <f t="shared" si="10"/>
        <v>0</v>
      </c>
      <c r="CN602" s="1369"/>
      <c r="CO602" s="1369"/>
      <c r="CP602" s="1369"/>
      <c r="CQ602" s="1369"/>
      <c r="CR602" s="279"/>
      <c r="CS602" s="1370">
        <f t="shared" si="11"/>
        <v>0</v>
      </c>
      <c r="CT602" s="1370"/>
      <c r="CU602" s="1370"/>
      <c r="CV602" s="1370"/>
      <c r="CW602" s="1370"/>
      <c r="CX602" s="1370">
        <f t="shared" si="12"/>
        <v>0</v>
      </c>
      <c r="CY602" s="1370"/>
      <c r="CZ602" s="1370"/>
      <c r="DA602" s="1370"/>
      <c r="DB602" s="1370"/>
      <c r="DC602" s="1370">
        <f t="shared" si="13"/>
        <v>0</v>
      </c>
      <c r="DD602" s="1370"/>
      <c r="DE602" s="1370"/>
      <c r="DF602" s="1370"/>
      <c r="DG602" s="1370"/>
      <c r="DH602" s="1370">
        <f t="shared" si="14"/>
        <v>0</v>
      </c>
      <c r="DI602" s="1370"/>
      <c r="DJ602" s="1370"/>
      <c r="DK602" s="1370"/>
      <c r="DL602" s="1370"/>
      <c r="DM602" s="1370">
        <f t="shared" si="15"/>
        <v>0</v>
      </c>
      <c r="DN602" s="1370"/>
      <c r="DO602" s="1370"/>
      <c r="DP602" s="1370"/>
      <c r="DQ602" s="1370"/>
      <c r="DR602" s="1370">
        <f t="shared" si="16"/>
        <v>0</v>
      </c>
      <c r="DS602" s="1370"/>
      <c r="DT602" s="1370"/>
      <c r="DU602" s="1370"/>
      <c r="DV602" s="1370"/>
      <c r="DX602" s="1366" t="str">
        <f t="shared" si="17"/>
        <v xml:space="preserve"> </v>
      </c>
      <c r="DY602" s="1367"/>
      <c r="DZ602" s="1367"/>
      <c r="EA602" s="1367"/>
      <c r="EB602" s="1368"/>
      <c r="EC602" s="1366" t="str">
        <f t="shared" si="18"/>
        <v xml:space="preserve"> </v>
      </c>
      <c r="ED602" s="1367"/>
      <c r="EE602" s="1367"/>
      <c r="EF602" s="1367"/>
      <c r="EG602" s="1368"/>
      <c r="EH602" s="1366">
        <f t="shared" si="19"/>
        <v>1828</v>
      </c>
      <c r="EI602" s="1367"/>
      <c r="EJ602" s="1367"/>
      <c r="EK602" s="1367"/>
      <c r="EL602" s="1368"/>
      <c r="EM602" s="1366" t="str">
        <f t="shared" si="20"/>
        <v xml:space="preserve"> </v>
      </c>
      <c r="EN602" s="1367"/>
      <c r="EO602" s="1367"/>
      <c r="EP602" s="1367"/>
      <c r="EQ602" s="1368"/>
      <c r="ER602" s="1366" t="str">
        <f t="shared" si="21"/>
        <v xml:space="preserve"> </v>
      </c>
      <c r="ES602" s="1367"/>
      <c r="ET602" s="1367"/>
      <c r="EU602" s="1367"/>
      <c r="EV602" s="1368"/>
      <c r="EW602" s="1366" t="str">
        <f t="shared" si="22"/>
        <v xml:space="preserve"> </v>
      </c>
      <c r="EX602" s="1367"/>
      <c r="EY602" s="1367"/>
      <c r="EZ602" s="1367"/>
      <c r="FA602" s="1368"/>
    </row>
    <row r="603" spans="1:157" ht="12.95" customHeight="1">
      <c r="A603" s="20"/>
      <c r="B603" t="s">
        <v>1503</v>
      </c>
      <c r="N603" s="1308" t="s">
        <v>837</v>
      </c>
      <c r="O603" s="1308"/>
      <c r="T603" s="20"/>
      <c r="U603" t="s">
        <v>1503</v>
      </c>
      <c r="AG603" s="1308" t="s">
        <v>837</v>
      </c>
      <c r="AH603" s="1308"/>
      <c r="AZ603" s="3"/>
      <c r="BA603" s="3"/>
      <c r="BB603" s="3"/>
      <c r="BC603" s="3"/>
      <c r="BD603" s="3"/>
      <c r="BE603" s="1366">
        <f t="shared" si="1"/>
        <v>1</v>
      </c>
      <c r="BF603" s="1368"/>
      <c r="BG603" s="1366">
        <f t="shared" si="2"/>
        <v>19</v>
      </c>
      <c r="BH603" s="1368"/>
      <c r="BI603" s="1366">
        <f t="shared" si="3"/>
        <v>0</v>
      </c>
      <c r="BJ603" s="1368"/>
      <c r="BK603" s="1366">
        <f t="shared" si="4"/>
        <v>0</v>
      </c>
      <c r="BL603" s="1368"/>
      <c r="BM603" s="3"/>
      <c r="BN603" s="1363">
        <f t="shared" si="5"/>
        <v>0</v>
      </c>
      <c r="BO603" s="1364"/>
      <c r="BP603" s="1364"/>
      <c r="BQ603" s="1364"/>
      <c r="BR603" s="1365"/>
      <c r="BS603" s="1369">
        <f t="shared" si="6"/>
        <v>0</v>
      </c>
      <c r="BT603" s="1369"/>
      <c r="BU603" s="1369"/>
      <c r="BV603" s="1369"/>
      <c r="BW603" s="1369"/>
      <c r="BX603" s="1369">
        <f t="shared" si="7"/>
        <v>0</v>
      </c>
      <c r="BY603" s="1369"/>
      <c r="BZ603" s="1369"/>
      <c r="CA603" s="1369"/>
      <c r="CB603" s="1369"/>
      <c r="CC603" s="1369">
        <f t="shared" si="8"/>
        <v>19</v>
      </c>
      <c r="CD603" s="1369"/>
      <c r="CE603" s="1369"/>
      <c r="CF603" s="1369"/>
      <c r="CG603" s="1369"/>
      <c r="CH603" s="1369">
        <f t="shared" si="9"/>
        <v>0</v>
      </c>
      <c r="CI603" s="1369"/>
      <c r="CJ603" s="1369"/>
      <c r="CK603" s="1369"/>
      <c r="CL603" s="1369"/>
      <c r="CM603" s="1369">
        <f t="shared" si="10"/>
        <v>0</v>
      </c>
      <c r="CN603" s="1369"/>
      <c r="CO603" s="1369"/>
      <c r="CP603" s="1369"/>
      <c r="CQ603" s="1369"/>
      <c r="CR603" s="279"/>
      <c r="CS603" s="1370">
        <f t="shared" si="11"/>
        <v>0</v>
      </c>
      <c r="CT603" s="1370"/>
      <c r="CU603" s="1370"/>
      <c r="CV603" s="1370"/>
      <c r="CW603" s="1370"/>
      <c r="CX603" s="1370">
        <f t="shared" si="12"/>
        <v>0</v>
      </c>
      <c r="CY603" s="1370"/>
      <c r="CZ603" s="1370"/>
      <c r="DA603" s="1370"/>
      <c r="DB603" s="1370"/>
      <c r="DC603" s="1370">
        <f t="shared" si="13"/>
        <v>0</v>
      </c>
      <c r="DD603" s="1370"/>
      <c r="DE603" s="1370"/>
      <c r="DF603" s="1370"/>
      <c r="DG603" s="1370"/>
      <c r="DH603" s="1370">
        <f t="shared" si="14"/>
        <v>0</v>
      </c>
      <c r="DI603" s="1370"/>
      <c r="DJ603" s="1370"/>
      <c r="DK603" s="1370"/>
      <c r="DL603" s="1370"/>
      <c r="DM603" s="1370">
        <f t="shared" si="15"/>
        <v>0</v>
      </c>
      <c r="DN603" s="1370"/>
      <c r="DO603" s="1370"/>
      <c r="DP603" s="1370"/>
      <c r="DQ603" s="1370"/>
      <c r="DR603" s="1370">
        <f t="shared" si="16"/>
        <v>0</v>
      </c>
      <c r="DS603" s="1370"/>
      <c r="DT603" s="1370"/>
      <c r="DU603" s="1370"/>
      <c r="DV603" s="1370"/>
      <c r="DX603" s="1366" t="str">
        <f t="shared" si="17"/>
        <v xml:space="preserve"> </v>
      </c>
      <c r="DY603" s="1367"/>
      <c r="DZ603" s="1367"/>
      <c r="EA603" s="1367"/>
      <c r="EB603" s="1368"/>
      <c r="EC603" s="1366" t="str">
        <f t="shared" si="18"/>
        <v xml:space="preserve"> </v>
      </c>
      <c r="ED603" s="1367"/>
      <c r="EE603" s="1367"/>
      <c r="EF603" s="1367"/>
      <c r="EG603" s="1368"/>
      <c r="EH603" s="1366" t="str">
        <f t="shared" si="19"/>
        <v xml:space="preserve"> </v>
      </c>
      <c r="EI603" s="1367"/>
      <c r="EJ603" s="1367"/>
      <c r="EK603" s="1367"/>
      <c r="EL603" s="1368"/>
      <c r="EM603" s="1366">
        <f t="shared" si="20"/>
        <v>2105</v>
      </c>
      <c r="EN603" s="1367"/>
      <c r="EO603" s="1367"/>
      <c r="EP603" s="1367"/>
      <c r="EQ603" s="1368"/>
      <c r="ER603" s="1366" t="str">
        <f t="shared" si="21"/>
        <v xml:space="preserve"> </v>
      </c>
      <c r="ES603" s="1367"/>
      <c r="ET603" s="1367"/>
      <c r="EU603" s="1367"/>
      <c r="EV603" s="1368"/>
      <c r="EW603" s="1366" t="str">
        <f t="shared" si="22"/>
        <v xml:space="preserve"> </v>
      </c>
      <c r="EX603" s="1367"/>
      <c r="EY603" s="1367"/>
      <c r="EZ603" s="1367"/>
      <c r="FA603" s="1368"/>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6">
        <f t="shared" si="1"/>
        <v>0</v>
      </c>
      <c r="BF604" s="1368"/>
      <c r="BG604" s="1366">
        <f t="shared" si="2"/>
        <v>0</v>
      </c>
      <c r="BH604" s="1368"/>
      <c r="BI604" s="1366">
        <f t="shared" si="3"/>
        <v>0</v>
      </c>
      <c r="BJ604" s="1368"/>
      <c r="BK604" s="1366">
        <f t="shared" si="4"/>
        <v>0</v>
      </c>
      <c r="BL604" s="1368"/>
      <c r="BM604" s="3"/>
      <c r="BN604" s="1363">
        <f t="shared" si="5"/>
        <v>0</v>
      </c>
      <c r="BO604" s="1364"/>
      <c r="BP604" s="1364"/>
      <c r="BQ604" s="1364"/>
      <c r="BR604" s="1365"/>
      <c r="BS604" s="1369">
        <f t="shared" si="6"/>
        <v>0</v>
      </c>
      <c r="BT604" s="1369"/>
      <c r="BU604" s="1369"/>
      <c r="BV604" s="1369"/>
      <c r="BW604" s="1369"/>
      <c r="BX604" s="1369">
        <f t="shared" si="7"/>
        <v>0</v>
      </c>
      <c r="BY604" s="1369"/>
      <c r="BZ604" s="1369"/>
      <c r="CA604" s="1369"/>
      <c r="CB604" s="1369"/>
      <c r="CC604" s="1369">
        <f t="shared" si="8"/>
        <v>0</v>
      </c>
      <c r="CD604" s="1369"/>
      <c r="CE604" s="1369"/>
      <c r="CF604" s="1369"/>
      <c r="CG604" s="1369"/>
      <c r="CH604" s="1369">
        <f t="shared" si="9"/>
        <v>0</v>
      </c>
      <c r="CI604" s="1369"/>
      <c r="CJ604" s="1369"/>
      <c r="CK604" s="1369"/>
      <c r="CL604" s="1369"/>
      <c r="CM604" s="1369">
        <f t="shared" si="10"/>
        <v>0</v>
      </c>
      <c r="CN604" s="1369"/>
      <c r="CO604" s="1369"/>
      <c r="CP604" s="1369"/>
      <c r="CQ604" s="1369"/>
      <c r="CR604" s="279"/>
      <c r="CS604" s="1370">
        <f t="shared" si="11"/>
        <v>0</v>
      </c>
      <c r="CT604" s="1370"/>
      <c r="CU604" s="1370"/>
      <c r="CV604" s="1370"/>
      <c r="CW604" s="1370"/>
      <c r="CX604" s="1370">
        <f t="shared" si="12"/>
        <v>0</v>
      </c>
      <c r="CY604" s="1370"/>
      <c r="CZ604" s="1370"/>
      <c r="DA604" s="1370"/>
      <c r="DB604" s="1370"/>
      <c r="DC604" s="1370">
        <f t="shared" si="13"/>
        <v>0</v>
      </c>
      <c r="DD604" s="1370"/>
      <c r="DE604" s="1370"/>
      <c r="DF604" s="1370"/>
      <c r="DG604" s="1370"/>
      <c r="DH604" s="1370">
        <f t="shared" si="14"/>
        <v>0</v>
      </c>
      <c r="DI604" s="1370"/>
      <c r="DJ604" s="1370"/>
      <c r="DK604" s="1370"/>
      <c r="DL604" s="1370"/>
      <c r="DM604" s="1370">
        <f t="shared" si="15"/>
        <v>0</v>
      </c>
      <c r="DN604" s="1370"/>
      <c r="DO604" s="1370"/>
      <c r="DP604" s="1370"/>
      <c r="DQ604" s="1370"/>
      <c r="DR604" s="1370">
        <f t="shared" si="16"/>
        <v>0</v>
      </c>
      <c r="DS604" s="1370"/>
      <c r="DT604" s="1370"/>
      <c r="DU604" s="1370"/>
      <c r="DV604" s="1370"/>
      <c r="DW604" s="3"/>
      <c r="DX604" s="1366" t="str">
        <f t="shared" si="17"/>
        <v xml:space="preserve"> </v>
      </c>
      <c r="DY604" s="1367"/>
      <c r="DZ604" s="1367"/>
      <c r="EA604" s="1367"/>
      <c r="EB604" s="1368"/>
      <c r="EC604" s="1366" t="str">
        <f t="shared" si="18"/>
        <v xml:space="preserve"> </v>
      </c>
      <c r="ED604" s="1367"/>
      <c r="EE604" s="1367"/>
      <c r="EF604" s="1367"/>
      <c r="EG604" s="1368"/>
      <c r="EH604" s="1366" t="str">
        <f t="shared" si="19"/>
        <v xml:space="preserve"> </v>
      </c>
      <c r="EI604" s="1367"/>
      <c r="EJ604" s="1367"/>
      <c r="EK604" s="1367"/>
      <c r="EL604" s="1368"/>
      <c r="EM604" s="1366" t="str">
        <f t="shared" si="20"/>
        <v xml:space="preserve"> </v>
      </c>
      <c r="EN604" s="1367"/>
      <c r="EO604" s="1367"/>
      <c r="EP604" s="1367"/>
      <c r="EQ604" s="1368"/>
      <c r="ER604" s="1366" t="str">
        <f t="shared" si="21"/>
        <v xml:space="preserve"> </v>
      </c>
      <c r="ES604" s="1367"/>
      <c r="ET604" s="1367"/>
      <c r="EU604" s="1367"/>
      <c r="EV604" s="1368"/>
      <c r="EW604" s="1366" t="str">
        <f t="shared" si="22"/>
        <v xml:space="preserve"> </v>
      </c>
      <c r="EX604" s="1367"/>
      <c r="EY604" s="1367"/>
      <c r="EZ604" s="1367"/>
      <c r="FA604" s="1368"/>
    </row>
    <row r="605" spans="1:157" s="4" customFormat="1" ht="12.95" customHeight="1">
      <c r="A605" s="48" t="s">
        <v>1490</v>
      </c>
      <c r="B605" t="s">
        <v>1493</v>
      </c>
      <c r="C605"/>
      <c r="D605"/>
      <c r="E605"/>
      <c r="F605"/>
      <c r="G605" s="1306">
        <f>C560</f>
        <v>0</v>
      </c>
      <c r="H605" s="1306"/>
      <c r="I605" s="1306"/>
      <c r="J605" s="1306"/>
      <c r="K605" s="1306"/>
      <c r="L605" s="1306"/>
      <c r="M605" s="1306"/>
      <c r="N605" s="1306"/>
      <c r="O605" s="1306"/>
      <c r="P605" s="1306"/>
      <c r="Q605" s="1306"/>
      <c r="R605" s="1306"/>
      <c r="S605"/>
      <c r="T605" s="48" t="s">
        <v>1491</v>
      </c>
      <c r="U605" t="s">
        <v>1493</v>
      </c>
      <c r="V605"/>
      <c r="W605"/>
      <c r="X605"/>
      <c r="Y605"/>
      <c r="Z605" s="1306">
        <f>C561</f>
        <v>0</v>
      </c>
      <c r="AA605" s="1306"/>
      <c r="AB605" s="1306"/>
      <c r="AC605" s="1306"/>
      <c r="AD605" s="1306"/>
      <c r="AE605" s="1306"/>
      <c r="AF605" s="1306"/>
      <c r="AG605" s="1306"/>
      <c r="AH605" s="1306"/>
      <c r="AI605" s="1306"/>
      <c r="AJ605" s="1306"/>
      <c r="AK605" s="1306"/>
      <c r="AL605"/>
      <c r="AM605"/>
      <c r="AN605"/>
      <c r="AO605"/>
      <c r="AP605"/>
      <c r="AQ605"/>
      <c r="AR605"/>
      <c r="AS605"/>
      <c r="AT605"/>
      <c r="AU605"/>
      <c r="AV605"/>
      <c r="AW605"/>
      <c r="AX605"/>
      <c r="AY605"/>
      <c r="AZ605" s="3"/>
      <c r="BA605" s="3"/>
      <c r="BB605" s="3"/>
      <c r="BC605" s="3"/>
      <c r="BD605" s="3"/>
      <c r="BE605" s="1366">
        <f t="shared" si="1"/>
        <v>0</v>
      </c>
      <c r="BF605" s="1368"/>
      <c r="BG605" s="1366">
        <f t="shared" si="2"/>
        <v>0</v>
      </c>
      <c r="BH605" s="1368"/>
      <c r="BI605" s="1366">
        <f t="shared" si="3"/>
        <v>0</v>
      </c>
      <c r="BJ605" s="1368"/>
      <c r="BK605" s="1366">
        <f t="shared" si="4"/>
        <v>0</v>
      </c>
      <c r="BL605" s="1368"/>
      <c r="BM605" s="3"/>
      <c r="BN605" s="1363">
        <f t="shared" si="5"/>
        <v>0</v>
      </c>
      <c r="BO605" s="1364"/>
      <c r="BP605" s="1364"/>
      <c r="BQ605" s="1364"/>
      <c r="BR605" s="1365"/>
      <c r="BS605" s="1369">
        <f t="shared" si="6"/>
        <v>0</v>
      </c>
      <c r="BT605" s="1369"/>
      <c r="BU605" s="1369"/>
      <c r="BV605" s="1369"/>
      <c r="BW605" s="1369"/>
      <c r="BX605" s="1369">
        <f t="shared" si="7"/>
        <v>0</v>
      </c>
      <c r="BY605" s="1369"/>
      <c r="BZ605" s="1369"/>
      <c r="CA605" s="1369"/>
      <c r="CB605" s="1369"/>
      <c r="CC605" s="1369">
        <f t="shared" si="8"/>
        <v>0</v>
      </c>
      <c r="CD605" s="1369"/>
      <c r="CE605" s="1369"/>
      <c r="CF605" s="1369"/>
      <c r="CG605" s="1369"/>
      <c r="CH605" s="1369">
        <f t="shared" si="9"/>
        <v>0</v>
      </c>
      <c r="CI605" s="1369"/>
      <c r="CJ605" s="1369"/>
      <c r="CK605" s="1369"/>
      <c r="CL605" s="1369"/>
      <c r="CM605" s="1369">
        <f t="shared" si="10"/>
        <v>0</v>
      </c>
      <c r="CN605" s="1369"/>
      <c r="CO605" s="1369"/>
      <c r="CP605" s="1369"/>
      <c r="CQ605" s="1369"/>
      <c r="CR605" s="279"/>
      <c r="CS605" s="1370">
        <f t="shared" si="11"/>
        <v>0</v>
      </c>
      <c r="CT605" s="1370"/>
      <c r="CU605" s="1370"/>
      <c r="CV605" s="1370"/>
      <c r="CW605" s="1370"/>
      <c r="CX605" s="1370">
        <f t="shared" si="12"/>
        <v>0</v>
      </c>
      <c r="CY605" s="1370"/>
      <c r="CZ605" s="1370"/>
      <c r="DA605" s="1370"/>
      <c r="DB605" s="1370"/>
      <c r="DC605" s="1370">
        <f t="shared" si="13"/>
        <v>0</v>
      </c>
      <c r="DD605" s="1370"/>
      <c r="DE605" s="1370"/>
      <c r="DF605" s="1370"/>
      <c r="DG605" s="1370"/>
      <c r="DH605" s="1370">
        <f t="shared" si="14"/>
        <v>0</v>
      </c>
      <c r="DI605" s="1370"/>
      <c r="DJ605" s="1370"/>
      <c r="DK605" s="1370"/>
      <c r="DL605" s="1370"/>
      <c r="DM605" s="1370">
        <f t="shared" si="15"/>
        <v>0</v>
      </c>
      <c r="DN605" s="1370"/>
      <c r="DO605" s="1370"/>
      <c r="DP605" s="1370"/>
      <c r="DQ605" s="1370"/>
      <c r="DR605" s="1370">
        <f t="shared" si="16"/>
        <v>0</v>
      </c>
      <c r="DS605" s="1370"/>
      <c r="DT605" s="1370"/>
      <c r="DU605" s="1370"/>
      <c r="DV605" s="1370"/>
      <c r="DW605" s="3"/>
      <c r="DX605" s="1366" t="str">
        <f t="shared" si="17"/>
        <v xml:space="preserve"> </v>
      </c>
      <c r="DY605" s="1367"/>
      <c r="DZ605" s="1367"/>
      <c r="EA605" s="1367"/>
      <c r="EB605" s="1368"/>
      <c r="EC605" s="1366" t="str">
        <f t="shared" si="18"/>
        <v xml:space="preserve"> </v>
      </c>
      <c r="ED605" s="1367"/>
      <c r="EE605" s="1367"/>
      <c r="EF605" s="1367"/>
      <c r="EG605" s="1368"/>
      <c r="EH605" s="1366" t="str">
        <f t="shared" si="19"/>
        <v xml:space="preserve"> </v>
      </c>
      <c r="EI605" s="1367"/>
      <c r="EJ605" s="1367"/>
      <c r="EK605" s="1367"/>
      <c r="EL605" s="1368"/>
      <c r="EM605" s="1366" t="str">
        <f t="shared" si="20"/>
        <v xml:space="preserve"> </v>
      </c>
      <c r="EN605" s="1367"/>
      <c r="EO605" s="1367"/>
      <c r="EP605" s="1367"/>
      <c r="EQ605" s="1368"/>
      <c r="ER605" s="1366" t="str">
        <f t="shared" si="21"/>
        <v xml:space="preserve"> </v>
      </c>
      <c r="ES605" s="1367"/>
      <c r="ET605" s="1367"/>
      <c r="EU605" s="1367"/>
      <c r="EV605" s="1368"/>
      <c r="EW605" s="1366" t="str">
        <f t="shared" si="22"/>
        <v xml:space="preserve"> </v>
      </c>
      <c r="EX605" s="1367"/>
      <c r="EY605" s="1367"/>
      <c r="EZ605" s="1367"/>
      <c r="FA605" s="1368"/>
    </row>
    <row r="606" spans="1:157" s="4" customFormat="1" ht="12.95" customHeight="1">
      <c r="A606"/>
      <c r="B606" t="s">
        <v>1153</v>
      </c>
      <c r="C606"/>
      <c r="D606"/>
      <c r="E606"/>
      <c r="F606"/>
      <c r="G606" s="1307"/>
      <c r="H606" s="1307"/>
      <c r="I606" s="1307"/>
      <c r="J606" s="1307"/>
      <c r="K606" s="1307"/>
      <c r="L606" s="1307"/>
      <c r="M606" s="1307"/>
      <c r="N606" s="1307"/>
      <c r="O606" s="1307"/>
      <c r="P606" s="1307"/>
      <c r="Q606" s="1307"/>
      <c r="R606" s="1307"/>
      <c r="S606"/>
      <c r="T606"/>
      <c r="U606" t="s">
        <v>1153</v>
      </c>
      <c r="V606"/>
      <c r="W606"/>
      <c r="X606"/>
      <c r="Y606"/>
      <c r="Z606" s="1307"/>
      <c r="AA606" s="1307"/>
      <c r="AB606" s="1307"/>
      <c r="AC606" s="1307"/>
      <c r="AD606" s="1307"/>
      <c r="AE606" s="1307"/>
      <c r="AF606" s="1307"/>
      <c r="AG606" s="1307"/>
      <c r="AH606" s="1307"/>
      <c r="AI606" s="1307"/>
      <c r="AJ606" s="1307"/>
      <c r="AK606" s="1307"/>
      <c r="AL606"/>
      <c r="AM606"/>
      <c r="AN606"/>
      <c r="AO606"/>
      <c r="AP606"/>
      <c r="AQ606"/>
      <c r="AR606"/>
      <c r="AS606"/>
      <c r="AT606"/>
      <c r="AU606"/>
      <c r="AV606"/>
      <c r="AW606"/>
      <c r="AX606"/>
      <c r="AY606"/>
      <c r="AZ606" s="3"/>
      <c r="BA606" s="3"/>
      <c r="BB606" s="3"/>
      <c r="BC606" s="3"/>
      <c r="BD606" s="3"/>
      <c r="BE606" s="1366">
        <f t="shared" si="1"/>
        <v>0</v>
      </c>
      <c r="BF606" s="1368"/>
      <c r="BG606" s="1366">
        <f t="shared" si="2"/>
        <v>0</v>
      </c>
      <c r="BH606" s="1368"/>
      <c r="BI606" s="1366">
        <f t="shared" si="3"/>
        <v>0</v>
      </c>
      <c r="BJ606" s="1368"/>
      <c r="BK606" s="1366">
        <f t="shared" si="4"/>
        <v>0</v>
      </c>
      <c r="BL606" s="1368"/>
      <c r="BM606" s="3"/>
      <c r="BN606" s="1363">
        <f t="shared" si="5"/>
        <v>0</v>
      </c>
      <c r="BO606" s="1364"/>
      <c r="BP606" s="1364"/>
      <c r="BQ606" s="1364"/>
      <c r="BR606" s="1365"/>
      <c r="BS606" s="1369">
        <f t="shared" si="6"/>
        <v>0</v>
      </c>
      <c r="BT606" s="1369"/>
      <c r="BU606" s="1369"/>
      <c r="BV606" s="1369"/>
      <c r="BW606" s="1369"/>
      <c r="BX606" s="1369">
        <f t="shared" si="7"/>
        <v>0</v>
      </c>
      <c r="BY606" s="1369"/>
      <c r="BZ606" s="1369"/>
      <c r="CA606" s="1369"/>
      <c r="CB606" s="1369"/>
      <c r="CC606" s="1369">
        <f t="shared" si="8"/>
        <v>0</v>
      </c>
      <c r="CD606" s="1369"/>
      <c r="CE606" s="1369"/>
      <c r="CF606" s="1369"/>
      <c r="CG606" s="1369"/>
      <c r="CH606" s="1369">
        <f t="shared" si="9"/>
        <v>0</v>
      </c>
      <c r="CI606" s="1369"/>
      <c r="CJ606" s="1369"/>
      <c r="CK606" s="1369"/>
      <c r="CL606" s="1369"/>
      <c r="CM606" s="1369">
        <f t="shared" si="10"/>
        <v>0</v>
      </c>
      <c r="CN606" s="1369"/>
      <c r="CO606" s="1369"/>
      <c r="CP606" s="1369"/>
      <c r="CQ606" s="1369"/>
      <c r="CR606" s="279"/>
      <c r="CS606" s="1370">
        <f t="shared" si="11"/>
        <v>0</v>
      </c>
      <c r="CT606" s="1370"/>
      <c r="CU606" s="1370"/>
      <c r="CV606" s="1370"/>
      <c r="CW606" s="1370"/>
      <c r="CX606" s="1370">
        <f t="shared" si="12"/>
        <v>0</v>
      </c>
      <c r="CY606" s="1370"/>
      <c r="CZ606" s="1370"/>
      <c r="DA606" s="1370"/>
      <c r="DB606" s="1370"/>
      <c r="DC606" s="1370">
        <f t="shared" si="13"/>
        <v>0</v>
      </c>
      <c r="DD606" s="1370"/>
      <c r="DE606" s="1370"/>
      <c r="DF606" s="1370"/>
      <c r="DG606" s="1370"/>
      <c r="DH606" s="1370">
        <f t="shared" si="14"/>
        <v>0</v>
      </c>
      <c r="DI606" s="1370"/>
      <c r="DJ606" s="1370"/>
      <c r="DK606" s="1370"/>
      <c r="DL606" s="1370"/>
      <c r="DM606" s="1370">
        <f t="shared" si="15"/>
        <v>0</v>
      </c>
      <c r="DN606" s="1370"/>
      <c r="DO606" s="1370"/>
      <c r="DP606" s="1370"/>
      <c r="DQ606" s="1370"/>
      <c r="DR606" s="1370">
        <f t="shared" si="16"/>
        <v>0</v>
      </c>
      <c r="DS606" s="1370"/>
      <c r="DT606" s="1370"/>
      <c r="DU606" s="1370"/>
      <c r="DV606" s="1370"/>
      <c r="DW606" s="3"/>
      <c r="DX606" s="1366" t="str">
        <f t="shared" si="17"/>
        <v xml:space="preserve"> </v>
      </c>
      <c r="DY606" s="1367"/>
      <c r="DZ606" s="1367"/>
      <c r="EA606" s="1367"/>
      <c r="EB606" s="1368"/>
      <c r="EC606" s="1366" t="str">
        <f t="shared" si="18"/>
        <v xml:space="preserve"> </v>
      </c>
      <c r="ED606" s="1367"/>
      <c r="EE606" s="1367"/>
      <c r="EF606" s="1367"/>
      <c r="EG606" s="1368"/>
      <c r="EH606" s="1366" t="str">
        <f t="shared" si="19"/>
        <v xml:space="preserve"> </v>
      </c>
      <c r="EI606" s="1367"/>
      <c r="EJ606" s="1367"/>
      <c r="EK606" s="1367"/>
      <c r="EL606" s="1368"/>
      <c r="EM606" s="1366" t="str">
        <f t="shared" si="20"/>
        <v xml:space="preserve"> </v>
      </c>
      <c r="EN606" s="1367"/>
      <c r="EO606" s="1367"/>
      <c r="EP606" s="1367"/>
      <c r="EQ606" s="1368"/>
      <c r="ER606" s="1366" t="str">
        <f t="shared" si="21"/>
        <v xml:space="preserve"> </v>
      </c>
      <c r="ES606" s="1367"/>
      <c r="ET606" s="1367"/>
      <c r="EU606" s="1367"/>
      <c r="EV606" s="1368"/>
      <c r="EW606" s="1366" t="str">
        <f t="shared" si="22"/>
        <v xml:space="preserve"> </v>
      </c>
      <c r="EX606" s="1367"/>
      <c r="EY606" s="1367"/>
      <c r="EZ606" s="1367"/>
      <c r="FA606" s="1368"/>
    </row>
    <row r="607" spans="1:157" ht="12.95" customHeight="1">
      <c r="B607" t="s">
        <v>1026</v>
      </c>
      <c r="G607" s="1307"/>
      <c r="H607" s="1307"/>
      <c r="I607" s="1307"/>
      <c r="J607" s="1307"/>
      <c r="K607" s="1307"/>
      <c r="L607" s="1307"/>
      <c r="M607" s="1307"/>
      <c r="N607" s="1307"/>
      <c r="O607" s="1307"/>
      <c r="P607" s="1307"/>
      <c r="Q607" s="1307"/>
      <c r="R607" s="1307"/>
      <c r="U607" t="s">
        <v>1026</v>
      </c>
      <c r="Z607" s="1326"/>
      <c r="AA607" s="1326"/>
      <c r="AB607" s="1326"/>
      <c r="AC607" s="1326"/>
      <c r="AD607" s="1326"/>
      <c r="AE607" s="1326"/>
      <c r="AF607" s="1326"/>
      <c r="AG607" s="1326"/>
      <c r="AH607" s="1326"/>
      <c r="AI607" s="1326"/>
      <c r="AJ607" s="1326"/>
      <c r="AK607" s="1326"/>
      <c r="AZ607" s="3"/>
      <c r="BA607" s="3"/>
      <c r="BB607" s="3"/>
      <c r="BC607" s="3"/>
      <c r="BD607" s="3"/>
      <c r="BE607" s="1366">
        <f t="shared" si="1"/>
        <v>0</v>
      </c>
      <c r="BF607" s="1368"/>
      <c r="BG607" s="1366">
        <f t="shared" si="2"/>
        <v>0</v>
      </c>
      <c r="BH607" s="1368"/>
      <c r="BI607" s="1366">
        <f t="shared" si="3"/>
        <v>0</v>
      </c>
      <c r="BJ607" s="1368"/>
      <c r="BK607" s="1366">
        <f t="shared" si="4"/>
        <v>0</v>
      </c>
      <c r="BL607" s="1368"/>
      <c r="BM607" s="3"/>
      <c r="BN607" s="1363">
        <f t="shared" si="5"/>
        <v>0</v>
      </c>
      <c r="BO607" s="1364"/>
      <c r="BP607" s="1364"/>
      <c r="BQ607" s="1364"/>
      <c r="BR607" s="1365"/>
      <c r="BS607" s="1369">
        <f t="shared" si="6"/>
        <v>0</v>
      </c>
      <c r="BT607" s="1369"/>
      <c r="BU607" s="1369"/>
      <c r="BV607" s="1369"/>
      <c r="BW607" s="1369"/>
      <c r="BX607" s="1369">
        <f t="shared" si="7"/>
        <v>0</v>
      </c>
      <c r="BY607" s="1369"/>
      <c r="BZ607" s="1369"/>
      <c r="CA607" s="1369"/>
      <c r="CB607" s="1369"/>
      <c r="CC607" s="1369">
        <f t="shared" si="8"/>
        <v>0</v>
      </c>
      <c r="CD607" s="1369"/>
      <c r="CE607" s="1369"/>
      <c r="CF607" s="1369"/>
      <c r="CG607" s="1369"/>
      <c r="CH607" s="1369">
        <f t="shared" si="9"/>
        <v>0</v>
      </c>
      <c r="CI607" s="1369"/>
      <c r="CJ607" s="1369"/>
      <c r="CK607" s="1369"/>
      <c r="CL607" s="1369"/>
      <c r="CM607" s="1369">
        <f t="shared" si="10"/>
        <v>0</v>
      </c>
      <c r="CN607" s="1369"/>
      <c r="CO607" s="1369"/>
      <c r="CP607" s="1369"/>
      <c r="CQ607" s="1369"/>
      <c r="CR607" s="279"/>
      <c r="CS607" s="1370">
        <f t="shared" si="11"/>
        <v>0</v>
      </c>
      <c r="CT607" s="1370"/>
      <c r="CU607" s="1370"/>
      <c r="CV607" s="1370"/>
      <c r="CW607" s="1370"/>
      <c r="CX607" s="1370">
        <f t="shared" si="12"/>
        <v>0</v>
      </c>
      <c r="CY607" s="1370"/>
      <c r="CZ607" s="1370"/>
      <c r="DA607" s="1370"/>
      <c r="DB607" s="1370"/>
      <c r="DC607" s="1370">
        <f t="shared" si="13"/>
        <v>0</v>
      </c>
      <c r="DD607" s="1370"/>
      <c r="DE607" s="1370"/>
      <c r="DF607" s="1370"/>
      <c r="DG607" s="1370"/>
      <c r="DH607" s="1370">
        <f t="shared" si="14"/>
        <v>0</v>
      </c>
      <c r="DI607" s="1370"/>
      <c r="DJ607" s="1370"/>
      <c r="DK607" s="1370"/>
      <c r="DL607" s="1370"/>
      <c r="DM607" s="1370">
        <f t="shared" si="15"/>
        <v>0</v>
      </c>
      <c r="DN607" s="1370"/>
      <c r="DO607" s="1370"/>
      <c r="DP607" s="1370"/>
      <c r="DQ607" s="1370"/>
      <c r="DR607" s="1370">
        <f t="shared" si="16"/>
        <v>0</v>
      </c>
      <c r="DS607" s="1370"/>
      <c r="DT607" s="1370"/>
      <c r="DU607" s="1370"/>
      <c r="DV607" s="1370"/>
      <c r="DX607" s="1366" t="str">
        <f t="shared" si="17"/>
        <v xml:space="preserve"> </v>
      </c>
      <c r="DY607" s="1367"/>
      <c r="DZ607" s="1367"/>
      <c r="EA607" s="1367"/>
      <c r="EB607" s="1368"/>
      <c r="EC607" s="1366" t="str">
        <f t="shared" si="18"/>
        <v xml:space="preserve"> </v>
      </c>
      <c r="ED607" s="1367"/>
      <c r="EE607" s="1367"/>
      <c r="EF607" s="1367"/>
      <c r="EG607" s="1368"/>
      <c r="EH607" s="1366" t="str">
        <f t="shared" si="19"/>
        <v xml:space="preserve"> </v>
      </c>
      <c r="EI607" s="1367"/>
      <c r="EJ607" s="1367"/>
      <c r="EK607" s="1367"/>
      <c r="EL607" s="1368"/>
      <c r="EM607" s="1366" t="str">
        <f t="shared" si="20"/>
        <v xml:space="preserve"> </v>
      </c>
      <c r="EN607" s="1367"/>
      <c r="EO607" s="1367"/>
      <c r="EP607" s="1367"/>
      <c r="EQ607" s="1368"/>
      <c r="ER607" s="1366" t="str">
        <f t="shared" si="21"/>
        <v xml:space="preserve"> </v>
      </c>
      <c r="ES607" s="1367"/>
      <c r="ET607" s="1367"/>
      <c r="EU607" s="1367"/>
      <c r="EV607" s="1368"/>
      <c r="EW607" s="1366" t="str">
        <f t="shared" si="22"/>
        <v xml:space="preserve"> </v>
      </c>
      <c r="EX607" s="1367"/>
      <c r="EY607" s="1367"/>
      <c r="EZ607" s="1367"/>
      <c r="FA607" s="1368"/>
    </row>
    <row r="608" spans="1:157" ht="12.95" customHeight="1">
      <c r="B608" t="s">
        <v>1496</v>
      </c>
      <c r="G608" s="1307"/>
      <c r="H608" s="1307"/>
      <c r="I608" s="1307"/>
      <c r="J608" s="1307"/>
      <c r="K608" s="1307"/>
      <c r="L608" s="1307"/>
      <c r="M608" s="1307"/>
      <c r="N608" s="1307"/>
      <c r="O608" s="1307"/>
      <c r="P608" s="1307"/>
      <c r="Q608" s="1307"/>
      <c r="R608" s="1307"/>
      <c r="U608" t="s">
        <v>1496</v>
      </c>
      <c r="Z608" s="1326"/>
      <c r="AA608" s="1326"/>
      <c r="AB608" s="1326"/>
      <c r="AC608" s="1326"/>
      <c r="AD608" s="1326"/>
      <c r="AE608" s="1326"/>
      <c r="AF608" s="1326"/>
      <c r="AG608" s="1326"/>
      <c r="AH608" s="1326"/>
      <c r="AI608" s="1326"/>
      <c r="AJ608" s="1326"/>
      <c r="AK608" s="1326"/>
      <c r="AZ608" s="3"/>
      <c r="BA608" s="3"/>
      <c r="BB608" s="3"/>
      <c r="BC608" s="3"/>
      <c r="BD608" s="3"/>
      <c r="BE608" s="1366">
        <f t="shared" si="1"/>
        <v>0</v>
      </c>
      <c r="BF608" s="1368"/>
      <c r="BG608" s="1366">
        <f t="shared" si="2"/>
        <v>0</v>
      </c>
      <c r="BH608" s="1368"/>
      <c r="BI608" s="1366">
        <f t="shared" si="3"/>
        <v>0</v>
      </c>
      <c r="BJ608" s="1368"/>
      <c r="BK608" s="1366">
        <f t="shared" si="4"/>
        <v>0</v>
      </c>
      <c r="BL608" s="1368"/>
      <c r="BM608" s="3"/>
      <c r="BN608" s="1363">
        <f t="shared" si="5"/>
        <v>0</v>
      </c>
      <c r="BO608" s="1364"/>
      <c r="BP608" s="1364"/>
      <c r="BQ608" s="1364"/>
      <c r="BR608" s="1365"/>
      <c r="BS608" s="1369">
        <f t="shared" si="6"/>
        <v>0</v>
      </c>
      <c r="BT608" s="1369"/>
      <c r="BU608" s="1369"/>
      <c r="BV608" s="1369"/>
      <c r="BW608" s="1369"/>
      <c r="BX608" s="1369">
        <f t="shared" si="7"/>
        <v>0</v>
      </c>
      <c r="BY608" s="1369"/>
      <c r="BZ608" s="1369"/>
      <c r="CA608" s="1369"/>
      <c r="CB608" s="1369"/>
      <c r="CC608" s="1369">
        <f t="shared" si="8"/>
        <v>0</v>
      </c>
      <c r="CD608" s="1369"/>
      <c r="CE608" s="1369"/>
      <c r="CF608" s="1369"/>
      <c r="CG608" s="1369"/>
      <c r="CH608" s="1369">
        <f t="shared" si="9"/>
        <v>0</v>
      </c>
      <c r="CI608" s="1369"/>
      <c r="CJ608" s="1369"/>
      <c r="CK608" s="1369"/>
      <c r="CL608" s="1369"/>
      <c r="CM608" s="1369">
        <f t="shared" si="10"/>
        <v>0</v>
      </c>
      <c r="CN608" s="1369"/>
      <c r="CO608" s="1369"/>
      <c r="CP608" s="1369"/>
      <c r="CQ608" s="1369"/>
      <c r="CR608" s="279"/>
      <c r="CS608" s="1370">
        <f t="shared" si="11"/>
        <v>0</v>
      </c>
      <c r="CT608" s="1370"/>
      <c r="CU608" s="1370"/>
      <c r="CV608" s="1370"/>
      <c r="CW608" s="1370"/>
      <c r="CX608" s="1370">
        <f t="shared" si="12"/>
        <v>0</v>
      </c>
      <c r="CY608" s="1370"/>
      <c r="CZ608" s="1370"/>
      <c r="DA608" s="1370"/>
      <c r="DB608" s="1370"/>
      <c r="DC608" s="1370">
        <f t="shared" si="13"/>
        <v>0</v>
      </c>
      <c r="DD608" s="1370"/>
      <c r="DE608" s="1370"/>
      <c r="DF608" s="1370"/>
      <c r="DG608" s="1370"/>
      <c r="DH608" s="1370">
        <f t="shared" si="14"/>
        <v>0</v>
      </c>
      <c r="DI608" s="1370"/>
      <c r="DJ608" s="1370"/>
      <c r="DK608" s="1370"/>
      <c r="DL608" s="1370"/>
      <c r="DM608" s="1370">
        <f t="shared" si="15"/>
        <v>0</v>
      </c>
      <c r="DN608" s="1370"/>
      <c r="DO608" s="1370"/>
      <c r="DP608" s="1370"/>
      <c r="DQ608" s="1370"/>
      <c r="DR608" s="1370">
        <f t="shared" si="16"/>
        <v>0</v>
      </c>
      <c r="DS608" s="1370"/>
      <c r="DT608" s="1370"/>
      <c r="DU608" s="1370"/>
      <c r="DV608" s="1370"/>
      <c r="DX608" s="1366" t="str">
        <f t="shared" si="17"/>
        <v xml:space="preserve"> </v>
      </c>
      <c r="DY608" s="1367"/>
      <c r="DZ608" s="1367"/>
      <c r="EA608" s="1367"/>
      <c r="EB608" s="1368"/>
      <c r="EC608" s="1366" t="str">
        <f t="shared" si="18"/>
        <v xml:space="preserve"> </v>
      </c>
      <c r="ED608" s="1367"/>
      <c r="EE608" s="1367"/>
      <c r="EF608" s="1367"/>
      <c r="EG608" s="1368"/>
      <c r="EH608" s="1366" t="str">
        <f t="shared" si="19"/>
        <v xml:space="preserve"> </v>
      </c>
      <c r="EI608" s="1367"/>
      <c r="EJ608" s="1367"/>
      <c r="EK608" s="1367"/>
      <c r="EL608" s="1368"/>
      <c r="EM608" s="1366" t="str">
        <f t="shared" si="20"/>
        <v xml:space="preserve"> </v>
      </c>
      <c r="EN608" s="1367"/>
      <c r="EO608" s="1367"/>
      <c r="EP608" s="1367"/>
      <c r="EQ608" s="1368"/>
      <c r="ER608" s="1366" t="str">
        <f t="shared" si="21"/>
        <v xml:space="preserve"> </v>
      </c>
      <c r="ES608" s="1367"/>
      <c r="ET608" s="1367"/>
      <c r="EU608" s="1367"/>
      <c r="EV608" s="1368"/>
      <c r="EW608" s="1366" t="str">
        <f t="shared" si="22"/>
        <v xml:space="preserve"> </v>
      </c>
      <c r="EX608" s="1367"/>
      <c r="EY608" s="1367"/>
      <c r="EZ608" s="1367"/>
      <c r="FA608" s="1368"/>
    </row>
    <row r="609" spans="1:157" ht="12.95" customHeight="1">
      <c r="B609" t="s">
        <v>933</v>
      </c>
      <c r="G609" s="1322"/>
      <c r="H609" s="1322"/>
      <c r="I609" s="1322"/>
      <c r="J609" s="1322"/>
      <c r="K609" s="1322"/>
      <c r="L609" s="1322"/>
      <c r="O609" s="957" t="s">
        <v>1162</v>
      </c>
      <c r="P609" s="1305"/>
      <c r="Q609" s="1305"/>
      <c r="R609" s="1305"/>
      <c r="U609" t="s">
        <v>933</v>
      </c>
      <c r="Z609" s="1322"/>
      <c r="AA609" s="1322"/>
      <c r="AB609" s="1322"/>
      <c r="AC609" s="1322"/>
      <c r="AD609" s="1322"/>
      <c r="AE609" s="1322"/>
      <c r="AH609" s="957" t="s">
        <v>1162</v>
      </c>
      <c r="AI609" s="1305"/>
      <c r="AJ609" s="1305"/>
      <c r="AK609" s="1305"/>
      <c r="AZ609" s="3"/>
      <c r="BA609" s="3"/>
      <c r="BB609" s="3"/>
      <c r="BC609" s="3"/>
      <c r="BD609" s="3"/>
      <c r="BE609" s="1366">
        <f t="shared" si="1"/>
        <v>0</v>
      </c>
      <c r="BF609" s="1368"/>
      <c r="BG609" s="1366">
        <f t="shared" si="2"/>
        <v>0</v>
      </c>
      <c r="BH609" s="1368"/>
      <c r="BI609" s="1366">
        <f t="shared" si="3"/>
        <v>0</v>
      </c>
      <c r="BJ609" s="1368"/>
      <c r="BK609" s="1366">
        <f t="shared" si="4"/>
        <v>0</v>
      </c>
      <c r="BL609" s="1368"/>
      <c r="BM609" s="3"/>
      <c r="BN609" s="1363">
        <f t="shared" si="5"/>
        <v>0</v>
      </c>
      <c r="BO609" s="1364"/>
      <c r="BP609" s="1364"/>
      <c r="BQ609" s="1364"/>
      <c r="BR609" s="1365"/>
      <c r="BS609" s="1369">
        <f t="shared" si="6"/>
        <v>0</v>
      </c>
      <c r="BT609" s="1369"/>
      <c r="BU609" s="1369"/>
      <c r="BV609" s="1369"/>
      <c r="BW609" s="1369"/>
      <c r="BX609" s="1369">
        <f t="shared" si="7"/>
        <v>0</v>
      </c>
      <c r="BY609" s="1369"/>
      <c r="BZ609" s="1369"/>
      <c r="CA609" s="1369"/>
      <c r="CB609" s="1369"/>
      <c r="CC609" s="1369">
        <f t="shared" si="8"/>
        <v>0</v>
      </c>
      <c r="CD609" s="1369"/>
      <c r="CE609" s="1369"/>
      <c r="CF609" s="1369"/>
      <c r="CG609" s="1369"/>
      <c r="CH609" s="1369">
        <f t="shared" si="9"/>
        <v>0</v>
      </c>
      <c r="CI609" s="1369"/>
      <c r="CJ609" s="1369"/>
      <c r="CK609" s="1369"/>
      <c r="CL609" s="1369"/>
      <c r="CM609" s="1369">
        <f t="shared" si="10"/>
        <v>0</v>
      </c>
      <c r="CN609" s="1369"/>
      <c r="CO609" s="1369"/>
      <c r="CP609" s="1369"/>
      <c r="CQ609" s="1369"/>
      <c r="CR609" s="279"/>
      <c r="CS609" s="1370">
        <f t="shared" si="11"/>
        <v>0</v>
      </c>
      <c r="CT609" s="1370"/>
      <c r="CU609" s="1370"/>
      <c r="CV609" s="1370"/>
      <c r="CW609" s="1370"/>
      <c r="CX609" s="1370">
        <f t="shared" si="12"/>
        <v>0</v>
      </c>
      <c r="CY609" s="1370"/>
      <c r="CZ609" s="1370"/>
      <c r="DA609" s="1370"/>
      <c r="DB609" s="1370"/>
      <c r="DC609" s="1370">
        <f t="shared" si="13"/>
        <v>0</v>
      </c>
      <c r="DD609" s="1370"/>
      <c r="DE609" s="1370"/>
      <c r="DF609" s="1370"/>
      <c r="DG609" s="1370"/>
      <c r="DH609" s="1370">
        <f t="shared" si="14"/>
        <v>0</v>
      </c>
      <c r="DI609" s="1370"/>
      <c r="DJ609" s="1370"/>
      <c r="DK609" s="1370"/>
      <c r="DL609" s="1370"/>
      <c r="DM609" s="1370">
        <f t="shared" si="15"/>
        <v>0</v>
      </c>
      <c r="DN609" s="1370"/>
      <c r="DO609" s="1370"/>
      <c r="DP609" s="1370"/>
      <c r="DQ609" s="1370"/>
      <c r="DR609" s="1370">
        <f t="shared" si="16"/>
        <v>0</v>
      </c>
      <c r="DS609" s="1370"/>
      <c r="DT609" s="1370"/>
      <c r="DU609" s="1370"/>
      <c r="DV609" s="1370"/>
      <c r="DX609" s="1366" t="str">
        <f t="shared" si="17"/>
        <v xml:space="preserve"> </v>
      </c>
      <c r="DY609" s="1367"/>
      <c r="DZ609" s="1367"/>
      <c r="EA609" s="1367"/>
      <c r="EB609" s="1368"/>
      <c r="EC609" s="1366" t="str">
        <f t="shared" si="18"/>
        <v xml:space="preserve"> </v>
      </c>
      <c r="ED609" s="1367"/>
      <c r="EE609" s="1367"/>
      <c r="EF609" s="1367"/>
      <c r="EG609" s="1368"/>
      <c r="EH609" s="1366" t="str">
        <f t="shared" si="19"/>
        <v xml:space="preserve"> </v>
      </c>
      <c r="EI609" s="1367"/>
      <c r="EJ609" s="1367"/>
      <c r="EK609" s="1367"/>
      <c r="EL609" s="1368"/>
      <c r="EM609" s="1366" t="str">
        <f t="shared" si="20"/>
        <v xml:space="preserve"> </v>
      </c>
      <c r="EN609" s="1367"/>
      <c r="EO609" s="1367"/>
      <c r="EP609" s="1367"/>
      <c r="EQ609" s="1368"/>
      <c r="ER609" s="1366" t="str">
        <f t="shared" si="21"/>
        <v xml:space="preserve"> </v>
      </c>
      <c r="ES609" s="1367"/>
      <c r="ET609" s="1367"/>
      <c r="EU609" s="1367"/>
      <c r="EV609" s="1368"/>
      <c r="EW609" s="1366" t="str">
        <f t="shared" si="22"/>
        <v xml:space="preserve"> </v>
      </c>
      <c r="EX609" s="1367"/>
      <c r="EY609" s="1367"/>
      <c r="EZ609" s="1367"/>
      <c r="FA609" s="1368"/>
    </row>
    <row r="610" spans="1:157" ht="12.95" customHeight="1">
      <c r="B610" t="s">
        <v>1501</v>
      </c>
      <c r="H610" s="1307"/>
      <c r="I610" s="1307"/>
      <c r="J610" s="1307"/>
      <c r="K610" s="1307"/>
      <c r="L610" s="1307"/>
      <c r="M610" s="1307"/>
      <c r="N610" s="1307"/>
      <c r="O610" s="1307"/>
      <c r="P610" s="1307"/>
      <c r="Q610" s="1307"/>
      <c r="R610" s="1307"/>
      <c r="U610" t="s">
        <v>1501</v>
      </c>
      <c r="AA610" s="1307"/>
      <c r="AB610" s="1307"/>
      <c r="AC610" s="1307"/>
      <c r="AD610" s="1307"/>
      <c r="AE610" s="1307"/>
      <c r="AF610" s="1307"/>
      <c r="AG610" s="1307"/>
      <c r="AH610" s="1307"/>
      <c r="AI610" s="1307"/>
      <c r="AJ610" s="1307"/>
      <c r="AK610" s="1307"/>
      <c r="AZ610" s="3"/>
      <c r="BA610" s="3"/>
      <c r="BB610" s="3"/>
      <c r="BC610" s="3"/>
      <c r="BD610" s="3"/>
      <c r="BE610" s="1366">
        <f t="shared" si="1"/>
        <v>0</v>
      </c>
      <c r="BF610" s="1368"/>
      <c r="BG610" s="1366">
        <f t="shared" si="2"/>
        <v>0</v>
      </c>
      <c r="BH610" s="1368"/>
      <c r="BI610" s="1366">
        <f t="shared" si="3"/>
        <v>0</v>
      </c>
      <c r="BJ610" s="1368"/>
      <c r="BK610" s="1366">
        <f t="shared" si="4"/>
        <v>0</v>
      </c>
      <c r="BL610" s="1368"/>
      <c r="BM610" s="3"/>
      <c r="BN610" s="1363">
        <f t="shared" si="5"/>
        <v>0</v>
      </c>
      <c r="BO610" s="1364"/>
      <c r="BP610" s="1364"/>
      <c r="BQ610" s="1364"/>
      <c r="BR610" s="1365"/>
      <c r="BS610" s="1369">
        <f t="shared" si="6"/>
        <v>0</v>
      </c>
      <c r="BT610" s="1369"/>
      <c r="BU610" s="1369"/>
      <c r="BV610" s="1369"/>
      <c r="BW610" s="1369"/>
      <c r="BX610" s="1369">
        <f t="shared" si="7"/>
        <v>0</v>
      </c>
      <c r="BY610" s="1369"/>
      <c r="BZ610" s="1369"/>
      <c r="CA610" s="1369"/>
      <c r="CB610" s="1369"/>
      <c r="CC610" s="1369">
        <f t="shared" si="8"/>
        <v>0</v>
      </c>
      <c r="CD610" s="1369"/>
      <c r="CE610" s="1369"/>
      <c r="CF610" s="1369"/>
      <c r="CG610" s="1369"/>
      <c r="CH610" s="1369">
        <f t="shared" si="9"/>
        <v>0</v>
      </c>
      <c r="CI610" s="1369"/>
      <c r="CJ610" s="1369"/>
      <c r="CK610" s="1369"/>
      <c r="CL610" s="1369"/>
      <c r="CM610" s="1369">
        <f t="shared" si="10"/>
        <v>0</v>
      </c>
      <c r="CN610" s="1369"/>
      <c r="CO610" s="1369"/>
      <c r="CP610" s="1369"/>
      <c r="CQ610" s="1369"/>
      <c r="CR610" s="279"/>
      <c r="CS610" s="1370">
        <f t="shared" si="11"/>
        <v>0</v>
      </c>
      <c r="CT610" s="1370"/>
      <c r="CU610" s="1370"/>
      <c r="CV610" s="1370"/>
      <c r="CW610" s="1370"/>
      <c r="CX610" s="1370">
        <f t="shared" si="12"/>
        <v>0</v>
      </c>
      <c r="CY610" s="1370"/>
      <c r="CZ610" s="1370"/>
      <c r="DA610" s="1370"/>
      <c r="DB610" s="1370"/>
      <c r="DC610" s="1370">
        <f t="shared" si="13"/>
        <v>0</v>
      </c>
      <c r="DD610" s="1370"/>
      <c r="DE610" s="1370"/>
      <c r="DF610" s="1370"/>
      <c r="DG610" s="1370"/>
      <c r="DH610" s="1370">
        <f t="shared" si="14"/>
        <v>0</v>
      </c>
      <c r="DI610" s="1370"/>
      <c r="DJ610" s="1370"/>
      <c r="DK610" s="1370"/>
      <c r="DL610" s="1370"/>
      <c r="DM610" s="1370">
        <f t="shared" si="15"/>
        <v>0</v>
      </c>
      <c r="DN610" s="1370"/>
      <c r="DO610" s="1370"/>
      <c r="DP610" s="1370"/>
      <c r="DQ610" s="1370"/>
      <c r="DR610" s="1370">
        <f t="shared" si="16"/>
        <v>0</v>
      </c>
      <c r="DS610" s="1370"/>
      <c r="DT610" s="1370"/>
      <c r="DU610" s="1370"/>
      <c r="DV610" s="1370"/>
      <c r="DX610" s="1366" t="str">
        <f t="shared" si="17"/>
        <v xml:space="preserve"> </v>
      </c>
      <c r="DY610" s="1367"/>
      <c r="DZ610" s="1367"/>
      <c r="EA610" s="1367"/>
      <c r="EB610" s="1368"/>
      <c r="EC610" s="1366" t="str">
        <f t="shared" si="18"/>
        <v xml:space="preserve"> </v>
      </c>
      <c r="ED610" s="1367"/>
      <c r="EE610" s="1367"/>
      <c r="EF610" s="1367"/>
      <c r="EG610" s="1368"/>
      <c r="EH610" s="1366" t="str">
        <f t="shared" si="19"/>
        <v xml:space="preserve"> </v>
      </c>
      <c r="EI610" s="1367"/>
      <c r="EJ610" s="1367"/>
      <c r="EK610" s="1367"/>
      <c r="EL610" s="1368"/>
      <c r="EM610" s="1366" t="str">
        <f t="shared" si="20"/>
        <v xml:space="preserve"> </v>
      </c>
      <c r="EN610" s="1367"/>
      <c r="EO610" s="1367"/>
      <c r="EP610" s="1367"/>
      <c r="EQ610" s="1368"/>
      <c r="ER610" s="1366" t="str">
        <f t="shared" si="21"/>
        <v xml:space="preserve"> </v>
      </c>
      <c r="ES610" s="1367"/>
      <c r="ET610" s="1367"/>
      <c r="EU610" s="1367"/>
      <c r="EV610" s="1368"/>
      <c r="EW610" s="1366" t="str">
        <f t="shared" si="22"/>
        <v xml:space="preserve"> </v>
      </c>
      <c r="EX610" s="1367"/>
      <c r="EY610" s="1367"/>
      <c r="EZ610" s="1367"/>
      <c r="FA610" s="1368"/>
    </row>
    <row r="611" spans="1:157" ht="12.95" customHeight="1">
      <c r="B611" t="s">
        <v>1503</v>
      </c>
      <c r="N611" s="1308" t="s">
        <v>837</v>
      </c>
      <c r="O611" s="1308"/>
      <c r="U611" t="s">
        <v>1503</v>
      </c>
      <c r="AG611" s="1308" t="s">
        <v>837</v>
      </c>
      <c r="AH611" s="1308"/>
      <c r="AZ611" s="3"/>
      <c r="BA611" s="3"/>
      <c r="BB611" s="3"/>
      <c r="BC611" s="3"/>
      <c r="BD611" s="3"/>
      <c r="BE611" s="1366">
        <f t="shared" si="1"/>
        <v>0</v>
      </c>
      <c r="BF611" s="1368"/>
      <c r="BG611" s="1366">
        <f t="shared" si="2"/>
        <v>0</v>
      </c>
      <c r="BH611" s="1368"/>
      <c r="BI611" s="1366">
        <f t="shared" si="3"/>
        <v>0</v>
      </c>
      <c r="BJ611" s="1368"/>
      <c r="BK611" s="1366">
        <f t="shared" si="4"/>
        <v>0</v>
      </c>
      <c r="BL611" s="1368"/>
      <c r="BM611" s="3"/>
      <c r="BN611" s="1363">
        <f t="shared" si="5"/>
        <v>0</v>
      </c>
      <c r="BO611" s="1364"/>
      <c r="BP611" s="1364"/>
      <c r="BQ611" s="1364"/>
      <c r="BR611" s="1365"/>
      <c r="BS611" s="1369">
        <f t="shared" si="6"/>
        <v>0</v>
      </c>
      <c r="BT611" s="1369"/>
      <c r="BU611" s="1369"/>
      <c r="BV611" s="1369"/>
      <c r="BW611" s="1369"/>
      <c r="BX611" s="1369">
        <f t="shared" si="7"/>
        <v>0</v>
      </c>
      <c r="BY611" s="1369"/>
      <c r="BZ611" s="1369"/>
      <c r="CA611" s="1369"/>
      <c r="CB611" s="1369"/>
      <c r="CC611" s="1369">
        <f t="shared" si="8"/>
        <v>0</v>
      </c>
      <c r="CD611" s="1369"/>
      <c r="CE611" s="1369"/>
      <c r="CF611" s="1369"/>
      <c r="CG611" s="1369"/>
      <c r="CH611" s="1369">
        <f t="shared" si="9"/>
        <v>0</v>
      </c>
      <c r="CI611" s="1369"/>
      <c r="CJ611" s="1369"/>
      <c r="CK611" s="1369"/>
      <c r="CL611" s="1369"/>
      <c r="CM611" s="1369">
        <f t="shared" si="10"/>
        <v>0</v>
      </c>
      <c r="CN611" s="1369"/>
      <c r="CO611" s="1369"/>
      <c r="CP611" s="1369"/>
      <c r="CQ611" s="1369"/>
      <c r="CR611" s="279"/>
      <c r="CS611" s="1370">
        <f t="shared" si="11"/>
        <v>0</v>
      </c>
      <c r="CT611" s="1370"/>
      <c r="CU611" s="1370"/>
      <c r="CV611" s="1370"/>
      <c r="CW611" s="1370"/>
      <c r="CX611" s="1370">
        <f t="shared" si="12"/>
        <v>0</v>
      </c>
      <c r="CY611" s="1370"/>
      <c r="CZ611" s="1370"/>
      <c r="DA611" s="1370"/>
      <c r="DB611" s="1370"/>
      <c r="DC611" s="1370">
        <f t="shared" si="13"/>
        <v>0</v>
      </c>
      <c r="DD611" s="1370"/>
      <c r="DE611" s="1370"/>
      <c r="DF611" s="1370"/>
      <c r="DG611" s="1370"/>
      <c r="DH611" s="1370">
        <f t="shared" si="14"/>
        <v>0</v>
      </c>
      <c r="DI611" s="1370"/>
      <c r="DJ611" s="1370"/>
      <c r="DK611" s="1370"/>
      <c r="DL611" s="1370"/>
      <c r="DM611" s="1370">
        <f t="shared" si="15"/>
        <v>0</v>
      </c>
      <c r="DN611" s="1370"/>
      <c r="DO611" s="1370"/>
      <c r="DP611" s="1370"/>
      <c r="DQ611" s="1370"/>
      <c r="DR611" s="1370">
        <f t="shared" si="16"/>
        <v>0</v>
      </c>
      <c r="DS611" s="1370"/>
      <c r="DT611" s="1370"/>
      <c r="DU611" s="1370"/>
      <c r="DV611" s="1370"/>
      <c r="DX611" s="1366" t="str">
        <f t="shared" si="17"/>
        <v xml:space="preserve"> </v>
      </c>
      <c r="DY611" s="1367"/>
      <c r="DZ611" s="1367"/>
      <c r="EA611" s="1367"/>
      <c r="EB611" s="1368"/>
      <c r="EC611" s="1366" t="str">
        <f t="shared" si="18"/>
        <v xml:space="preserve"> </v>
      </c>
      <c r="ED611" s="1367"/>
      <c r="EE611" s="1367"/>
      <c r="EF611" s="1367"/>
      <c r="EG611" s="1368"/>
      <c r="EH611" s="1366" t="str">
        <f t="shared" si="19"/>
        <v xml:space="preserve"> </v>
      </c>
      <c r="EI611" s="1367"/>
      <c r="EJ611" s="1367"/>
      <c r="EK611" s="1367"/>
      <c r="EL611" s="1368"/>
      <c r="EM611" s="1366" t="str">
        <f t="shared" si="20"/>
        <v xml:space="preserve"> </v>
      </c>
      <c r="EN611" s="1367"/>
      <c r="EO611" s="1367"/>
      <c r="EP611" s="1367"/>
      <c r="EQ611" s="1368"/>
      <c r="ER611" s="1366" t="str">
        <f t="shared" si="21"/>
        <v xml:space="preserve"> </v>
      </c>
      <c r="ES611" s="1367"/>
      <c r="ET611" s="1367"/>
      <c r="EU611" s="1367"/>
      <c r="EV611" s="1368"/>
      <c r="EW611" s="1366" t="str">
        <f t="shared" si="22"/>
        <v xml:space="preserve"> </v>
      </c>
      <c r="EX611" s="1367"/>
      <c r="EY611" s="1367"/>
      <c r="EZ611" s="1367"/>
      <c r="FA611" s="1368"/>
    </row>
    <row r="612" spans="1:157" ht="12.95" customHeight="1">
      <c r="AZ612" s="3"/>
      <c r="BA612" s="3"/>
      <c r="BB612" s="3"/>
      <c r="BC612" s="3"/>
      <c r="BD612" s="3"/>
      <c r="BE612" s="1366">
        <f t="shared" si="1"/>
        <v>0</v>
      </c>
      <c r="BF612" s="1368"/>
      <c r="BG612" s="1366">
        <f t="shared" si="2"/>
        <v>0</v>
      </c>
      <c r="BH612" s="1368"/>
      <c r="BI612" s="1366">
        <f t="shared" si="3"/>
        <v>0</v>
      </c>
      <c r="BJ612" s="1368"/>
      <c r="BK612" s="1366">
        <f t="shared" si="4"/>
        <v>0</v>
      </c>
      <c r="BL612" s="1368"/>
      <c r="BM612" s="3"/>
      <c r="BN612" s="1363">
        <f t="shared" si="5"/>
        <v>0</v>
      </c>
      <c r="BO612" s="1364"/>
      <c r="BP612" s="1364"/>
      <c r="BQ612" s="1364"/>
      <c r="BR612" s="1365"/>
      <c r="BS612" s="1369">
        <f t="shared" si="6"/>
        <v>0</v>
      </c>
      <c r="BT612" s="1369"/>
      <c r="BU612" s="1369"/>
      <c r="BV612" s="1369"/>
      <c r="BW612" s="1369"/>
      <c r="BX612" s="1369">
        <f t="shared" si="7"/>
        <v>0</v>
      </c>
      <c r="BY612" s="1369"/>
      <c r="BZ612" s="1369"/>
      <c r="CA612" s="1369"/>
      <c r="CB612" s="1369"/>
      <c r="CC612" s="1369">
        <f t="shared" si="8"/>
        <v>0</v>
      </c>
      <c r="CD612" s="1369"/>
      <c r="CE612" s="1369"/>
      <c r="CF612" s="1369"/>
      <c r="CG612" s="1369"/>
      <c r="CH612" s="1369">
        <f t="shared" si="9"/>
        <v>0</v>
      </c>
      <c r="CI612" s="1369"/>
      <c r="CJ612" s="1369"/>
      <c r="CK612" s="1369"/>
      <c r="CL612" s="1369"/>
      <c r="CM612" s="1369">
        <f t="shared" si="10"/>
        <v>0</v>
      </c>
      <c r="CN612" s="1369"/>
      <c r="CO612" s="1369"/>
      <c r="CP612" s="1369"/>
      <c r="CQ612" s="1369"/>
      <c r="CR612" s="279"/>
      <c r="CS612" s="1370">
        <f t="shared" si="11"/>
        <v>0</v>
      </c>
      <c r="CT612" s="1370"/>
      <c r="CU612" s="1370"/>
      <c r="CV612" s="1370"/>
      <c r="CW612" s="1370"/>
      <c r="CX612" s="1370">
        <f t="shared" si="12"/>
        <v>0</v>
      </c>
      <c r="CY612" s="1370"/>
      <c r="CZ612" s="1370"/>
      <c r="DA612" s="1370"/>
      <c r="DB612" s="1370"/>
      <c r="DC612" s="1370">
        <f t="shared" si="13"/>
        <v>0</v>
      </c>
      <c r="DD612" s="1370"/>
      <c r="DE612" s="1370"/>
      <c r="DF612" s="1370"/>
      <c r="DG612" s="1370"/>
      <c r="DH612" s="1370">
        <f t="shared" si="14"/>
        <v>0</v>
      </c>
      <c r="DI612" s="1370"/>
      <c r="DJ612" s="1370"/>
      <c r="DK612" s="1370"/>
      <c r="DL612" s="1370"/>
      <c r="DM612" s="1370">
        <f t="shared" si="15"/>
        <v>0</v>
      </c>
      <c r="DN612" s="1370"/>
      <c r="DO612" s="1370"/>
      <c r="DP612" s="1370"/>
      <c r="DQ612" s="1370"/>
      <c r="DR612" s="1370">
        <f t="shared" si="16"/>
        <v>0</v>
      </c>
      <c r="DS612" s="1370"/>
      <c r="DT612" s="1370"/>
      <c r="DU612" s="1370"/>
      <c r="DV612" s="1370"/>
      <c r="DX612" s="1366" t="str">
        <f t="shared" si="17"/>
        <v xml:space="preserve"> </v>
      </c>
      <c r="DY612" s="1367"/>
      <c r="DZ612" s="1367"/>
      <c r="EA612" s="1367"/>
      <c r="EB612" s="1368"/>
      <c r="EC612" s="1366" t="str">
        <f t="shared" si="18"/>
        <v xml:space="preserve"> </v>
      </c>
      <c r="ED612" s="1367"/>
      <c r="EE612" s="1367"/>
      <c r="EF612" s="1367"/>
      <c r="EG612" s="1368"/>
      <c r="EH612" s="1366" t="str">
        <f t="shared" si="19"/>
        <v xml:space="preserve"> </v>
      </c>
      <c r="EI612" s="1367"/>
      <c r="EJ612" s="1367"/>
      <c r="EK612" s="1367"/>
      <c r="EL612" s="1368"/>
      <c r="EM612" s="1366" t="str">
        <f t="shared" si="20"/>
        <v xml:space="preserve"> </v>
      </c>
      <c r="EN612" s="1367"/>
      <c r="EO612" s="1367"/>
      <c r="EP612" s="1367"/>
      <c r="EQ612" s="1368"/>
      <c r="ER612" s="1366" t="str">
        <f t="shared" si="21"/>
        <v xml:space="preserve"> </v>
      </c>
      <c r="ES612" s="1367"/>
      <c r="ET612" s="1367"/>
      <c r="EU612" s="1367"/>
      <c r="EV612" s="1368"/>
      <c r="EW612" s="1366" t="str">
        <f t="shared" si="22"/>
        <v xml:space="preserve"> </v>
      </c>
      <c r="EX612" s="1367"/>
      <c r="EY612" s="1367"/>
      <c r="EZ612" s="1367"/>
      <c r="FA612" s="1368"/>
    </row>
    <row r="613" spans="1:157" ht="12.95" customHeight="1">
      <c r="A613" s="1217" t="s">
        <v>1521</v>
      </c>
      <c r="B613" s="1217"/>
      <c r="C613" s="1217"/>
      <c r="D613" s="1217"/>
      <c r="E613" s="1217"/>
      <c r="F613" s="1217"/>
      <c r="G613" s="1217"/>
      <c r="H613" s="1217"/>
      <c r="I613" s="1217"/>
      <c r="J613" s="1217"/>
      <c r="K613" s="1217"/>
      <c r="L613" s="1217"/>
      <c r="M613" s="1217"/>
      <c r="N613" s="1217"/>
      <c r="O613" s="1217"/>
      <c r="P613" s="1217"/>
      <c r="Q613" s="1217"/>
      <c r="R613" s="1217"/>
      <c r="S613" s="1217"/>
      <c r="T613" s="1217"/>
      <c r="U613" s="1217"/>
      <c r="V613" s="1217"/>
      <c r="W613" s="1217"/>
      <c r="X613" s="1217"/>
      <c r="Y613" s="1217"/>
      <c r="Z613" s="1217"/>
      <c r="AA613" s="1217"/>
      <c r="AB613" s="1217"/>
      <c r="AC613" s="1217"/>
      <c r="AD613" s="1217"/>
      <c r="AE613" s="1217"/>
      <c r="AF613" s="1217"/>
      <c r="AG613" s="1217"/>
      <c r="AH613" s="1217"/>
      <c r="AI613" s="1217"/>
      <c r="AJ613" s="1217"/>
      <c r="AK613" s="1217"/>
      <c r="AL613" s="1217"/>
      <c r="AM613" s="1217"/>
      <c r="AN613" s="1217"/>
      <c r="AO613" s="1217"/>
      <c r="AP613" s="1217"/>
      <c r="AQ613" s="1217"/>
      <c r="AR613" s="1217"/>
      <c r="AS613" s="1217"/>
      <c r="AT613" s="822"/>
      <c r="AU613" s="822"/>
      <c r="AV613" s="822"/>
      <c r="AW613" s="822"/>
      <c r="AX613" s="822"/>
      <c r="AY613" s="822"/>
      <c r="AZ613" s="3"/>
      <c r="BA613" s="3"/>
      <c r="BB613" s="3"/>
      <c r="BC613" s="3"/>
      <c r="BD613" s="3"/>
      <c r="BE613" s="1366">
        <f t="shared" si="1"/>
        <v>0</v>
      </c>
      <c r="BF613" s="1368"/>
      <c r="BG613" s="1366">
        <f t="shared" si="2"/>
        <v>0</v>
      </c>
      <c r="BH613" s="1368"/>
      <c r="BI613" s="1366">
        <f t="shared" si="3"/>
        <v>0</v>
      </c>
      <c r="BJ613" s="1368"/>
      <c r="BK613" s="1366">
        <f t="shared" si="4"/>
        <v>0</v>
      </c>
      <c r="BL613" s="1368"/>
      <c r="BM613" s="3"/>
      <c r="BN613" s="1363">
        <f t="shared" si="5"/>
        <v>0</v>
      </c>
      <c r="BO613" s="1364"/>
      <c r="BP613" s="1364"/>
      <c r="BQ613" s="1364"/>
      <c r="BR613" s="1365"/>
      <c r="BS613" s="1369">
        <f t="shared" si="6"/>
        <v>0</v>
      </c>
      <c r="BT613" s="1369"/>
      <c r="BU613" s="1369"/>
      <c r="BV613" s="1369"/>
      <c r="BW613" s="1369"/>
      <c r="BX613" s="1369">
        <f t="shared" si="7"/>
        <v>0</v>
      </c>
      <c r="BY613" s="1369"/>
      <c r="BZ613" s="1369"/>
      <c r="CA613" s="1369"/>
      <c r="CB613" s="1369"/>
      <c r="CC613" s="1369">
        <f t="shared" si="8"/>
        <v>0</v>
      </c>
      <c r="CD613" s="1369"/>
      <c r="CE613" s="1369"/>
      <c r="CF613" s="1369"/>
      <c r="CG613" s="1369"/>
      <c r="CH613" s="1369">
        <f t="shared" si="9"/>
        <v>0</v>
      </c>
      <c r="CI613" s="1369"/>
      <c r="CJ613" s="1369"/>
      <c r="CK613" s="1369"/>
      <c r="CL613" s="1369"/>
      <c r="CM613" s="1369">
        <f t="shared" si="10"/>
        <v>0</v>
      </c>
      <c r="CN613" s="1369"/>
      <c r="CO613" s="1369"/>
      <c r="CP613" s="1369"/>
      <c r="CQ613" s="1369"/>
      <c r="CR613" s="279"/>
      <c r="CS613" s="1370">
        <f t="shared" si="11"/>
        <v>0</v>
      </c>
      <c r="CT613" s="1370"/>
      <c r="CU613" s="1370"/>
      <c r="CV613" s="1370"/>
      <c r="CW613" s="1370"/>
      <c r="CX613" s="1370">
        <f t="shared" si="12"/>
        <v>0</v>
      </c>
      <c r="CY613" s="1370"/>
      <c r="CZ613" s="1370"/>
      <c r="DA613" s="1370"/>
      <c r="DB613" s="1370"/>
      <c r="DC613" s="1370">
        <f t="shared" si="13"/>
        <v>0</v>
      </c>
      <c r="DD613" s="1370"/>
      <c r="DE613" s="1370"/>
      <c r="DF613" s="1370"/>
      <c r="DG613" s="1370"/>
      <c r="DH613" s="1370">
        <f t="shared" si="14"/>
        <v>0</v>
      </c>
      <c r="DI613" s="1370"/>
      <c r="DJ613" s="1370"/>
      <c r="DK613" s="1370"/>
      <c r="DL613" s="1370"/>
      <c r="DM613" s="1370">
        <f t="shared" si="15"/>
        <v>0</v>
      </c>
      <c r="DN613" s="1370"/>
      <c r="DO613" s="1370"/>
      <c r="DP613" s="1370"/>
      <c r="DQ613" s="1370"/>
      <c r="DR613" s="1370">
        <f t="shared" si="16"/>
        <v>0</v>
      </c>
      <c r="DS613" s="1370"/>
      <c r="DT613" s="1370"/>
      <c r="DU613" s="1370"/>
      <c r="DV613" s="1370"/>
      <c r="DX613" s="1366" t="str">
        <f t="shared" si="17"/>
        <v xml:space="preserve"> </v>
      </c>
      <c r="DY613" s="1367"/>
      <c r="DZ613" s="1367"/>
      <c r="EA613" s="1367"/>
      <c r="EB613" s="1368"/>
      <c r="EC613" s="1366" t="str">
        <f t="shared" si="18"/>
        <v xml:space="preserve"> </v>
      </c>
      <c r="ED613" s="1367"/>
      <c r="EE613" s="1367"/>
      <c r="EF613" s="1367"/>
      <c r="EG613" s="1368"/>
      <c r="EH613" s="1366" t="str">
        <f t="shared" si="19"/>
        <v xml:space="preserve"> </v>
      </c>
      <c r="EI613" s="1367"/>
      <c r="EJ613" s="1367"/>
      <c r="EK613" s="1367"/>
      <c r="EL613" s="1368"/>
      <c r="EM613" s="1366" t="str">
        <f t="shared" si="20"/>
        <v xml:space="preserve"> </v>
      </c>
      <c r="EN613" s="1367"/>
      <c r="EO613" s="1367"/>
      <c r="EP613" s="1367"/>
      <c r="EQ613" s="1368"/>
      <c r="ER613" s="1366" t="str">
        <f t="shared" si="21"/>
        <v xml:space="preserve"> </v>
      </c>
      <c r="ES613" s="1367"/>
      <c r="ET613" s="1367"/>
      <c r="EU613" s="1367"/>
      <c r="EV613" s="1368"/>
      <c r="EW613" s="1366" t="str">
        <f t="shared" si="22"/>
        <v xml:space="preserve"> </v>
      </c>
      <c r="EX613" s="1367"/>
      <c r="EY613" s="1367"/>
      <c r="EZ613" s="1367"/>
      <c r="FA613" s="1368"/>
    </row>
    <row r="614" spans="1:157" ht="12.95" customHeight="1">
      <c r="A614" s="1217"/>
      <c r="B614" s="1217"/>
      <c r="C614" s="1217"/>
      <c r="D614" s="1217"/>
      <c r="E614" s="1217"/>
      <c r="F614" s="1217"/>
      <c r="G614" s="1217"/>
      <c r="H614" s="1217"/>
      <c r="I614" s="1217"/>
      <c r="J614" s="1217"/>
      <c r="K614" s="1217"/>
      <c r="L614" s="1217"/>
      <c r="M614" s="1217"/>
      <c r="N614" s="1217"/>
      <c r="O614" s="1217"/>
      <c r="P614" s="1217"/>
      <c r="Q614" s="1217"/>
      <c r="R614" s="1217"/>
      <c r="S614" s="1217"/>
      <c r="T614" s="1217"/>
      <c r="U614" s="1217"/>
      <c r="V614" s="1217"/>
      <c r="W614" s="1217"/>
      <c r="X614" s="1217"/>
      <c r="Y614" s="1217"/>
      <c r="Z614" s="1217"/>
      <c r="AA614" s="1217"/>
      <c r="AB614" s="1217"/>
      <c r="AC614" s="1217"/>
      <c r="AD614" s="1217"/>
      <c r="AE614" s="1217"/>
      <c r="AF614" s="1217"/>
      <c r="AG614" s="1217"/>
      <c r="AH614" s="1217"/>
      <c r="AI614" s="1217"/>
      <c r="AJ614" s="1217"/>
      <c r="AK614" s="1217"/>
      <c r="AL614" s="1217"/>
      <c r="AM614" s="1217"/>
      <c r="AN614" s="1217"/>
      <c r="AO614" s="1217"/>
      <c r="AP614" s="1217"/>
      <c r="AQ614" s="1217"/>
      <c r="AR614" s="1217"/>
      <c r="AS614" s="1217"/>
      <c r="AT614" s="822"/>
      <c r="AU614" s="822"/>
      <c r="AV614" s="822"/>
      <c r="AW614" s="822"/>
      <c r="AX614" s="822"/>
      <c r="AY614" s="822"/>
      <c r="AZ614" s="3"/>
      <c r="BA614" s="3"/>
      <c r="BB614" s="3"/>
      <c r="BC614" s="3"/>
      <c r="BD614" s="3"/>
      <c r="BE614" s="1366">
        <f t="shared" si="1"/>
        <v>0</v>
      </c>
      <c r="BF614" s="1368"/>
      <c r="BG614" s="1366">
        <f t="shared" si="2"/>
        <v>0</v>
      </c>
      <c r="BH614" s="1368"/>
      <c r="BI614" s="1366">
        <f t="shared" si="3"/>
        <v>0</v>
      </c>
      <c r="BJ614" s="1368"/>
      <c r="BK614" s="1366">
        <f t="shared" si="4"/>
        <v>0</v>
      </c>
      <c r="BL614" s="1368"/>
      <c r="BM614" s="3"/>
      <c r="BN614" s="1363">
        <f t="shared" si="5"/>
        <v>0</v>
      </c>
      <c r="BO614" s="1364"/>
      <c r="BP614" s="1364"/>
      <c r="BQ614" s="1364"/>
      <c r="BR614" s="1365"/>
      <c r="BS614" s="1369">
        <f t="shared" si="6"/>
        <v>0</v>
      </c>
      <c r="BT614" s="1369"/>
      <c r="BU614" s="1369"/>
      <c r="BV614" s="1369"/>
      <c r="BW614" s="1369"/>
      <c r="BX614" s="1369">
        <f t="shared" si="7"/>
        <v>0</v>
      </c>
      <c r="BY614" s="1369"/>
      <c r="BZ614" s="1369"/>
      <c r="CA614" s="1369"/>
      <c r="CB614" s="1369"/>
      <c r="CC614" s="1369">
        <f t="shared" si="8"/>
        <v>0</v>
      </c>
      <c r="CD614" s="1369"/>
      <c r="CE614" s="1369"/>
      <c r="CF614" s="1369"/>
      <c r="CG614" s="1369"/>
      <c r="CH614" s="1369">
        <f t="shared" si="9"/>
        <v>0</v>
      </c>
      <c r="CI614" s="1369"/>
      <c r="CJ614" s="1369"/>
      <c r="CK614" s="1369"/>
      <c r="CL614" s="1369"/>
      <c r="CM614" s="1369">
        <f t="shared" si="10"/>
        <v>0</v>
      </c>
      <c r="CN614" s="1369"/>
      <c r="CO614" s="1369"/>
      <c r="CP614" s="1369"/>
      <c r="CQ614" s="1369"/>
      <c r="CR614" s="279"/>
      <c r="CS614" s="1370">
        <f t="shared" si="11"/>
        <v>0</v>
      </c>
      <c r="CT614" s="1370"/>
      <c r="CU614" s="1370"/>
      <c r="CV614" s="1370"/>
      <c r="CW614" s="1370"/>
      <c r="CX614" s="1370">
        <f t="shared" si="12"/>
        <v>0</v>
      </c>
      <c r="CY614" s="1370"/>
      <c r="CZ614" s="1370"/>
      <c r="DA614" s="1370"/>
      <c r="DB614" s="1370"/>
      <c r="DC614" s="1370">
        <f t="shared" si="13"/>
        <v>0</v>
      </c>
      <c r="DD614" s="1370"/>
      <c r="DE614" s="1370"/>
      <c r="DF614" s="1370"/>
      <c r="DG614" s="1370"/>
      <c r="DH614" s="1370">
        <f t="shared" si="14"/>
        <v>0</v>
      </c>
      <c r="DI614" s="1370"/>
      <c r="DJ614" s="1370"/>
      <c r="DK614" s="1370"/>
      <c r="DL614" s="1370"/>
      <c r="DM614" s="1370">
        <f t="shared" si="15"/>
        <v>0</v>
      </c>
      <c r="DN614" s="1370"/>
      <c r="DO614" s="1370"/>
      <c r="DP614" s="1370"/>
      <c r="DQ614" s="1370"/>
      <c r="DR614" s="1370">
        <f t="shared" si="16"/>
        <v>0</v>
      </c>
      <c r="DS614" s="1370"/>
      <c r="DT614" s="1370"/>
      <c r="DU614" s="1370"/>
      <c r="DV614" s="1370"/>
      <c r="DX614" s="1366" t="str">
        <f t="shared" si="17"/>
        <v xml:space="preserve"> </v>
      </c>
      <c r="DY614" s="1367"/>
      <c r="DZ614" s="1367"/>
      <c r="EA614" s="1367"/>
      <c r="EB614" s="1368"/>
      <c r="EC614" s="1366" t="str">
        <f t="shared" si="18"/>
        <v xml:space="preserve"> </v>
      </c>
      <c r="ED614" s="1367"/>
      <c r="EE614" s="1367"/>
      <c r="EF614" s="1367"/>
      <c r="EG614" s="1368"/>
      <c r="EH614" s="1366" t="str">
        <f t="shared" si="19"/>
        <v xml:space="preserve"> </v>
      </c>
      <c r="EI614" s="1367"/>
      <c r="EJ614" s="1367"/>
      <c r="EK614" s="1367"/>
      <c r="EL614" s="1368"/>
      <c r="EM614" s="1366" t="str">
        <f t="shared" si="20"/>
        <v xml:space="preserve"> </v>
      </c>
      <c r="EN614" s="1367"/>
      <c r="EO614" s="1367"/>
      <c r="EP614" s="1367"/>
      <c r="EQ614" s="1368"/>
      <c r="ER614" s="1366" t="str">
        <f t="shared" si="21"/>
        <v xml:space="preserve"> </v>
      </c>
      <c r="ES614" s="1367"/>
      <c r="ET614" s="1367"/>
      <c r="EU614" s="1367"/>
      <c r="EV614" s="1368"/>
      <c r="EW614" s="1366" t="str">
        <f t="shared" si="22"/>
        <v xml:space="preserve"> </v>
      </c>
      <c r="EX614" s="1367"/>
      <c r="EY614" s="1367"/>
      <c r="EZ614" s="1367"/>
      <c r="FA614" s="1368"/>
    </row>
    <row r="615" spans="1:157" ht="12.95" customHeight="1">
      <c r="AZ615" s="3"/>
      <c r="BA615" s="3"/>
      <c r="BB615" s="3"/>
      <c r="BC615" s="3"/>
      <c r="BD615" s="3"/>
      <c r="BE615" s="1366">
        <f t="shared" si="1"/>
        <v>0</v>
      </c>
      <c r="BF615" s="1368"/>
      <c r="BG615" s="1366">
        <f t="shared" si="2"/>
        <v>0</v>
      </c>
      <c r="BH615" s="1368"/>
      <c r="BI615" s="1366">
        <f t="shared" si="3"/>
        <v>0</v>
      </c>
      <c r="BJ615" s="1368"/>
      <c r="BK615" s="1366">
        <f t="shared" si="4"/>
        <v>0</v>
      </c>
      <c r="BL615" s="1368"/>
      <c r="BM615" s="3"/>
      <c r="BN615" s="1363">
        <f t="shared" si="5"/>
        <v>0</v>
      </c>
      <c r="BO615" s="1364"/>
      <c r="BP615" s="1364"/>
      <c r="BQ615" s="1364"/>
      <c r="BR615" s="1365"/>
      <c r="BS615" s="1369">
        <f t="shared" si="6"/>
        <v>0</v>
      </c>
      <c r="BT615" s="1369"/>
      <c r="BU615" s="1369"/>
      <c r="BV615" s="1369"/>
      <c r="BW615" s="1369"/>
      <c r="BX615" s="1369">
        <f t="shared" si="7"/>
        <v>0</v>
      </c>
      <c r="BY615" s="1369"/>
      <c r="BZ615" s="1369"/>
      <c r="CA615" s="1369"/>
      <c r="CB615" s="1369"/>
      <c r="CC615" s="1369">
        <f t="shared" si="8"/>
        <v>0</v>
      </c>
      <c r="CD615" s="1369"/>
      <c r="CE615" s="1369"/>
      <c r="CF615" s="1369"/>
      <c r="CG615" s="1369"/>
      <c r="CH615" s="1369">
        <f t="shared" si="9"/>
        <v>0</v>
      </c>
      <c r="CI615" s="1369"/>
      <c r="CJ615" s="1369"/>
      <c r="CK615" s="1369"/>
      <c r="CL615" s="1369"/>
      <c r="CM615" s="1369">
        <f t="shared" si="10"/>
        <v>0</v>
      </c>
      <c r="CN615" s="1369"/>
      <c r="CO615" s="1369"/>
      <c r="CP615" s="1369"/>
      <c r="CQ615" s="1369"/>
      <c r="CR615" s="279"/>
      <c r="CS615" s="1370">
        <f t="shared" si="11"/>
        <v>0</v>
      </c>
      <c r="CT615" s="1370"/>
      <c r="CU615" s="1370"/>
      <c r="CV615" s="1370"/>
      <c r="CW615" s="1370"/>
      <c r="CX615" s="1370">
        <f t="shared" si="12"/>
        <v>0</v>
      </c>
      <c r="CY615" s="1370"/>
      <c r="CZ615" s="1370"/>
      <c r="DA615" s="1370"/>
      <c r="DB615" s="1370"/>
      <c r="DC615" s="1370">
        <f t="shared" si="13"/>
        <v>0</v>
      </c>
      <c r="DD615" s="1370"/>
      <c r="DE615" s="1370"/>
      <c r="DF615" s="1370"/>
      <c r="DG615" s="1370"/>
      <c r="DH615" s="1370">
        <f t="shared" si="14"/>
        <v>0</v>
      </c>
      <c r="DI615" s="1370"/>
      <c r="DJ615" s="1370"/>
      <c r="DK615" s="1370"/>
      <c r="DL615" s="1370"/>
      <c r="DM615" s="1370">
        <f t="shared" si="15"/>
        <v>0</v>
      </c>
      <c r="DN615" s="1370"/>
      <c r="DO615" s="1370"/>
      <c r="DP615" s="1370"/>
      <c r="DQ615" s="1370"/>
      <c r="DR615" s="1370">
        <f t="shared" si="16"/>
        <v>0</v>
      </c>
      <c r="DS615" s="1370"/>
      <c r="DT615" s="1370"/>
      <c r="DU615" s="1370"/>
      <c r="DV615" s="1370"/>
      <c r="DX615" s="1366" t="str">
        <f t="shared" si="17"/>
        <v xml:space="preserve"> </v>
      </c>
      <c r="DY615" s="1367"/>
      <c r="DZ615" s="1367"/>
      <c r="EA615" s="1367"/>
      <c r="EB615" s="1368"/>
      <c r="EC615" s="1366" t="str">
        <f t="shared" si="18"/>
        <v xml:space="preserve"> </v>
      </c>
      <c r="ED615" s="1367"/>
      <c r="EE615" s="1367"/>
      <c r="EF615" s="1367"/>
      <c r="EG615" s="1368"/>
      <c r="EH615" s="1366" t="str">
        <f t="shared" si="19"/>
        <v xml:space="preserve"> </v>
      </c>
      <c r="EI615" s="1367"/>
      <c r="EJ615" s="1367"/>
      <c r="EK615" s="1367"/>
      <c r="EL615" s="1368"/>
      <c r="EM615" s="1366" t="str">
        <f t="shared" si="20"/>
        <v xml:space="preserve"> </v>
      </c>
      <c r="EN615" s="1367"/>
      <c r="EO615" s="1367"/>
      <c r="EP615" s="1367"/>
      <c r="EQ615" s="1368"/>
      <c r="ER615" s="1366" t="str">
        <f t="shared" si="21"/>
        <v xml:space="preserve"> </v>
      </c>
      <c r="ES615" s="1367"/>
      <c r="ET615" s="1367"/>
      <c r="EU615" s="1367"/>
      <c r="EV615" s="1368"/>
      <c r="EW615" s="1366" t="str">
        <f t="shared" si="22"/>
        <v xml:space="preserve"> </v>
      </c>
      <c r="EX615" s="1367"/>
      <c r="EY615" s="1367"/>
      <c r="EZ615" s="1367"/>
      <c r="FA615" s="1368"/>
    </row>
    <row r="616" spans="1:157" ht="12.95" customHeight="1">
      <c r="A616" s="2" t="s">
        <v>971</v>
      </c>
      <c r="B616" s="2"/>
      <c r="C616" s="2" t="s">
        <v>174</v>
      </c>
      <c r="AZ616" s="3"/>
      <c r="BA616" s="3"/>
      <c r="BB616" s="3"/>
      <c r="BC616" s="3"/>
      <c r="BD616" s="3"/>
      <c r="BE616" s="1366">
        <f t="shared" si="1"/>
        <v>0</v>
      </c>
      <c r="BF616" s="1368"/>
      <c r="BG616" s="1366">
        <f t="shared" si="2"/>
        <v>0</v>
      </c>
      <c r="BH616" s="1368"/>
      <c r="BI616" s="1366">
        <f t="shared" si="3"/>
        <v>0</v>
      </c>
      <c r="BJ616" s="1368"/>
      <c r="BK616" s="1366">
        <f t="shared" si="4"/>
        <v>0</v>
      </c>
      <c r="BL616" s="1368"/>
      <c r="BM616" s="3"/>
      <c r="BN616" s="1363">
        <f t="shared" si="5"/>
        <v>0</v>
      </c>
      <c r="BO616" s="1364"/>
      <c r="BP616" s="1364"/>
      <c r="BQ616" s="1364"/>
      <c r="BR616" s="1365"/>
      <c r="BS616" s="1369">
        <f t="shared" si="6"/>
        <v>0</v>
      </c>
      <c r="BT616" s="1369"/>
      <c r="BU616" s="1369"/>
      <c r="BV616" s="1369"/>
      <c r="BW616" s="1369"/>
      <c r="BX616" s="1369">
        <f t="shared" si="7"/>
        <v>0</v>
      </c>
      <c r="BY616" s="1369"/>
      <c r="BZ616" s="1369"/>
      <c r="CA616" s="1369"/>
      <c r="CB616" s="1369"/>
      <c r="CC616" s="1369">
        <f t="shared" si="8"/>
        <v>0</v>
      </c>
      <c r="CD616" s="1369"/>
      <c r="CE616" s="1369"/>
      <c r="CF616" s="1369"/>
      <c r="CG616" s="1369"/>
      <c r="CH616" s="1369">
        <f t="shared" si="9"/>
        <v>0</v>
      </c>
      <c r="CI616" s="1369"/>
      <c r="CJ616" s="1369"/>
      <c r="CK616" s="1369"/>
      <c r="CL616" s="1369"/>
      <c r="CM616" s="1369">
        <f t="shared" si="10"/>
        <v>0</v>
      </c>
      <c r="CN616" s="1369"/>
      <c r="CO616" s="1369"/>
      <c r="CP616" s="1369"/>
      <c r="CQ616" s="1369"/>
      <c r="CR616" s="279"/>
      <c r="CS616" s="1370">
        <f t="shared" si="11"/>
        <v>0</v>
      </c>
      <c r="CT616" s="1370"/>
      <c r="CU616" s="1370"/>
      <c r="CV616" s="1370"/>
      <c r="CW616" s="1370"/>
      <c r="CX616" s="1370">
        <f t="shared" si="12"/>
        <v>0</v>
      </c>
      <c r="CY616" s="1370"/>
      <c r="CZ616" s="1370"/>
      <c r="DA616" s="1370"/>
      <c r="DB616" s="1370"/>
      <c r="DC616" s="1370">
        <f t="shared" si="13"/>
        <v>0</v>
      </c>
      <c r="DD616" s="1370"/>
      <c r="DE616" s="1370"/>
      <c r="DF616" s="1370"/>
      <c r="DG616" s="1370"/>
      <c r="DH616" s="1370">
        <f t="shared" si="14"/>
        <v>0</v>
      </c>
      <c r="DI616" s="1370"/>
      <c r="DJ616" s="1370"/>
      <c r="DK616" s="1370"/>
      <c r="DL616" s="1370"/>
      <c r="DM616" s="1370">
        <f t="shared" si="15"/>
        <v>0</v>
      </c>
      <c r="DN616" s="1370"/>
      <c r="DO616" s="1370"/>
      <c r="DP616" s="1370"/>
      <c r="DQ616" s="1370"/>
      <c r="DR616" s="1370">
        <f t="shared" si="16"/>
        <v>0</v>
      </c>
      <c r="DS616" s="1370"/>
      <c r="DT616" s="1370"/>
      <c r="DU616" s="1370"/>
      <c r="DV616" s="1370"/>
      <c r="DX616" s="1366" t="str">
        <f t="shared" si="17"/>
        <v xml:space="preserve"> </v>
      </c>
      <c r="DY616" s="1367"/>
      <c r="DZ616" s="1367"/>
      <c r="EA616" s="1367"/>
      <c r="EB616" s="1368"/>
      <c r="EC616" s="1366" t="str">
        <f t="shared" si="18"/>
        <v xml:space="preserve"> </v>
      </c>
      <c r="ED616" s="1367"/>
      <c r="EE616" s="1367"/>
      <c r="EF616" s="1367"/>
      <c r="EG616" s="1368"/>
      <c r="EH616" s="1366" t="str">
        <f t="shared" si="19"/>
        <v xml:space="preserve"> </v>
      </c>
      <c r="EI616" s="1367"/>
      <c r="EJ616" s="1367"/>
      <c r="EK616" s="1367"/>
      <c r="EL616" s="1368"/>
      <c r="EM616" s="1366" t="str">
        <f t="shared" si="20"/>
        <v xml:space="preserve"> </v>
      </c>
      <c r="EN616" s="1367"/>
      <c r="EO616" s="1367"/>
      <c r="EP616" s="1367"/>
      <c r="EQ616" s="1368"/>
      <c r="ER616" s="1366" t="str">
        <f t="shared" si="21"/>
        <v xml:space="preserve"> </v>
      </c>
      <c r="ES616" s="1367"/>
      <c r="ET616" s="1367"/>
      <c r="EU616" s="1367"/>
      <c r="EV616" s="1368"/>
      <c r="EW616" s="1366" t="str">
        <f t="shared" si="22"/>
        <v xml:space="preserve"> </v>
      </c>
      <c r="EX616" s="1367"/>
      <c r="EY616" s="1367"/>
      <c r="EZ616" s="1367"/>
      <c r="FA616" s="1368"/>
    </row>
    <row r="617" spans="1:157" ht="12.95" customHeight="1">
      <c r="A617" s="2"/>
      <c r="B617" s="2"/>
      <c r="C617" s="2"/>
      <c r="AZ617" s="3"/>
      <c r="BA617" s="3"/>
      <c r="BB617" s="3"/>
      <c r="BC617" s="3"/>
      <c r="BD617" s="3"/>
      <c r="BE617" s="1366">
        <f t="shared" si="1"/>
        <v>0</v>
      </c>
      <c r="BF617" s="1368"/>
      <c r="BG617" s="1366">
        <f t="shared" si="2"/>
        <v>0</v>
      </c>
      <c r="BH617" s="1368"/>
      <c r="BI617" s="1366">
        <f t="shared" si="3"/>
        <v>0</v>
      </c>
      <c r="BJ617" s="1368"/>
      <c r="BK617" s="1366">
        <f t="shared" si="4"/>
        <v>0</v>
      </c>
      <c r="BL617" s="1368"/>
      <c r="BM617" s="3"/>
      <c r="BN617" s="1363">
        <f t="shared" si="5"/>
        <v>0</v>
      </c>
      <c r="BO617" s="1364"/>
      <c r="BP617" s="1364"/>
      <c r="BQ617" s="1364"/>
      <c r="BR617" s="1365"/>
      <c r="BS617" s="1369">
        <f t="shared" si="6"/>
        <v>0</v>
      </c>
      <c r="BT617" s="1369"/>
      <c r="BU617" s="1369"/>
      <c r="BV617" s="1369"/>
      <c r="BW617" s="1369"/>
      <c r="BX617" s="1369">
        <f t="shared" si="7"/>
        <v>0</v>
      </c>
      <c r="BY617" s="1369"/>
      <c r="BZ617" s="1369"/>
      <c r="CA617" s="1369"/>
      <c r="CB617" s="1369"/>
      <c r="CC617" s="1369">
        <f t="shared" si="8"/>
        <v>0</v>
      </c>
      <c r="CD617" s="1369"/>
      <c r="CE617" s="1369"/>
      <c r="CF617" s="1369"/>
      <c r="CG617" s="1369"/>
      <c r="CH617" s="1369">
        <f t="shared" si="9"/>
        <v>0</v>
      </c>
      <c r="CI617" s="1369"/>
      <c r="CJ617" s="1369"/>
      <c r="CK617" s="1369"/>
      <c r="CL617" s="1369"/>
      <c r="CM617" s="1369">
        <f t="shared" si="10"/>
        <v>0</v>
      </c>
      <c r="CN617" s="1369"/>
      <c r="CO617" s="1369"/>
      <c r="CP617" s="1369"/>
      <c r="CQ617" s="1369"/>
      <c r="CR617" s="279"/>
      <c r="CS617" s="1370">
        <f t="shared" si="11"/>
        <v>0</v>
      </c>
      <c r="CT617" s="1370"/>
      <c r="CU617" s="1370"/>
      <c r="CV617" s="1370"/>
      <c r="CW617" s="1370"/>
      <c r="CX617" s="1370">
        <f t="shared" si="12"/>
        <v>0</v>
      </c>
      <c r="CY617" s="1370"/>
      <c r="CZ617" s="1370"/>
      <c r="DA617" s="1370"/>
      <c r="DB617" s="1370"/>
      <c r="DC617" s="1370">
        <f t="shared" si="13"/>
        <v>0</v>
      </c>
      <c r="DD617" s="1370"/>
      <c r="DE617" s="1370"/>
      <c r="DF617" s="1370"/>
      <c r="DG617" s="1370"/>
      <c r="DH617" s="1370">
        <f t="shared" si="14"/>
        <v>0</v>
      </c>
      <c r="DI617" s="1370"/>
      <c r="DJ617" s="1370"/>
      <c r="DK617" s="1370"/>
      <c r="DL617" s="1370"/>
      <c r="DM617" s="1370">
        <f t="shared" si="15"/>
        <v>0</v>
      </c>
      <c r="DN617" s="1370"/>
      <c r="DO617" s="1370"/>
      <c r="DP617" s="1370"/>
      <c r="DQ617" s="1370"/>
      <c r="DR617" s="1370">
        <f t="shared" si="16"/>
        <v>0</v>
      </c>
      <c r="DS617" s="1370"/>
      <c r="DT617" s="1370"/>
      <c r="DU617" s="1370"/>
      <c r="DV617" s="1370"/>
      <c r="DX617" s="1366" t="str">
        <f t="shared" si="17"/>
        <v xml:space="preserve"> </v>
      </c>
      <c r="DY617" s="1367"/>
      <c r="DZ617" s="1367"/>
      <c r="EA617" s="1367"/>
      <c r="EB617" s="1368"/>
      <c r="EC617" s="1366" t="str">
        <f t="shared" si="18"/>
        <v xml:space="preserve"> </v>
      </c>
      <c r="ED617" s="1367"/>
      <c r="EE617" s="1367"/>
      <c r="EF617" s="1367"/>
      <c r="EG617" s="1368"/>
      <c r="EH617" s="1366" t="str">
        <f t="shared" si="19"/>
        <v xml:space="preserve"> </v>
      </c>
      <c r="EI617" s="1367"/>
      <c r="EJ617" s="1367"/>
      <c r="EK617" s="1367"/>
      <c r="EL617" s="1368"/>
      <c r="EM617" s="1366" t="str">
        <f t="shared" si="20"/>
        <v xml:space="preserve"> </v>
      </c>
      <c r="EN617" s="1367"/>
      <c r="EO617" s="1367"/>
      <c r="EP617" s="1367"/>
      <c r="EQ617" s="1368"/>
      <c r="ER617" s="1366" t="str">
        <f t="shared" si="21"/>
        <v xml:space="preserve"> </v>
      </c>
      <c r="ES617" s="1367"/>
      <c r="ET617" s="1367"/>
      <c r="EU617" s="1367"/>
      <c r="EV617" s="1368"/>
      <c r="EW617" s="1366" t="str">
        <f t="shared" si="22"/>
        <v xml:space="preserve"> </v>
      </c>
      <c r="EX617" s="1367"/>
      <c r="EY617" s="1367"/>
      <c r="EZ617" s="1367"/>
      <c r="FA617" s="1368"/>
    </row>
    <row r="618" spans="1:157" ht="12.95" customHeight="1">
      <c r="C618" s="2" t="s">
        <v>1469</v>
      </c>
      <c r="AZ618" s="3"/>
      <c r="BA618" s="3"/>
      <c r="BB618" s="3"/>
      <c r="BC618" s="3"/>
      <c r="BD618" s="3"/>
      <c r="BE618" s="1366">
        <f t="shared" si="1"/>
        <v>0</v>
      </c>
      <c r="BF618" s="1368"/>
      <c r="BG618" s="1366">
        <f t="shared" si="2"/>
        <v>0</v>
      </c>
      <c r="BH618" s="1368"/>
      <c r="BI618" s="1366">
        <f t="shared" si="3"/>
        <v>0</v>
      </c>
      <c r="BJ618" s="1368"/>
      <c r="BK618" s="1366">
        <f t="shared" si="4"/>
        <v>0</v>
      </c>
      <c r="BL618" s="1368"/>
      <c r="BM618" s="3"/>
      <c r="BN618" s="1363">
        <f t="shared" si="5"/>
        <v>0</v>
      </c>
      <c r="BO618" s="1364"/>
      <c r="BP618" s="1364"/>
      <c r="BQ618" s="1364"/>
      <c r="BR618" s="1365"/>
      <c r="BS618" s="1369">
        <f t="shared" si="6"/>
        <v>0</v>
      </c>
      <c r="BT618" s="1369"/>
      <c r="BU618" s="1369"/>
      <c r="BV618" s="1369"/>
      <c r="BW618" s="1369"/>
      <c r="BX618" s="1369">
        <f t="shared" si="7"/>
        <v>0</v>
      </c>
      <c r="BY618" s="1369"/>
      <c r="BZ618" s="1369"/>
      <c r="CA618" s="1369"/>
      <c r="CB618" s="1369"/>
      <c r="CC618" s="1369">
        <f t="shared" si="8"/>
        <v>0</v>
      </c>
      <c r="CD618" s="1369"/>
      <c r="CE618" s="1369"/>
      <c r="CF618" s="1369"/>
      <c r="CG618" s="1369"/>
      <c r="CH618" s="1369">
        <f t="shared" si="9"/>
        <v>0</v>
      </c>
      <c r="CI618" s="1369"/>
      <c r="CJ618" s="1369"/>
      <c r="CK618" s="1369"/>
      <c r="CL618" s="1369"/>
      <c r="CM618" s="1369">
        <f t="shared" si="10"/>
        <v>0</v>
      </c>
      <c r="CN618" s="1369"/>
      <c r="CO618" s="1369"/>
      <c r="CP618" s="1369"/>
      <c r="CQ618" s="1369"/>
      <c r="CR618" s="279"/>
      <c r="CS618" s="1370">
        <f t="shared" si="11"/>
        <v>0</v>
      </c>
      <c r="CT618" s="1370"/>
      <c r="CU618" s="1370"/>
      <c r="CV618" s="1370"/>
      <c r="CW618" s="1370"/>
      <c r="CX618" s="1370">
        <f t="shared" si="12"/>
        <v>0</v>
      </c>
      <c r="CY618" s="1370"/>
      <c r="CZ618" s="1370"/>
      <c r="DA618" s="1370"/>
      <c r="DB618" s="1370"/>
      <c r="DC618" s="1370">
        <f t="shared" si="13"/>
        <v>0</v>
      </c>
      <c r="DD618" s="1370"/>
      <c r="DE618" s="1370"/>
      <c r="DF618" s="1370"/>
      <c r="DG618" s="1370"/>
      <c r="DH618" s="1370">
        <f t="shared" si="14"/>
        <v>0</v>
      </c>
      <c r="DI618" s="1370"/>
      <c r="DJ618" s="1370"/>
      <c r="DK618" s="1370"/>
      <c r="DL618" s="1370"/>
      <c r="DM618" s="1370">
        <f t="shared" si="15"/>
        <v>0</v>
      </c>
      <c r="DN618" s="1370"/>
      <c r="DO618" s="1370"/>
      <c r="DP618" s="1370"/>
      <c r="DQ618" s="1370"/>
      <c r="DR618" s="1370">
        <f t="shared" si="16"/>
        <v>0</v>
      </c>
      <c r="DS618" s="1370"/>
      <c r="DT618" s="1370"/>
      <c r="DU618" s="1370"/>
      <c r="DV618" s="1370"/>
      <c r="DX618" s="1366" t="str">
        <f t="shared" si="17"/>
        <v xml:space="preserve"> </v>
      </c>
      <c r="DY618" s="1367"/>
      <c r="DZ618" s="1367"/>
      <c r="EA618" s="1367"/>
      <c r="EB618" s="1368"/>
      <c r="EC618" s="1366" t="str">
        <f t="shared" si="18"/>
        <v xml:space="preserve"> </v>
      </c>
      <c r="ED618" s="1367"/>
      <c r="EE618" s="1367"/>
      <c r="EF618" s="1367"/>
      <c r="EG618" s="1368"/>
      <c r="EH618" s="1366" t="str">
        <f t="shared" si="19"/>
        <v xml:space="preserve"> </v>
      </c>
      <c r="EI618" s="1367"/>
      <c r="EJ618" s="1367"/>
      <c r="EK618" s="1367"/>
      <c r="EL618" s="1368"/>
      <c r="EM618" s="1366" t="str">
        <f t="shared" si="20"/>
        <v xml:space="preserve"> </v>
      </c>
      <c r="EN618" s="1367"/>
      <c r="EO618" s="1367"/>
      <c r="EP618" s="1367"/>
      <c r="EQ618" s="1368"/>
      <c r="ER618" s="1366" t="str">
        <f t="shared" si="21"/>
        <v xml:space="preserve"> </v>
      </c>
      <c r="ES618" s="1367"/>
      <c r="ET618" s="1367"/>
      <c r="EU618" s="1367"/>
      <c r="EV618" s="1368"/>
      <c r="EW618" s="1366" t="str">
        <f t="shared" si="22"/>
        <v xml:space="preserve"> </v>
      </c>
      <c r="EX618" s="1367"/>
      <c r="EY618" s="1367"/>
      <c r="EZ618" s="1367"/>
      <c r="FA618" s="1368"/>
    </row>
    <row r="619" spans="1:157" ht="12.95" customHeight="1">
      <c r="B619" s="437"/>
      <c r="C619" s="2"/>
      <c r="AZ619" s="3"/>
      <c r="BA619" s="3"/>
      <c r="BB619" s="3"/>
      <c r="BC619" s="3"/>
      <c r="BD619" s="3"/>
      <c r="BE619" s="1366">
        <f t="shared" si="1"/>
        <v>0</v>
      </c>
      <c r="BF619" s="1368"/>
      <c r="BG619" s="1366">
        <f t="shared" si="2"/>
        <v>0</v>
      </c>
      <c r="BH619" s="1368"/>
      <c r="BI619" s="1366">
        <f t="shared" si="3"/>
        <v>0</v>
      </c>
      <c r="BJ619" s="1368"/>
      <c r="BK619" s="1366">
        <f t="shared" si="4"/>
        <v>0</v>
      </c>
      <c r="BL619" s="1368"/>
      <c r="BM619" s="3"/>
      <c r="BN619" s="1363">
        <f t="shared" si="5"/>
        <v>0</v>
      </c>
      <c r="BO619" s="1364"/>
      <c r="BP619" s="1364"/>
      <c r="BQ619" s="1364"/>
      <c r="BR619" s="1365"/>
      <c r="BS619" s="1369">
        <f t="shared" si="6"/>
        <v>0</v>
      </c>
      <c r="BT619" s="1369"/>
      <c r="BU619" s="1369"/>
      <c r="BV619" s="1369"/>
      <c r="BW619" s="1369"/>
      <c r="BX619" s="1369">
        <f t="shared" si="7"/>
        <v>0</v>
      </c>
      <c r="BY619" s="1369"/>
      <c r="BZ619" s="1369"/>
      <c r="CA619" s="1369"/>
      <c r="CB619" s="1369"/>
      <c r="CC619" s="1369">
        <f t="shared" si="8"/>
        <v>0</v>
      </c>
      <c r="CD619" s="1369"/>
      <c r="CE619" s="1369"/>
      <c r="CF619" s="1369"/>
      <c r="CG619" s="1369"/>
      <c r="CH619" s="1369">
        <f t="shared" si="9"/>
        <v>0</v>
      </c>
      <c r="CI619" s="1369"/>
      <c r="CJ619" s="1369"/>
      <c r="CK619" s="1369"/>
      <c r="CL619" s="1369"/>
      <c r="CM619" s="1369">
        <f t="shared" si="10"/>
        <v>0</v>
      </c>
      <c r="CN619" s="1369"/>
      <c r="CO619" s="1369"/>
      <c r="CP619" s="1369"/>
      <c r="CQ619" s="1369"/>
      <c r="CR619" s="279"/>
      <c r="CS619" s="1370">
        <f t="shared" si="11"/>
        <v>0</v>
      </c>
      <c r="CT619" s="1370"/>
      <c r="CU619" s="1370"/>
      <c r="CV619" s="1370"/>
      <c r="CW619" s="1370"/>
      <c r="CX619" s="1370">
        <f t="shared" si="12"/>
        <v>0</v>
      </c>
      <c r="CY619" s="1370"/>
      <c r="CZ619" s="1370"/>
      <c r="DA619" s="1370"/>
      <c r="DB619" s="1370"/>
      <c r="DC619" s="1370">
        <f t="shared" si="13"/>
        <v>0</v>
      </c>
      <c r="DD619" s="1370"/>
      <c r="DE619" s="1370"/>
      <c r="DF619" s="1370"/>
      <c r="DG619" s="1370"/>
      <c r="DH619" s="1370">
        <f t="shared" si="14"/>
        <v>0</v>
      </c>
      <c r="DI619" s="1370"/>
      <c r="DJ619" s="1370"/>
      <c r="DK619" s="1370"/>
      <c r="DL619" s="1370"/>
      <c r="DM619" s="1370">
        <f t="shared" si="15"/>
        <v>0</v>
      </c>
      <c r="DN619" s="1370"/>
      <c r="DO619" s="1370"/>
      <c r="DP619" s="1370"/>
      <c r="DQ619" s="1370"/>
      <c r="DR619" s="1370">
        <f t="shared" si="16"/>
        <v>0</v>
      </c>
      <c r="DS619" s="1370"/>
      <c r="DT619" s="1370"/>
      <c r="DU619" s="1370"/>
      <c r="DV619" s="1370"/>
      <c r="DX619" s="1366" t="str">
        <f t="shared" si="17"/>
        <v xml:space="preserve"> </v>
      </c>
      <c r="DY619" s="1367"/>
      <c r="DZ619" s="1367"/>
      <c r="EA619" s="1367"/>
      <c r="EB619" s="1368"/>
      <c r="EC619" s="1366" t="str">
        <f t="shared" si="18"/>
        <v xml:space="preserve"> </v>
      </c>
      <c r="ED619" s="1367"/>
      <c r="EE619" s="1367"/>
      <c r="EF619" s="1367"/>
      <c r="EG619" s="1368"/>
      <c r="EH619" s="1366" t="str">
        <f t="shared" si="19"/>
        <v xml:space="preserve"> </v>
      </c>
      <c r="EI619" s="1367"/>
      <c r="EJ619" s="1367"/>
      <c r="EK619" s="1367"/>
      <c r="EL619" s="1368"/>
      <c r="EM619" s="1366" t="str">
        <f t="shared" si="20"/>
        <v xml:space="preserve"> </v>
      </c>
      <c r="EN619" s="1367"/>
      <c r="EO619" s="1367"/>
      <c r="EP619" s="1367"/>
      <c r="EQ619" s="1368"/>
      <c r="ER619" s="1366" t="str">
        <f t="shared" si="21"/>
        <v xml:space="preserve"> </v>
      </c>
      <c r="ES619" s="1367"/>
      <c r="ET619" s="1367"/>
      <c r="EU619" s="1367"/>
      <c r="EV619" s="1368"/>
      <c r="EW619" s="1366" t="str">
        <f t="shared" si="22"/>
        <v xml:space="preserve"> </v>
      </c>
      <c r="EX619" s="1367"/>
      <c r="EY619" s="1367"/>
      <c r="EZ619" s="1367"/>
      <c r="FA619" s="1368"/>
    </row>
    <row r="620" spans="1:157" ht="12.95" customHeight="1">
      <c r="B620" s="1681" t="s">
        <v>1470</v>
      </c>
      <c r="C620" s="1681"/>
      <c r="D620" s="1681"/>
      <c r="E620" s="1681"/>
      <c r="F620" s="1681"/>
      <c r="G620" s="1681"/>
      <c r="H620" s="1681"/>
      <c r="I620" s="1681"/>
      <c r="J620" s="1681"/>
      <c r="K620" s="1681"/>
      <c r="L620" s="1681"/>
      <c r="M620" s="1332" t="s">
        <v>1471</v>
      </c>
      <c r="N620" s="1332"/>
      <c r="O620" s="1332"/>
      <c r="P620" s="1332"/>
      <c r="Q620" s="1332" t="s">
        <v>1522</v>
      </c>
      <c r="R620" s="1332"/>
      <c r="S620" s="1332"/>
      <c r="T620" s="1332" t="s">
        <v>1523</v>
      </c>
      <c r="U620" s="1332"/>
      <c r="V620" s="1332"/>
      <c r="W620" s="1331" t="s">
        <v>1474</v>
      </c>
      <c r="X620" s="1331"/>
      <c r="Y620" s="1331"/>
      <c r="Z620" s="1333" t="s">
        <v>1524</v>
      </c>
      <c r="AA620" s="1333"/>
      <c r="AB620" s="1334"/>
      <c r="AC620" s="1552" t="s">
        <v>1476</v>
      </c>
      <c r="AD620" s="1553"/>
      <c r="AE620" s="1554"/>
      <c r="AF620" s="1675" t="s">
        <v>1525</v>
      </c>
      <c r="AG620" s="1333"/>
      <c r="AH620" s="1333"/>
      <c r="AI620" s="1333"/>
      <c r="AJ620" s="1334"/>
      <c r="AK620" s="1542" t="s">
        <v>1526</v>
      </c>
      <c r="AL620" s="1543"/>
      <c r="AM620" s="1543"/>
      <c r="AN620" s="1544"/>
      <c r="AO620" s="1332" t="s">
        <v>1478</v>
      </c>
      <c r="AP620" s="1332"/>
      <c r="AQ620" s="1332"/>
      <c r="AR620" s="1332"/>
      <c r="AS620" s="1332"/>
      <c r="AZ620" s="3"/>
      <c r="BA620" s="3"/>
      <c r="BB620" s="3"/>
      <c r="BC620" s="3"/>
      <c r="BD620" s="3"/>
      <c r="BE620" s="1366">
        <f t="shared" si="1"/>
        <v>0</v>
      </c>
      <c r="BF620" s="1368"/>
      <c r="BG620" s="1366">
        <f t="shared" si="2"/>
        <v>0</v>
      </c>
      <c r="BH620" s="1368"/>
      <c r="BI620" s="1366">
        <f t="shared" si="3"/>
        <v>0</v>
      </c>
      <c r="BJ620" s="1368"/>
      <c r="BK620" s="1366">
        <f t="shared" si="4"/>
        <v>0</v>
      </c>
      <c r="BL620" s="1368"/>
      <c r="BM620" s="3"/>
      <c r="BN620" s="1363">
        <f t="shared" si="5"/>
        <v>0</v>
      </c>
      <c r="BO620" s="1364"/>
      <c r="BP620" s="1364"/>
      <c r="BQ620" s="1364"/>
      <c r="BR620" s="1365"/>
      <c r="BS620" s="1369">
        <f t="shared" si="6"/>
        <v>0</v>
      </c>
      <c r="BT620" s="1369"/>
      <c r="BU620" s="1369"/>
      <c r="BV620" s="1369"/>
      <c r="BW620" s="1369"/>
      <c r="BX620" s="1369">
        <f t="shared" si="7"/>
        <v>0</v>
      </c>
      <c r="BY620" s="1369"/>
      <c r="BZ620" s="1369"/>
      <c r="CA620" s="1369"/>
      <c r="CB620" s="1369"/>
      <c r="CC620" s="1369">
        <f t="shared" si="8"/>
        <v>0</v>
      </c>
      <c r="CD620" s="1369"/>
      <c r="CE620" s="1369"/>
      <c r="CF620" s="1369"/>
      <c r="CG620" s="1369"/>
      <c r="CH620" s="1369">
        <f t="shared" si="9"/>
        <v>0</v>
      </c>
      <c r="CI620" s="1369"/>
      <c r="CJ620" s="1369"/>
      <c r="CK620" s="1369"/>
      <c r="CL620" s="1369"/>
      <c r="CM620" s="1369">
        <f t="shared" si="10"/>
        <v>0</v>
      </c>
      <c r="CN620" s="1369"/>
      <c r="CO620" s="1369"/>
      <c r="CP620" s="1369"/>
      <c r="CQ620" s="1369"/>
      <c r="CR620" s="279"/>
      <c r="CS620" s="1370">
        <f t="shared" si="11"/>
        <v>0</v>
      </c>
      <c r="CT620" s="1370"/>
      <c r="CU620" s="1370"/>
      <c r="CV620" s="1370"/>
      <c r="CW620" s="1370"/>
      <c r="CX620" s="1370">
        <f t="shared" si="12"/>
        <v>0</v>
      </c>
      <c r="CY620" s="1370"/>
      <c r="CZ620" s="1370"/>
      <c r="DA620" s="1370"/>
      <c r="DB620" s="1370"/>
      <c r="DC620" s="1370">
        <f t="shared" si="13"/>
        <v>0</v>
      </c>
      <c r="DD620" s="1370"/>
      <c r="DE620" s="1370"/>
      <c r="DF620" s="1370"/>
      <c r="DG620" s="1370"/>
      <c r="DH620" s="1370">
        <f t="shared" si="14"/>
        <v>0</v>
      </c>
      <c r="DI620" s="1370"/>
      <c r="DJ620" s="1370"/>
      <c r="DK620" s="1370"/>
      <c r="DL620" s="1370"/>
      <c r="DM620" s="1370">
        <f t="shared" si="15"/>
        <v>0</v>
      </c>
      <c r="DN620" s="1370"/>
      <c r="DO620" s="1370"/>
      <c r="DP620" s="1370"/>
      <c r="DQ620" s="1370"/>
      <c r="DR620" s="1370">
        <f t="shared" si="16"/>
        <v>0</v>
      </c>
      <c r="DS620" s="1370"/>
      <c r="DT620" s="1370"/>
      <c r="DU620" s="1370"/>
      <c r="DV620" s="1370"/>
      <c r="DX620" s="1366" t="str">
        <f t="shared" si="17"/>
        <v xml:space="preserve"> </v>
      </c>
      <c r="DY620" s="1367"/>
      <c r="DZ620" s="1367"/>
      <c r="EA620" s="1367"/>
      <c r="EB620" s="1368"/>
      <c r="EC620" s="1366" t="str">
        <f t="shared" si="18"/>
        <v xml:space="preserve"> </v>
      </c>
      <c r="ED620" s="1367"/>
      <c r="EE620" s="1367"/>
      <c r="EF620" s="1367"/>
      <c r="EG620" s="1368"/>
      <c r="EH620" s="1366" t="str">
        <f t="shared" si="19"/>
        <v xml:space="preserve"> </v>
      </c>
      <c r="EI620" s="1367"/>
      <c r="EJ620" s="1367"/>
      <c r="EK620" s="1367"/>
      <c r="EL620" s="1368"/>
      <c r="EM620" s="1366" t="str">
        <f t="shared" si="20"/>
        <v xml:space="preserve"> </v>
      </c>
      <c r="EN620" s="1367"/>
      <c r="EO620" s="1367"/>
      <c r="EP620" s="1367"/>
      <c r="EQ620" s="1368"/>
      <c r="ER620" s="1366" t="str">
        <f t="shared" si="21"/>
        <v xml:space="preserve"> </v>
      </c>
      <c r="ES620" s="1367"/>
      <c r="ET620" s="1367"/>
      <c r="EU620" s="1367"/>
      <c r="EV620" s="1368"/>
      <c r="EW620" s="1366" t="str">
        <f t="shared" si="22"/>
        <v xml:space="preserve"> </v>
      </c>
      <c r="EX620" s="1367"/>
      <c r="EY620" s="1367"/>
      <c r="EZ620" s="1367"/>
      <c r="FA620" s="1368"/>
    </row>
    <row r="621" spans="1:157" ht="12.95" customHeight="1">
      <c r="B621" s="1681"/>
      <c r="C621" s="1681"/>
      <c r="D621" s="1681"/>
      <c r="E621" s="1681"/>
      <c r="F621" s="1681"/>
      <c r="G621" s="1681"/>
      <c r="H621" s="1681"/>
      <c r="I621" s="1681"/>
      <c r="J621" s="1681"/>
      <c r="K621" s="1681"/>
      <c r="L621" s="1681"/>
      <c r="M621" s="1332"/>
      <c r="N621" s="1332"/>
      <c r="O621" s="1332"/>
      <c r="P621" s="1332"/>
      <c r="Q621" s="1332"/>
      <c r="R621" s="1332"/>
      <c r="S621" s="1332"/>
      <c r="T621" s="1332"/>
      <c r="U621" s="1332"/>
      <c r="V621" s="1332"/>
      <c r="W621" s="1331"/>
      <c r="X621" s="1331"/>
      <c r="Y621" s="1331"/>
      <c r="Z621" s="1335"/>
      <c r="AA621" s="1335"/>
      <c r="AB621" s="1336"/>
      <c r="AC621" s="1555"/>
      <c r="AD621" s="1556"/>
      <c r="AE621" s="1557"/>
      <c r="AF621" s="1676"/>
      <c r="AG621" s="1335"/>
      <c r="AH621" s="1335"/>
      <c r="AI621" s="1335"/>
      <c r="AJ621" s="1336"/>
      <c r="AK621" s="1545"/>
      <c r="AL621" s="1546"/>
      <c r="AM621" s="1546"/>
      <c r="AN621" s="1547"/>
      <c r="AO621" s="1332"/>
      <c r="AP621" s="1332"/>
      <c r="AQ621" s="1332"/>
      <c r="AR621" s="1332"/>
      <c r="AS621" s="1332"/>
      <c r="AZ621" s="3"/>
      <c r="BA621" s="3"/>
      <c r="BB621" s="3"/>
      <c r="BC621" s="3"/>
      <c r="BD621" s="3"/>
      <c r="BE621" s="3"/>
      <c r="BF621" s="3"/>
      <c r="BG621" s="1366">
        <f>SUM(BG596:BH620)</f>
        <v>42</v>
      </c>
      <c r="BH621" s="1368"/>
      <c r="BI621" s="3"/>
      <c r="BJ621" s="3"/>
      <c r="BK621" s="1366">
        <f>SUM(BK596:BL620)</f>
        <v>42</v>
      </c>
      <c r="BL621" s="1368"/>
      <c r="BM621" s="3"/>
      <c r="BN621" s="1366">
        <f>SUM(BN596:BR620)</f>
        <v>24</v>
      </c>
      <c r="BO621" s="1367"/>
      <c r="BP621" s="1367"/>
      <c r="BQ621" s="1367"/>
      <c r="BR621" s="1368"/>
      <c r="BS621" s="1362">
        <f>SUM(BS596:BW620)</f>
        <v>18</v>
      </c>
      <c r="BT621" s="1362"/>
      <c r="BU621" s="1362"/>
      <c r="BV621" s="1362"/>
      <c r="BW621" s="1362"/>
      <c r="BX621" s="1362">
        <f>SUM(BX596:CB620)</f>
        <v>21</v>
      </c>
      <c r="BY621" s="1362"/>
      <c r="BZ621" s="1362"/>
      <c r="CA621" s="1362"/>
      <c r="CB621" s="1362"/>
      <c r="CC621" s="1362">
        <f>SUM(CC596:CG620)</f>
        <v>21</v>
      </c>
      <c r="CD621" s="1362"/>
      <c r="CE621" s="1362"/>
      <c r="CF621" s="1362"/>
      <c r="CG621" s="1362"/>
      <c r="CH621" s="1362">
        <f>SUM(CH596:CL620)</f>
        <v>0</v>
      </c>
      <c r="CI621" s="1362"/>
      <c r="CJ621" s="1362"/>
      <c r="CK621" s="1362"/>
      <c r="CL621" s="1362"/>
      <c r="CM621" s="1362">
        <f>SUM(CM596:CQ620)</f>
        <v>0</v>
      </c>
      <c r="CN621" s="1362"/>
      <c r="CO621" s="1362"/>
      <c r="CP621" s="1362"/>
      <c r="CQ621" s="1362"/>
      <c r="CR621" s="279"/>
      <c r="CS621" s="1362">
        <f>SUM(CS596:CW620)</f>
        <v>21</v>
      </c>
      <c r="CT621" s="1362"/>
      <c r="CU621" s="1362"/>
      <c r="CV621" s="1362"/>
      <c r="CW621" s="1362"/>
      <c r="CX621" s="1362">
        <f>SUM(CX596:DB620)</f>
        <v>10</v>
      </c>
      <c r="CY621" s="1362"/>
      <c r="CZ621" s="1362"/>
      <c r="DA621" s="1362"/>
      <c r="DB621" s="1362"/>
      <c r="DC621" s="1362">
        <f>SUM(DC596:DG620)</f>
        <v>9</v>
      </c>
      <c r="DD621" s="1362"/>
      <c r="DE621" s="1362"/>
      <c r="DF621" s="1362"/>
      <c r="DG621" s="1362"/>
      <c r="DH621" s="1362">
        <f>SUM(DH596:DL620)</f>
        <v>2</v>
      </c>
      <c r="DI621" s="1362"/>
      <c r="DJ621" s="1362"/>
      <c r="DK621" s="1362"/>
      <c r="DL621" s="1362"/>
      <c r="DM621" s="1362">
        <f>SUM(DM596:DQ620)</f>
        <v>0</v>
      </c>
      <c r="DN621" s="1362"/>
      <c r="DO621" s="1362"/>
      <c r="DP621" s="1362"/>
      <c r="DQ621" s="1362"/>
      <c r="DR621" s="1362">
        <f>SUM(DR596:DV620)</f>
        <v>0</v>
      </c>
      <c r="DS621" s="1362"/>
      <c r="DT621" s="1362"/>
      <c r="DU621" s="1362"/>
      <c r="DV621" s="1362"/>
      <c r="DX621" s="1362">
        <f>SUM(DX596:EB620)</f>
        <v>2276</v>
      </c>
      <c r="DY621" s="1362"/>
      <c r="DZ621" s="1362"/>
      <c r="EA621" s="1362"/>
      <c r="EB621" s="1362"/>
      <c r="EC621" s="1362">
        <f>SUM(EC596:EG620)</f>
        <v>2430</v>
      </c>
      <c r="ED621" s="1362"/>
      <c r="EE621" s="1362"/>
      <c r="EF621" s="1362"/>
      <c r="EG621" s="1362"/>
      <c r="EH621" s="1362">
        <f>SUM(EH596:EL620)</f>
        <v>2897</v>
      </c>
      <c r="EI621" s="1362"/>
      <c r="EJ621" s="1362"/>
      <c r="EK621" s="1362"/>
      <c r="EL621" s="1362"/>
      <c r="EM621" s="1362">
        <f>SUM(EM596:EQ620)</f>
        <v>3334</v>
      </c>
      <c r="EN621" s="1362"/>
      <c r="EO621" s="1362"/>
      <c r="EP621" s="1362"/>
      <c r="EQ621" s="1362"/>
      <c r="ER621" s="1362">
        <f>SUM(ER596:EV620)</f>
        <v>0</v>
      </c>
      <c r="ES621" s="1362"/>
      <c r="ET621" s="1362"/>
      <c r="EU621" s="1362"/>
      <c r="EV621" s="1362"/>
      <c r="EW621" s="1362">
        <f>SUM(EW596:FA620)</f>
        <v>0</v>
      </c>
      <c r="EX621" s="1362"/>
      <c r="EY621" s="1362"/>
      <c r="EZ621" s="1362"/>
      <c r="FA621" s="1362"/>
    </row>
    <row r="622" spans="1:157" ht="12.95" customHeight="1">
      <c r="B622" s="1681"/>
      <c r="C622" s="1681"/>
      <c r="D622" s="1681"/>
      <c r="E622" s="1681"/>
      <c r="F622" s="1681"/>
      <c r="G622" s="1681"/>
      <c r="H622" s="1681"/>
      <c r="I622" s="1681"/>
      <c r="J622" s="1681"/>
      <c r="K622" s="1681"/>
      <c r="L622" s="1681"/>
      <c r="M622" s="1332"/>
      <c r="N622" s="1332"/>
      <c r="O622" s="1332"/>
      <c r="P622" s="1332"/>
      <c r="Q622" s="1332"/>
      <c r="R622" s="1332"/>
      <c r="S622" s="1332"/>
      <c r="T622" s="1332"/>
      <c r="U622" s="1332"/>
      <c r="V622" s="1332"/>
      <c r="W622" s="1331"/>
      <c r="X622" s="1331"/>
      <c r="Y622" s="1331"/>
      <c r="Z622" s="1337"/>
      <c r="AA622" s="1337"/>
      <c r="AB622" s="1338"/>
      <c r="AC622" s="1558"/>
      <c r="AD622" s="1559"/>
      <c r="AE622" s="1560"/>
      <c r="AF622" s="1677"/>
      <c r="AG622" s="1337"/>
      <c r="AH622" s="1337"/>
      <c r="AI622" s="1337"/>
      <c r="AJ622" s="1338"/>
      <c r="AK622" s="1548"/>
      <c r="AL622" s="1549"/>
      <c r="AM622" s="1549"/>
      <c r="AN622" s="1550"/>
      <c r="AO622" s="1332"/>
      <c r="AP622" s="1332"/>
      <c r="AQ622" s="1332"/>
      <c r="AR622" s="1332"/>
      <c r="AS622" s="133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1527</v>
      </c>
      <c r="CM622" s="1366">
        <f>BN621+BS621+BX621+CC621+CH621+CM621</f>
        <v>84</v>
      </c>
      <c r="CN622" s="1367"/>
      <c r="CO622" s="1367"/>
      <c r="CP622" s="1367"/>
      <c r="CQ622" s="1368"/>
      <c r="CR622" s="279"/>
      <c r="CS622" s="3"/>
      <c r="CT622" s="3"/>
      <c r="CU622" s="3"/>
      <c r="CV622" s="3"/>
      <c r="CW622" s="3"/>
      <c r="CX622" s="3"/>
      <c r="CY622" s="3"/>
      <c r="CZ622" s="3"/>
      <c r="DA622" s="3"/>
      <c r="DB622" s="3"/>
      <c r="DC622" s="3"/>
      <c r="DD622" s="3"/>
      <c r="DE622" s="3"/>
      <c r="DF622" s="3"/>
    </row>
    <row r="623" spans="1:157" ht="12.95" customHeight="1">
      <c r="B623" s="44" t="s">
        <v>17</v>
      </c>
      <c r="C623" s="1304" t="s">
        <v>1528</v>
      </c>
      <c r="D623" s="1304"/>
      <c r="E623" s="1304"/>
      <c r="F623" s="1304"/>
      <c r="G623" s="1304"/>
      <c r="H623" s="1304"/>
      <c r="I623" s="1304"/>
      <c r="J623" s="1304"/>
      <c r="K623" s="1304"/>
      <c r="L623" s="1304"/>
      <c r="M623" s="1345" t="s">
        <v>1453</v>
      </c>
      <c r="N623" s="1345"/>
      <c r="O623" s="1345"/>
      <c r="P623" s="1345"/>
      <c r="Q623" s="1314">
        <v>204</v>
      </c>
      <c r="R623" s="1314"/>
      <c r="S623" s="1315"/>
      <c r="T623" s="1313">
        <v>420</v>
      </c>
      <c r="U623" s="1314"/>
      <c r="V623" s="1315"/>
      <c r="W623" s="1319">
        <v>6.0499999999999998E-2</v>
      </c>
      <c r="X623" s="1320"/>
      <c r="Y623" s="1321"/>
      <c r="Z623" s="1316" t="s">
        <v>1529</v>
      </c>
      <c r="AA623" s="1317"/>
      <c r="AB623" s="1318"/>
      <c r="AC623" s="1309">
        <v>1</v>
      </c>
      <c r="AD623" s="1310"/>
      <c r="AE623" s="1311"/>
      <c r="AF623" s="1328">
        <f>-PMT((W623-0.0005)/12,T623,AO623)*12+7367</f>
        <v>1016123.8239858693</v>
      </c>
      <c r="AG623" s="1329"/>
      <c r="AH623" s="1329"/>
      <c r="AI623" s="1329"/>
      <c r="AJ623" s="1330"/>
      <c r="AK623" s="1375"/>
      <c r="AL623" s="1376"/>
      <c r="AM623" s="1376"/>
      <c r="AN623" s="1377"/>
      <c r="AO623" s="1374">
        <v>14743000</v>
      </c>
      <c r="AP623" s="1374"/>
      <c r="AQ623" s="1374"/>
      <c r="AR623" s="1374"/>
      <c r="AS623" s="1374"/>
      <c r="AT623" s="3"/>
      <c r="AU623" s="3"/>
      <c r="AV623" s="3"/>
      <c r="AW623" s="3"/>
      <c r="AX623" s="3"/>
      <c r="AY623" s="3"/>
      <c r="AZ623" s="3"/>
      <c r="BA623" s="3" t="s">
        <v>1426</v>
      </c>
      <c r="BB623" s="3"/>
      <c r="BC623" s="3"/>
      <c r="BD623" s="3"/>
      <c r="BE623" s="3"/>
      <c r="BF623" s="3"/>
      <c r="BG623" s="3"/>
      <c r="BH623" s="3"/>
      <c r="BI623" s="3"/>
      <c r="BJ623" s="3"/>
      <c r="BK623" s="3"/>
      <c r="BL623" s="3"/>
      <c r="BM623" s="3"/>
      <c r="BR623" s="786">
        <f>BN621*1</f>
        <v>24</v>
      </c>
      <c r="BS623" s="3"/>
      <c r="BT623" s="3"/>
      <c r="BU623" s="3"/>
      <c r="BV623" s="3"/>
      <c r="BW623" s="786">
        <f>BS621*1</f>
        <v>18</v>
      </c>
      <c r="BX623" s="3"/>
      <c r="BY623" s="3"/>
      <c r="BZ623" s="3"/>
      <c r="CA623" s="3"/>
      <c r="CB623" s="786">
        <f>BX621*2</f>
        <v>42</v>
      </c>
      <c r="CC623" s="3"/>
      <c r="CD623" s="3"/>
      <c r="CE623" s="3"/>
      <c r="CF623" s="3"/>
      <c r="CG623" s="786">
        <f>CC621*3</f>
        <v>63</v>
      </c>
      <c r="CH623" s="3"/>
      <c r="CI623" s="3"/>
      <c r="CJ623" s="3"/>
      <c r="CK623" s="3"/>
      <c r="CL623" s="786">
        <f>CH621*4</f>
        <v>0</v>
      </c>
      <c r="CM623" s="3"/>
      <c r="CN623" s="3"/>
      <c r="CO623" s="3"/>
      <c r="CP623" s="3"/>
      <c r="CQ623" s="786">
        <f>CM621*5</f>
        <v>0</v>
      </c>
      <c r="CS623" s="786">
        <f>BR623+BW623+CB623+CG623+CL623+CQ623</f>
        <v>147</v>
      </c>
      <c r="CT623" s="50" t="s">
        <v>1530</v>
      </c>
      <c r="CU623" s="3"/>
      <c r="CV623" s="3"/>
      <c r="CW623" s="3"/>
      <c r="CX623" s="3"/>
      <c r="CY623" s="3"/>
      <c r="CZ623" s="3"/>
      <c r="DA623" s="3"/>
      <c r="DB623" s="3"/>
      <c r="DC623" s="3"/>
      <c r="DD623" s="3"/>
      <c r="DE623" s="3"/>
      <c r="DF623" s="3"/>
    </row>
    <row r="624" spans="1:157" ht="12.95" customHeight="1">
      <c r="B624" s="45" t="s">
        <v>30</v>
      </c>
      <c r="C624" s="1304" t="s">
        <v>1446</v>
      </c>
      <c r="D624" s="1304"/>
      <c r="E624" s="1304"/>
      <c r="F624" s="1304"/>
      <c r="G624" s="1304"/>
      <c r="H624" s="1304"/>
      <c r="I624" s="1304"/>
      <c r="J624" s="1304"/>
      <c r="K624" s="1304"/>
      <c r="L624" s="1304"/>
      <c r="M624" s="1345" t="s">
        <v>1449</v>
      </c>
      <c r="N624" s="1345"/>
      <c r="O624" s="1345"/>
      <c r="P624" s="1345"/>
      <c r="Q624" s="1313">
        <v>660</v>
      </c>
      <c r="R624" s="1314"/>
      <c r="S624" s="1315"/>
      <c r="T624" s="1313">
        <v>660</v>
      </c>
      <c r="U624" s="1314"/>
      <c r="V624" s="1315"/>
      <c r="W624" s="1319">
        <v>0.03</v>
      </c>
      <c r="X624" s="1320"/>
      <c r="Y624" s="1321"/>
      <c r="Z624" s="1316" t="s">
        <v>1531</v>
      </c>
      <c r="AA624" s="1317"/>
      <c r="AB624" s="1318"/>
      <c r="AC624" s="1309">
        <v>3</v>
      </c>
      <c r="AD624" s="1310"/>
      <c r="AE624" s="1311"/>
      <c r="AF624" s="1328"/>
      <c r="AG624" s="1329"/>
      <c r="AH624" s="1329"/>
      <c r="AI624" s="1329"/>
      <c r="AJ624" s="1330"/>
      <c r="AK624" s="1375"/>
      <c r="AL624" s="1376"/>
      <c r="AM624" s="1376"/>
      <c r="AN624" s="1377"/>
      <c r="AO624" s="1371">
        <v>16000000</v>
      </c>
      <c r="AP624" s="1372"/>
      <c r="AQ624" s="1372"/>
      <c r="AR624" s="1372"/>
      <c r="AS624" s="1373"/>
      <c r="AT624" s="1080" t="str">
        <f>IF(AND(NOT(C623=""),C624="",NOT(C625="")),"!","")</f>
        <v/>
      </c>
      <c r="AU624" s="3"/>
      <c r="AV624" s="3"/>
      <c r="AW624" s="3"/>
      <c r="AX624" s="3"/>
      <c r="AY624" s="3"/>
      <c r="AZ624" s="3"/>
      <c r="BA624" s="3" t="s">
        <v>1532</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61">
        <f t="shared" ref="DX624:DX648" si="23">DX596*(BN596/$BN$621)</f>
        <v>737.625</v>
      </c>
      <c r="DY624" s="1361"/>
      <c r="DZ624" s="1361"/>
      <c r="EA624" s="1361"/>
      <c r="EB624" s="1361"/>
      <c r="EC624" s="1361" t="e">
        <f t="shared" ref="EC624:EC648" si="24">EC596*(BS596/$BS$621)</f>
        <v>#VALUE!</v>
      </c>
      <c r="ED624" s="1361"/>
      <c r="EE624" s="1361"/>
      <c r="EF624" s="1361"/>
      <c r="EG624" s="1361"/>
      <c r="EH624" s="1361" t="e">
        <f t="shared" ref="EH624:EH648" si="25">EH596*(BX596/$BX$621)</f>
        <v>#VALUE!</v>
      </c>
      <c r="EI624" s="1361"/>
      <c r="EJ624" s="1361"/>
      <c r="EK624" s="1361"/>
      <c r="EL624" s="1361"/>
      <c r="EM624" s="1361" t="e">
        <f t="shared" ref="EM624:EM648" si="26">EM596*(CC596/$CC$621)</f>
        <v>#VALUE!</v>
      </c>
      <c r="EN624" s="1361"/>
      <c r="EO624" s="1361"/>
      <c r="EP624" s="1361"/>
      <c r="EQ624" s="1361"/>
      <c r="ER624" s="1361" t="e">
        <f t="shared" ref="ER624:ER648" si="27">ER596*(CH596/$CH$621)</f>
        <v>#VALUE!</v>
      </c>
      <c r="ES624" s="1361"/>
      <c r="ET624" s="1361"/>
      <c r="EU624" s="1361"/>
      <c r="EV624" s="1361"/>
      <c r="EW624" s="1361" t="e">
        <f t="shared" ref="EW624:EW648" si="28">EW596*(CM596/$CM$621)</f>
        <v>#VALUE!</v>
      </c>
      <c r="EX624" s="1361"/>
      <c r="EY624" s="1361"/>
      <c r="EZ624" s="1361"/>
      <c r="FA624" s="1361"/>
    </row>
    <row r="625" spans="1:157" ht="12.95" customHeight="1">
      <c r="B625" s="45" t="s">
        <v>38</v>
      </c>
      <c r="C625" s="1304" t="s">
        <v>1331</v>
      </c>
      <c r="D625" s="1304"/>
      <c r="E625" s="1304"/>
      <c r="F625" s="1304"/>
      <c r="G625" s="1304"/>
      <c r="H625" s="1304"/>
      <c r="I625" s="1304"/>
      <c r="J625" s="1304"/>
      <c r="K625" s="1304"/>
      <c r="L625" s="1304"/>
      <c r="M625" s="1345" t="s">
        <v>1449</v>
      </c>
      <c r="N625" s="1345"/>
      <c r="O625" s="1345"/>
      <c r="P625" s="1345"/>
      <c r="Q625" s="1313">
        <v>660</v>
      </c>
      <c r="R625" s="1314"/>
      <c r="S625" s="1315"/>
      <c r="T625" s="1313">
        <v>660</v>
      </c>
      <c r="U625" s="1314"/>
      <c r="V625" s="1315"/>
      <c r="W625" s="1319">
        <v>0.03</v>
      </c>
      <c r="X625" s="1320"/>
      <c r="Y625" s="1321"/>
      <c r="Z625" s="1316" t="s">
        <v>1531</v>
      </c>
      <c r="AA625" s="1317"/>
      <c r="AB625" s="1318"/>
      <c r="AC625" s="1309">
        <v>2</v>
      </c>
      <c r="AD625" s="1310"/>
      <c r="AE625" s="1311"/>
      <c r="AF625" s="1328"/>
      <c r="AG625" s="1329"/>
      <c r="AH625" s="1329"/>
      <c r="AI625" s="1329"/>
      <c r="AJ625" s="1330"/>
      <c r="AK625" s="1375"/>
      <c r="AL625" s="1376"/>
      <c r="AM625" s="1376"/>
      <c r="AN625" s="1377"/>
      <c r="AO625" s="1371">
        <v>18000000</v>
      </c>
      <c r="AP625" s="1372"/>
      <c r="AQ625" s="1372"/>
      <c r="AR625" s="1372"/>
      <c r="AS625" s="1373"/>
      <c r="AT625" s="1080" t="str">
        <f t="shared" ref="AT625:AT634" si="29">IF(AND(NOT(C624=""),C625="",NOT(C626="")),"!","")</f>
        <v/>
      </c>
      <c r="AU625" s="3"/>
      <c r="AV625" s="3"/>
      <c r="AW625" s="3"/>
      <c r="AX625" s="3"/>
      <c r="AY625" s="3"/>
      <c r="AZ625" s="3"/>
      <c r="BA625" s="3" t="s">
        <v>1531</v>
      </c>
      <c r="BB625" s="3"/>
      <c r="BC625" s="3"/>
      <c r="BD625" s="3"/>
      <c r="BE625" s="3"/>
      <c r="BF625" s="3"/>
      <c r="BG625" s="3"/>
      <c r="BH625" s="3"/>
      <c r="BI625" s="3"/>
      <c r="BJ625" s="3"/>
      <c r="BK625" s="3"/>
      <c r="BL625" s="3"/>
      <c r="BM625" s="3"/>
      <c r="BN625" s="3" t="s">
        <v>1533</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61" t="e">
        <f t="shared" si="23"/>
        <v>#VALUE!</v>
      </c>
      <c r="DY625" s="1361"/>
      <c r="DZ625" s="1361"/>
      <c r="EA625" s="1361"/>
      <c r="EB625" s="1361"/>
      <c r="EC625" s="1361">
        <f t="shared" si="24"/>
        <v>499.44444444444446</v>
      </c>
      <c r="ED625" s="1361"/>
      <c r="EE625" s="1361"/>
      <c r="EF625" s="1361"/>
      <c r="EG625" s="1361"/>
      <c r="EH625" s="1361" t="e">
        <f t="shared" si="25"/>
        <v>#VALUE!</v>
      </c>
      <c r="EI625" s="1361"/>
      <c r="EJ625" s="1361"/>
      <c r="EK625" s="1361"/>
      <c r="EL625" s="1361"/>
      <c r="EM625" s="1361" t="e">
        <f t="shared" si="26"/>
        <v>#VALUE!</v>
      </c>
      <c r="EN625" s="1361"/>
      <c r="EO625" s="1361"/>
      <c r="EP625" s="1361"/>
      <c r="EQ625" s="1361"/>
      <c r="ER625" s="1361" t="e">
        <f t="shared" si="27"/>
        <v>#VALUE!</v>
      </c>
      <c r="ES625" s="1361"/>
      <c r="ET625" s="1361"/>
      <c r="EU625" s="1361"/>
      <c r="EV625" s="1361"/>
      <c r="EW625" s="1361" t="e">
        <f t="shared" si="28"/>
        <v>#VALUE!</v>
      </c>
      <c r="EX625" s="1361"/>
      <c r="EY625" s="1361"/>
      <c r="EZ625" s="1361"/>
      <c r="FA625" s="1361"/>
    </row>
    <row r="626" spans="1:157" ht="12.95" customHeight="1">
      <c r="B626" s="45" t="s">
        <v>81</v>
      </c>
      <c r="C626" s="1304" t="s">
        <v>1429</v>
      </c>
      <c r="D626" s="1304"/>
      <c r="E626" s="1304"/>
      <c r="F626" s="1304"/>
      <c r="G626" s="1304"/>
      <c r="H626" s="1304"/>
      <c r="I626" s="1304"/>
      <c r="J626" s="1304"/>
      <c r="K626" s="1304"/>
      <c r="L626" s="1304"/>
      <c r="M626" s="1345" t="s">
        <v>1429</v>
      </c>
      <c r="N626" s="1345"/>
      <c r="O626" s="1345"/>
      <c r="P626" s="1345"/>
      <c r="Q626" s="1313">
        <v>0</v>
      </c>
      <c r="R626" s="1314"/>
      <c r="S626" s="1315"/>
      <c r="T626" s="1313">
        <v>0</v>
      </c>
      <c r="U626" s="1314"/>
      <c r="V626" s="1315"/>
      <c r="W626" s="1319">
        <v>0</v>
      </c>
      <c r="X626" s="1320"/>
      <c r="Y626" s="1321"/>
      <c r="Z626" s="1316"/>
      <c r="AA626" s="1317"/>
      <c r="AB626" s="1318"/>
      <c r="AC626" s="1309"/>
      <c r="AD626" s="1310"/>
      <c r="AE626" s="1311"/>
      <c r="AF626" s="1328"/>
      <c r="AG626" s="1329"/>
      <c r="AH626" s="1329"/>
      <c r="AI626" s="1329"/>
      <c r="AJ626" s="1330"/>
      <c r="AK626" s="1375"/>
      <c r="AL626" s="1376"/>
      <c r="AM626" s="1376"/>
      <c r="AN626" s="1377"/>
      <c r="AO626" s="1371">
        <v>1595718</v>
      </c>
      <c r="AP626" s="1372"/>
      <c r="AQ626" s="1372"/>
      <c r="AR626" s="1372"/>
      <c r="AS626" s="1373"/>
      <c r="AT626" s="1080" t="str">
        <f t="shared" si="29"/>
        <v/>
      </c>
      <c r="AU626" s="3"/>
      <c r="AV626" s="3"/>
      <c r="AW626" s="3"/>
      <c r="AX626" s="3"/>
      <c r="AY626" s="3"/>
      <c r="AZ626" s="3"/>
      <c r="BA626" s="3" t="s">
        <v>1529</v>
      </c>
      <c r="BB626" s="3"/>
      <c r="BC626" s="3"/>
      <c r="BD626" s="3"/>
      <c r="BE626" s="3"/>
      <c r="BF626" s="3"/>
      <c r="BG626" s="3"/>
      <c r="BH626" s="3"/>
      <c r="BI626" s="3"/>
      <c r="BJ626" s="3"/>
      <c r="BK626" s="3"/>
      <c r="BL626" s="3"/>
      <c r="BM626" s="3"/>
      <c r="BN626" s="1363">
        <f>IF(J758="SRO/Studio",O758,0)</f>
        <v>0</v>
      </c>
      <c r="BO626" s="1364"/>
      <c r="BP626" s="1364"/>
      <c r="BQ626" s="1364"/>
      <c r="BR626" s="1365"/>
      <c r="BS626" s="1369">
        <f>IF(J758="1 Bedroom",O758,0)</f>
        <v>0</v>
      </c>
      <c r="BT626" s="1369"/>
      <c r="BU626" s="1369"/>
      <c r="BV626" s="1369"/>
      <c r="BW626" s="1369"/>
      <c r="BX626" s="1369">
        <f>IF(J758="2 Bedrooms",O758,0)</f>
        <v>0</v>
      </c>
      <c r="BY626" s="1369"/>
      <c r="BZ626" s="1369"/>
      <c r="CA626" s="1369"/>
      <c r="CB626" s="1369"/>
      <c r="CC626" s="1369">
        <f>IF(J758="3 Bedrooms",O758,0)</f>
        <v>1</v>
      </c>
      <c r="CD626" s="1369"/>
      <c r="CE626" s="1369"/>
      <c r="CF626" s="1369"/>
      <c r="CG626" s="1369"/>
      <c r="CH626" s="1369">
        <f>IF(J758="4 Bedrooms",O758,0)</f>
        <v>0</v>
      </c>
      <c r="CI626" s="1369"/>
      <c r="CJ626" s="1369"/>
      <c r="CK626" s="1369"/>
      <c r="CL626" s="1369"/>
      <c r="CM626" s="1369">
        <f>IF(J758="5 Bedrooms",O758,0)</f>
        <v>0</v>
      </c>
      <c r="CN626" s="1369"/>
      <c r="CO626" s="1369"/>
      <c r="CP626" s="1369"/>
      <c r="CQ626" s="1369"/>
      <c r="CR626" s="279"/>
      <c r="CS626" s="3"/>
      <c r="CT626" s="3"/>
      <c r="CU626" s="3"/>
      <c r="CV626" s="3"/>
      <c r="CW626" s="3"/>
      <c r="CX626" s="3"/>
      <c r="CY626" s="3"/>
      <c r="CZ626" s="3"/>
      <c r="DA626" s="3"/>
      <c r="DB626" s="3"/>
      <c r="DC626" s="3"/>
      <c r="DD626" s="3"/>
      <c r="DE626" s="3"/>
      <c r="DF626" s="3"/>
      <c r="DX626" s="1361" t="e">
        <f t="shared" si="23"/>
        <v>#VALUE!</v>
      </c>
      <c r="DY626" s="1361"/>
      <c r="DZ626" s="1361"/>
      <c r="EA626" s="1361"/>
      <c r="EB626" s="1361"/>
      <c r="EC626" s="1361" t="e">
        <f t="shared" si="24"/>
        <v>#VALUE!</v>
      </c>
      <c r="ED626" s="1361"/>
      <c r="EE626" s="1361"/>
      <c r="EF626" s="1361"/>
      <c r="EG626" s="1361"/>
      <c r="EH626" s="1361">
        <f t="shared" si="25"/>
        <v>458.14285714285711</v>
      </c>
      <c r="EI626" s="1361"/>
      <c r="EJ626" s="1361"/>
      <c r="EK626" s="1361"/>
      <c r="EL626" s="1361"/>
      <c r="EM626" s="1361" t="e">
        <f t="shared" si="26"/>
        <v>#VALUE!</v>
      </c>
      <c r="EN626" s="1361"/>
      <c r="EO626" s="1361"/>
      <c r="EP626" s="1361"/>
      <c r="EQ626" s="1361"/>
      <c r="ER626" s="1361" t="e">
        <f t="shared" si="27"/>
        <v>#VALUE!</v>
      </c>
      <c r="ES626" s="1361"/>
      <c r="ET626" s="1361"/>
      <c r="EU626" s="1361"/>
      <c r="EV626" s="1361"/>
      <c r="EW626" s="1361" t="e">
        <f t="shared" si="28"/>
        <v>#VALUE!</v>
      </c>
      <c r="EX626" s="1361"/>
      <c r="EY626" s="1361"/>
      <c r="EZ626" s="1361"/>
      <c r="FA626" s="1361"/>
    </row>
    <row r="627" spans="1:157" ht="12.95" customHeight="1">
      <c r="B627" s="45" t="s">
        <v>85</v>
      </c>
      <c r="C627" s="1304" t="s">
        <v>1484</v>
      </c>
      <c r="D627" s="1304"/>
      <c r="E627" s="1304"/>
      <c r="F627" s="1304"/>
      <c r="G627" s="1304"/>
      <c r="H627" s="1304"/>
      <c r="I627" s="1304"/>
      <c r="J627" s="1304"/>
      <c r="K627" s="1304"/>
      <c r="L627" s="1304"/>
      <c r="M627" s="1345" t="s">
        <v>1433</v>
      </c>
      <c r="N627" s="1345"/>
      <c r="O627" s="1345"/>
      <c r="P627" s="1345"/>
      <c r="Q627" s="1313">
        <v>0</v>
      </c>
      <c r="R627" s="1314"/>
      <c r="S627" s="1315"/>
      <c r="T627" s="1313">
        <v>0</v>
      </c>
      <c r="U627" s="1314"/>
      <c r="V627" s="1315"/>
      <c r="W627" s="1319">
        <v>0</v>
      </c>
      <c r="X627" s="1320"/>
      <c r="Y627" s="1321"/>
      <c r="Z627" s="1316"/>
      <c r="AA627" s="1317"/>
      <c r="AB627" s="1318"/>
      <c r="AC627" s="1309"/>
      <c r="AD627" s="1310"/>
      <c r="AE627" s="1311"/>
      <c r="AF627" s="1328"/>
      <c r="AG627" s="1329"/>
      <c r="AH627" s="1329"/>
      <c r="AI627" s="1329"/>
      <c r="AJ627" s="1330"/>
      <c r="AK627" s="1375"/>
      <c r="AL627" s="1376"/>
      <c r="AM627" s="1376"/>
      <c r="AN627" s="1377"/>
      <c r="AO627" s="1371">
        <v>7307100</v>
      </c>
      <c r="AP627" s="1372"/>
      <c r="AQ627" s="1372"/>
      <c r="AR627" s="1372"/>
      <c r="AS627" s="1373"/>
      <c r="AT627" s="1080" t="str">
        <f t="shared" si="29"/>
        <v/>
      </c>
      <c r="AU627" s="3"/>
      <c r="AV627" s="3"/>
      <c r="AW627" s="3"/>
      <c r="AX627" s="3"/>
      <c r="AY627" s="3"/>
      <c r="AZ627" s="3"/>
      <c r="BA627" s="3" t="s">
        <v>1143</v>
      </c>
      <c r="BB627" s="3"/>
      <c r="BC627" s="3"/>
      <c r="BD627" s="3"/>
      <c r="BE627" s="3"/>
      <c r="BF627" s="3"/>
      <c r="BG627" s="3"/>
      <c r="BH627" s="3"/>
      <c r="BI627" s="3"/>
      <c r="BJ627" s="3"/>
      <c r="BK627" s="3"/>
      <c r="BL627" s="3"/>
      <c r="BM627" s="3"/>
      <c r="BN627" s="1363">
        <f>IF(J759="SRO/Studio",O759,0)</f>
        <v>0</v>
      </c>
      <c r="BO627" s="1364"/>
      <c r="BP627" s="1364"/>
      <c r="BQ627" s="1364"/>
      <c r="BR627" s="1365"/>
      <c r="BS627" s="1369">
        <f>IF(J759="1 Bedroom",O759,0)</f>
        <v>0</v>
      </c>
      <c r="BT627" s="1369"/>
      <c r="BU627" s="1369"/>
      <c r="BV627" s="1369"/>
      <c r="BW627" s="1369"/>
      <c r="BX627" s="1369">
        <f>IF(J759="2 Bedrooms",O759,0)</f>
        <v>0</v>
      </c>
      <c r="BY627" s="1369"/>
      <c r="BZ627" s="1369"/>
      <c r="CA627" s="1369"/>
      <c r="CB627" s="1369"/>
      <c r="CC627" s="1369">
        <f>IF(J759="3 Bedrooms",O759,0)</f>
        <v>0</v>
      </c>
      <c r="CD627" s="1369"/>
      <c r="CE627" s="1369"/>
      <c r="CF627" s="1369"/>
      <c r="CG627" s="1369"/>
      <c r="CH627" s="1369">
        <f>IF(J759="4 Bedrooms",O759,0)</f>
        <v>0</v>
      </c>
      <c r="CI627" s="1369"/>
      <c r="CJ627" s="1369"/>
      <c r="CK627" s="1369"/>
      <c r="CL627" s="1369"/>
      <c r="CM627" s="1369">
        <f>IF(J759="5 Bedrooms",O759,0)</f>
        <v>0</v>
      </c>
      <c r="CN627" s="1369"/>
      <c r="CO627" s="1369"/>
      <c r="CP627" s="1369"/>
      <c r="CQ627" s="1369"/>
      <c r="CR627" s="279"/>
      <c r="CS627" s="3"/>
      <c r="CT627" s="3"/>
      <c r="CU627" s="3"/>
      <c r="CV627" s="3"/>
      <c r="CW627" s="3"/>
      <c r="CX627" s="3"/>
      <c r="CY627" s="3"/>
      <c r="CZ627" s="3"/>
      <c r="DA627" s="3"/>
      <c r="DB627" s="3"/>
      <c r="DC627" s="3"/>
      <c r="DD627" s="3"/>
      <c r="DE627" s="3"/>
      <c r="DF627" s="3"/>
      <c r="DX627" s="1361" t="e">
        <f t="shared" si="23"/>
        <v>#VALUE!</v>
      </c>
      <c r="DY627" s="1361"/>
      <c r="DZ627" s="1361"/>
      <c r="EA627" s="1361"/>
      <c r="EB627" s="1361"/>
      <c r="EC627" s="1361" t="e">
        <f t="shared" si="24"/>
        <v>#VALUE!</v>
      </c>
      <c r="ED627" s="1361"/>
      <c r="EE627" s="1361"/>
      <c r="EF627" s="1361"/>
      <c r="EG627" s="1361"/>
      <c r="EH627" s="1361" t="e">
        <f t="shared" si="25"/>
        <v>#VALUE!</v>
      </c>
      <c r="EI627" s="1361"/>
      <c r="EJ627" s="1361"/>
      <c r="EK627" s="1361"/>
      <c r="EL627" s="1361"/>
      <c r="EM627" s="1361">
        <f t="shared" si="26"/>
        <v>117.04761904761904</v>
      </c>
      <c r="EN627" s="1361"/>
      <c r="EO627" s="1361"/>
      <c r="EP627" s="1361"/>
      <c r="EQ627" s="1361"/>
      <c r="ER627" s="1361" t="e">
        <f t="shared" si="27"/>
        <v>#VALUE!</v>
      </c>
      <c r="ES627" s="1361"/>
      <c r="ET627" s="1361"/>
      <c r="EU627" s="1361"/>
      <c r="EV627" s="1361"/>
      <c r="EW627" s="1361" t="e">
        <f t="shared" si="28"/>
        <v>#VALUE!</v>
      </c>
      <c r="EX627" s="1361"/>
      <c r="EY627" s="1361"/>
      <c r="EZ627" s="1361"/>
      <c r="FA627" s="1361"/>
    </row>
    <row r="628" spans="1:157" ht="12.95" customHeight="1">
      <c r="B628" s="45" t="s">
        <v>1483</v>
      </c>
      <c r="C628" s="1304"/>
      <c r="D628" s="1304"/>
      <c r="E628" s="1304"/>
      <c r="F628" s="1304"/>
      <c r="G628" s="1304"/>
      <c r="H628" s="1304"/>
      <c r="I628" s="1304"/>
      <c r="J628" s="1304"/>
      <c r="K628" s="1304"/>
      <c r="L628" s="1304"/>
      <c r="M628" s="1345"/>
      <c r="N628" s="1345"/>
      <c r="O628" s="1345"/>
      <c r="P628" s="1345"/>
      <c r="Q628" s="1313"/>
      <c r="R628" s="1314"/>
      <c r="S628" s="1315"/>
      <c r="T628" s="1313"/>
      <c r="U628" s="1314"/>
      <c r="V628" s="1315"/>
      <c r="W628" s="1319"/>
      <c r="X628" s="1320"/>
      <c r="Y628" s="1321"/>
      <c r="Z628" s="1316"/>
      <c r="AA628" s="1317"/>
      <c r="AB628" s="1318"/>
      <c r="AC628" s="1309"/>
      <c r="AD628" s="1310"/>
      <c r="AE628" s="1311"/>
      <c r="AF628" s="1328"/>
      <c r="AG628" s="1329"/>
      <c r="AH628" s="1329"/>
      <c r="AI628" s="1329"/>
      <c r="AJ628" s="1330"/>
      <c r="AK628" s="1375"/>
      <c r="AL628" s="1376"/>
      <c r="AM628" s="1376"/>
      <c r="AN628" s="1377"/>
      <c r="AO628" s="1371"/>
      <c r="AP628" s="1372"/>
      <c r="AQ628" s="1372"/>
      <c r="AR628" s="1372"/>
      <c r="AS628" s="1373"/>
      <c r="AT628" s="1080" t="str">
        <f t="shared" si="29"/>
        <v/>
      </c>
      <c r="AU628" s="3"/>
      <c r="AV628" s="3"/>
      <c r="AW628" s="3"/>
      <c r="AX628" s="3"/>
      <c r="AY628" s="3"/>
      <c r="AZ628" s="3"/>
      <c r="BA628" s="3"/>
      <c r="BB628" s="3"/>
      <c r="BC628" s="3"/>
      <c r="BD628" s="3"/>
      <c r="BE628" s="3"/>
      <c r="BF628" s="3"/>
      <c r="BG628" s="3"/>
      <c r="BH628" s="3"/>
      <c r="BI628" s="3"/>
      <c r="BJ628" s="3"/>
      <c r="BK628" s="3"/>
      <c r="BL628" s="3"/>
      <c r="BM628" s="3"/>
      <c r="BN628" s="1363">
        <f>IF(J760="SRO/Studio",O760,0)</f>
        <v>0</v>
      </c>
      <c r="BO628" s="1364"/>
      <c r="BP628" s="1364"/>
      <c r="BQ628" s="1364"/>
      <c r="BR628" s="1365"/>
      <c r="BS628" s="1369">
        <f>IF(J760="1 Bedroom",O760,0)</f>
        <v>0</v>
      </c>
      <c r="BT628" s="1369"/>
      <c r="BU628" s="1369"/>
      <c r="BV628" s="1369"/>
      <c r="BW628" s="1369"/>
      <c r="BX628" s="1369">
        <f>IF(J760="2 Bedrooms",O760,0)</f>
        <v>0</v>
      </c>
      <c r="BY628" s="1369"/>
      <c r="BZ628" s="1369"/>
      <c r="CA628" s="1369"/>
      <c r="CB628" s="1369"/>
      <c r="CC628" s="1369">
        <f>IF(J760="3 Bedrooms",O760,0)</f>
        <v>0</v>
      </c>
      <c r="CD628" s="1369"/>
      <c r="CE628" s="1369"/>
      <c r="CF628" s="1369"/>
      <c r="CG628" s="1369"/>
      <c r="CH628" s="1369">
        <f>IF(J760="4 Bedrooms",O760,0)</f>
        <v>0</v>
      </c>
      <c r="CI628" s="1369"/>
      <c r="CJ628" s="1369"/>
      <c r="CK628" s="1369"/>
      <c r="CL628" s="1369"/>
      <c r="CM628" s="1369">
        <f>IF(J760="5 Bedrooms",O760,0)</f>
        <v>0</v>
      </c>
      <c r="CN628" s="1369"/>
      <c r="CO628" s="1369"/>
      <c r="CP628" s="1369"/>
      <c r="CQ628" s="1369"/>
      <c r="CR628" s="279"/>
      <c r="CV628" s="3"/>
      <c r="CW628" s="3"/>
      <c r="CX628" s="3"/>
      <c r="CY628" s="3"/>
      <c r="CZ628" s="3"/>
      <c r="DA628" s="3"/>
      <c r="DB628" s="3"/>
      <c r="DC628" s="3"/>
      <c r="DD628" s="3"/>
      <c r="DE628" s="3"/>
      <c r="DF628" s="3"/>
      <c r="DX628" s="1361">
        <f t="shared" si="23"/>
        <v>179.125</v>
      </c>
      <c r="DY628" s="1361"/>
      <c r="DZ628" s="1361"/>
      <c r="EA628" s="1361"/>
      <c r="EB628" s="1361"/>
      <c r="EC628" s="1361" t="e">
        <f t="shared" si="24"/>
        <v>#VALUE!</v>
      </c>
      <c r="ED628" s="1361"/>
      <c r="EE628" s="1361"/>
      <c r="EF628" s="1361"/>
      <c r="EG628" s="1361"/>
      <c r="EH628" s="1361" t="e">
        <f t="shared" si="25"/>
        <v>#VALUE!</v>
      </c>
      <c r="EI628" s="1361"/>
      <c r="EJ628" s="1361"/>
      <c r="EK628" s="1361"/>
      <c r="EL628" s="1361"/>
      <c r="EM628" s="1361" t="e">
        <f t="shared" si="26"/>
        <v>#VALUE!</v>
      </c>
      <c r="EN628" s="1361"/>
      <c r="EO628" s="1361"/>
      <c r="EP628" s="1361"/>
      <c r="EQ628" s="1361"/>
      <c r="ER628" s="1361" t="e">
        <f t="shared" si="27"/>
        <v>#VALUE!</v>
      </c>
      <c r="ES628" s="1361"/>
      <c r="ET628" s="1361"/>
      <c r="EU628" s="1361"/>
      <c r="EV628" s="1361"/>
      <c r="EW628" s="1361" t="e">
        <f t="shared" si="28"/>
        <v>#VALUE!</v>
      </c>
      <c r="EX628" s="1361"/>
      <c r="EY628" s="1361"/>
      <c r="EZ628" s="1361"/>
      <c r="FA628" s="1361"/>
    </row>
    <row r="629" spans="1:157" ht="12.95" customHeight="1">
      <c r="B629" s="45" t="s">
        <v>1485</v>
      </c>
      <c r="C629" s="1304"/>
      <c r="D629" s="1304"/>
      <c r="E629" s="1304"/>
      <c r="F629" s="1304"/>
      <c r="G629" s="1304"/>
      <c r="H629" s="1304"/>
      <c r="I629" s="1304"/>
      <c r="J629" s="1304"/>
      <c r="K629" s="1304"/>
      <c r="L629" s="1304"/>
      <c r="M629" s="1345"/>
      <c r="N629" s="1345"/>
      <c r="O629" s="1345"/>
      <c r="P629" s="1345"/>
      <c r="Q629" s="1313"/>
      <c r="R629" s="1314"/>
      <c r="S629" s="1315"/>
      <c r="T629" s="1313"/>
      <c r="U629" s="1314"/>
      <c r="V629" s="1315"/>
      <c r="W629" s="1319"/>
      <c r="X629" s="1320"/>
      <c r="Y629" s="1321"/>
      <c r="Z629" s="1316"/>
      <c r="AA629" s="1317"/>
      <c r="AB629" s="1318"/>
      <c r="AC629" s="1309"/>
      <c r="AD629" s="1310"/>
      <c r="AE629" s="1311"/>
      <c r="AF629" s="1328"/>
      <c r="AG629" s="1329"/>
      <c r="AH629" s="1329"/>
      <c r="AI629" s="1329"/>
      <c r="AJ629" s="1330"/>
      <c r="AK629" s="1375"/>
      <c r="AL629" s="1376"/>
      <c r="AM629" s="1376"/>
      <c r="AN629" s="1377"/>
      <c r="AO629" s="1371"/>
      <c r="AP629" s="1372"/>
      <c r="AQ629" s="1372"/>
      <c r="AR629" s="1372"/>
      <c r="AS629" s="1373"/>
      <c r="AT629" s="1080" t="str">
        <f t="shared" si="29"/>
        <v/>
      </c>
      <c r="AU629" s="3"/>
      <c r="AV629" s="3"/>
      <c r="AW629" s="3"/>
      <c r="AX629" s="3"/>
      <c r="AY629" s="3"/>
      <c r="AZ629" s="3"/>
      <c r="BA629" s="3"/>
      <c r="BB629" s="3"/>
      <c r="BC629" s="3"/>
      <c r="BD629" s="3"/>
      <c r="BE629" s="3"/>
      <c r="BF629" s="3"/>
      <c r="BG629" s="3"/>
      <c r="BH629" s="3"/>
      <c r="BI629" s="3"/>
      <c r="BJ629" s="3"/>
      <c r="BK629" s="3"/>
      <c r="BL629" s="3"/>
      <c r="BM629" s="3"/>
      <c r="BN629" s="1363">
        <f>IF(J761="SRO/Studio",O761,0)</f>
        <v>0</v>
      </c>
      <c r="BO629" s="1364"/>
      <c r="BP629" s="1364"/>
      <c r="BQ629" s="1364"/>
      <c r="BR629" s="1365"/>
      <c r="BS629" s="1369">
        <f>IF(J761="1 Bedroom",O761,0)</f>
        <v>0</v>
      </c>
      <c r="BT629" s="1369"/>
      <c r="BU629" s="1369"/>
      <c r="BV629" s="1369"/>
      <c r="BW629" s="1369"/>
      <c r="BX629" s="1369">
        <f>IF(J761="2 Bedrooms",O761,0)</f>
        <v>0</v>
      </c>
      <c r="BY629" s="1369"/>
      <c r="BZ629" s="1369"/>
      <c r="CA629" s="1369"/>
      <c r="CB629" s="1369"/>
      <c r="CC629" s="1369">
        <f>IF(J761="3 Bedrooms",O761,0)</f>
        <v>0</v>
      </c>
      <c r="CD629" s="1369"/>
      <c r="CE629" s="1369"/>
      <c r="CF629" s="1369"/>
      <c r="CG629" s="1369"/>
      <c r="CH629" s="1369">
        <f>IF(J761="4 Bedrooms",O761,0)</f>
        <v>0</v>
      </c>
      <c r="CI629" s="1369"/>
      <c r="CJ629" s="1369"/>
      <c r="CK629" s="1369"/>
      <c r="CL629" s="1369"/>
      <c r="CM629" s="1369">
        <f>IF(J761="5 Bedrooms",O761,0)</f>
        <v>0</v>
      </c>
      <c r="CN629" s="1369"/>
      <c r="CO629" s="1369"/>
      <c r="CP629" s="1369"/>
      <c r="CQ629" s="1369"/>
      <c r="CV629" s="3"/>
      <c r="CW629" s="3"/>
      <c r="CX629" s="3"/>
      <c r="CY629" s="3"/>
      <c r="CZ629" s="3"/>
      <c r="DA629" s="3"/>
      <c r="DB629" s="3"/>
      <c r="DC629" s="3"/>
      <c r="DD629" s="3"/>
      <c r="DE629" s="3"/>
      <c r="DF629" s="3"/>
      <c r="DX629" s="1361" t="e">
        <f t="shared" si="23"/>
        <v>#VALUE!</v>
      </c>
      <c r="DY629" s="1361"/>
      <c r="DZ629" s="1361"/>
      <c r="EA629" s="1361"/>
      <c r="EB629" s="1361"/>
      <c r="EC629" s="1361">
        <f t="shared" si="24"/>
        <v>680.44444444444446</v>
      </c>
      <c r="ED629" s="1361"/>
      <c r="EE629" s="1361"/>
      <c r="EF629" s="1361"/>
      <c r="EG629" s="1361"/>
      <c r="EH629" s="1361" t="e">
        <f t="shared" si="25"/>
        <v>#VALUE!</v>
      </c>
      <c r="EI629" s="1361"/>
      <c r="EJ629" s="1361"/>
      <c r="EK629" s="1361"/>
      <c r="EL629" s="1361"/>
      <c r="EM629" s="1361" t="e">
        <f t="shared" si="26"/>
        <v>#VALUE!</v>
      </c>
      <c r="EN629" s="1361"/>
      <c r="EO629" s="1361"/>
      <c r="EP629" s="1361"/>
      <c r="EQ629" s="1361"/>
      <c r="ER629" s="1361" t="e">
        <f t="shared" si="27"/>
        <v>#VALUE!</v>
      </c>
      <c r="ES629" s="1361"/>
      <c r="ET629" s="1361"/>
      <c r="EU629" s="1361"/>
      <c r="EV629" s="1361"/>
      <c r="EW629" s="1361" t="e">
        <f t="shared" si="28"/>
        <v>#VALUE!</v>
      </c>
      <c r="EX629" s="1361"/>
      <c r="EY629" s="1361"/>
      <c r="EZ629" s="1361"/>
      <c r="FA629" s="1361"/>
    </row>
    <row r="630" spans="1:157" ht="12.95" customHeight="1">
      <c r="B630" s="45" t="s">
        <v>1487</v>
      </c>
      <c r="C630" s="1304"/>
      <c r="D630" s="1304"/>
      <c r="E630" s="1304"/>
      <c r="F630" s="1304"/>
      <c r="G630" s="1304"/>
      <c r="H630" s="1304"/>
      <c r="I630" s="1304"/>
      <c r="J630" s="1304"/>
      <c r="K630" s="1304"/>
      <c r="L630" s="1304"/>
      <c r="M630" s="1345"/>
      <c r="N630" s="1345"/>
      <c r="O630" s="1345"/>
      <c r="P630" s="1345"/>
      <c r="Q630" s="1313"/>
      <c r="R630" s="1314"/>
      <c r="S630" s="1315"/>
      <c r="T630" s="1313"/>
      <c r="U630" s="1314"/>
      <c r="V630" s="1315"/>
      <c r="W630" s="1319"/>
      <c r="X630" s="1320"/>
      <c r="Y630" s="1321"/>
      <c r="Z630" s="1316"/>
      <c r="AA630" s="1317"/>
      <c r="AB630" s="1318"/>
      <c r="AC630" s="1309"/>
      <c r="AD630" s="1310"/>
      <c r="AE630" s="1311"/>
      <c r="AF630" s="1328"/>
      <c r="AG630" s="1329"/>
      <c r="AH630" s="1329"/>
      <c r="AI630" s="1329"/>
      <c r="AJ630" s="1330"/>
      <c r="AK630" s="1375"/>
      <c r="AL630" s="1376"/>
      <c r="AM630" s="1376"/>
      <c r="AN630" s="1377"/>
      <c r="AO630" s="1371"/>
      <c r="AP630" s="1372"/>
      <c r="AQ630" s="1372"/>
      <c r="AR630" s="1372"/>
      <c r="AS630" s="1373"/>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66">
        <f>SUM(BN626:BR629)</f>
        <v>0</v>
      </c>
      <c r="BO630" s="1367"/>
      <c r="BP630" s="1367"/>
      <c r="BQ630" s="1367"/>
      <c r="BR630" s="1368"/>
      <c r="BS630" s="1366">
        <f>SUM(BS626:BW629)</f>
        <v>0</v>
      </c>
      <c r="BT630" s="1367"/>
      <c r="BU630" s="1367"/>
      <c r="BV630" s="1367"/>
      <c r="BW630" s="1368"/>
      <c r="BX630" s="1366">
        <f>SUM(BX626:CB629)</f>
        <v>0</v>
      </c>
      <c r="BY630" s="1367"/>
      <c r="BZ630" s="1367"/>
      <c r="CA630" s="1367"/>
      <c r="CB630" s="1368"/>
      <c r="CC630" s="1366">
        <f>SUM(CC626:CG629)</f>
        <v>1</v>
      </c>
      <c r="CD630" s="1367"/>
      <c r="CE630" s="1367"/>
      <c r="CF630" s="1367"/>
      <c r="CG630" s="1368"/>
      <c r="CH630" s="1366">
        <f>SUM(CH626:CL629)</f>
        <v>0</v>
      </c>
      <c r="CI630" s="1367"/>
      <c r="CJ630" s="1367"/>
      <c r="CK630" s="1367"/>
      <c r="CL630" s="1368"/>
      <c r="CM630" s="1366">
        <f>SUM(CM626:CQ629)</f>
        <v>0</v>
      </c>
      <c r="CN630" s="1367"/>
      <c r="CO630" s="1367"/>
      <c r="CP630" s="1367"/>
      <c r="CQ630" s="1368"/>
      <c r="CS630" s="786">
        <f>BN630+BS630+BX630+CC630+CH630+CM630</f>
        <v>1</v>
      </c>
      <c r="CT630" s="50" t="s">
        <v>1534</v>
      </c>
      <c r="CU630" s="3"/>
      <c r="CV630" s="3"/>
      <c r="CW630" s="3"/>
      <c r="CX630" s="3"/>
      <c r="CY630" s="3"/>
      <c r="CZ630" s="3"/>
      <c r="DA630" s="3"/>
      <c r="DB630" s="3"/>
      <c r="DC630" s="3"/>
      <c r="DD630" s="3"/>
      <c r="DE630" s="3"/>
      <c r="DF630" s="3"/>
      <c r="DX630" s="1361" t="e">
        <f t="shared" si="23"/>
        <v>#VALUE!</v>
      </c>
      <c r="DY630" s="1361"/>
      <c r="DZ630" s="1361"/>
      <c r="EA630" s="1361"/>
      <c r="EB630" s="1361"/>
      <c r="EC630" s="1361" t="e">
        <f t="shared" si="24"/>
        <v>#VALUE!</v>
      </c>
      <c r="ED630" s="1361"/>
      <c r="EE630" s="1361"/>
      <c r="EF630" s="1361"/>
      <c r="EG630" s="1361"/>
      <c r="EH630" s="1361">
        <f t="shared" si="25"/>
        <v>1044.5714285714284</v>
      </c>
      <c r="EI630" s="1361"/>
      <c r="EJ630" s="1361"/>
      <c r="EK630" s="1361"/>
      <c r="EL630" s="1361"/>
      <c r="EM630" s="1361" t="e">
        <f t="shared" si="26"/>
        <v>#VALUE!</v>
      </c>
      <c r="EN630" s="1361"/>
      <c r="EO630" s="1361"/>
      <c r="EP630" s="1361"/>
      <c r="EQ630" s="1361"/>
      <c r="ER630" s="1361" t="e">
        <f t="shared" si="27"/>
        <v>#VALUE!</v>
      </c>
      <c r="ES630" s="1361"/>
      <c r="ET630" s="1361"/>
      <c r="EU630" s="1361"/>
      <c r="EV630" s="1361"/>
      <c r="EW630" s="1361" t="e">
        <f t="shared" si="28"/>
        <v>#VALUE!</v>
      </c>
      <c r="EX630" s="1361"/>
      <c r="EY630" s="1361"/>
      <c r="EZ630" s="1361"/>
      <c r="FA630" s="1361"/>
    </row>
    <row r="631" spans="1:157" ht="12.95" customHeight="1">
      <c r="B631" s="45" t="s">
        <v>1488</v>
      </c>
      <c r="C631" s="1304"/>
      <c r="D631" s="1304"/>
      <c r="E631" s="1304"/>
      <c r="F631" s="1304"/>
      <c r="G631" s="1304"/>
      <c r="H631" s="1304"/>
      <c r="I631" s="1304"/>
      <c r="J631" s="1304"/>
      <c r="K631" s="1304"/>
      <c r="L631" s="1304"/>
      <c r="M631" s="1345"/>
      <c r="N631" s="1345"/>
      <c r="O631" s="1345"/>
      <c r="P631" s="1345"/>
      <c r="Q631" s="1313"/>
      <c r="R631" s="1314"/>
      <c r="S631" s="1315"/>
      <c r="T631" s="1313"/>
      <c r="U631" s="1314"/>
      <c r="V631" s="1315"/>
      <c r="W631" s="1319"/>
      <c r="X631" s="1320"/>
      <c r="Y631" s="1321"/>
      <c r="Z631" s="1316"/>
      <c r="AA631" s="1317"/>
      <c r="AB631" s="1318"/>
      <c r="AC631" s="1309"/>
      <c r="AD631" s="1310"/>
      <c r="AE631" s="1311"/>
      <c r="AF631" s="1328"/>
      <c r="AG631" s="1329"/>
      <c r="AH631" s="1329"/>
      <c r="AI631" s="1329"/>
      <c r="AJ631" s="1330"/>
      <c r="AK631" s="1375"/>
      <c r="AL631" s="1376"/>
      <c r="AM631" s="1376"/>
      <c r="AN631" s="1377"/>
      <c r="AO631" s="1371"/>
      <c r="AP631" s="1372"/>
      <c r="AQ631" s="1372"/>
      <c r="AR631" s="1372"/>
      <c r="AS631" s="1373"/>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0</v>
      </c>
      <c r="CC631" s="3"/>
      <c r="CD631" s="3"/>
      <c r="CE631" s="3"/>
      <c r="CF631" s="3"/>
      <c r="CG631" s="786">
        <f>CC630*3</f>
        <v>3</v>
      </c>
      <c r="CH631" s="3"/>
      <c r="CI631" s="3"/>
      <c r="CJ631" s="3"/>
      <c r="CK631" s="3"/>
      <c r="CL631" s="786">
        <f>CH630*4</f>
        <v>0</v>
      </c>
      <c r="CM631" s="3"/>
      <c r="CN631" s="3"/>
      <c r="CO631" s="3"/>
      <c r="CP631" s="3"/>
      <c r="CQ631" s="786">
        <f>CM630*5</f>
        <v>0</v>
      </c>
      <c r="CS631" s="786">
        <f>BR631+BW631+CB631+CG631+CL631+CQ631</f>
        <v>3</v>
      </c>
      <c r="CT631" s="50" t="s">
        <v>1535</v>
      </c>
      <c r="CU631" s="3"/>
      <c r="CV631" s="3"/>
      <c r="CW631" s="3"/>
      <c r="CX631" s="3"/>
      <c r="CY631" s="3"/>
      <c r="CZ631" s="3"/>
      <c r="DA631" s="3"/>
      <c r="DB631" s="3"/>
      <c r="DC631" s="3"/>
      <c r="DD631" s="3"/>
      <c r="DE631" s="3"/>
      <c r="DF631" s="3"/>
      <c r="DX631" s="1361" t="e">
        <f t="shared" si="23"/>
        <v>#VALUE!</v>
      </c>
      <c r="DY631" s="1361"/>
      <c r="DZ631" s="1361"/>
      <c r="EA631" s="1361"/>
      <c r="EB631" s="1361"/>
      <c r="EC631" s="1361" t="e">
        <f t="shared" si="24"/>
        <v>#VALUE!</v>
      </c>
      <c r="ED631" s="1361"/>
      <c r="EE631" s="1361"/>
      <c r="EF631" s="1361"/>
      <c r="EG631" s="1361"/>
      <c r="EH631" s="1361" t="e">
        <f t="shared" si="25"/>
        <v>#VALUE!</v>
      </c>
      <c r="EI631" s="1361"/>
      <c r="EJ631" s="1361"/>
      <c r="EK631" s="1361"/>
      <c r="EL631" s="1361"/>
      <c r="EM631" s="1361">
        <f t="shared" si="26"/>
        <v>1904.5238095238096</v>
      </c>
      <c r="EN631" s="1361"/>
      <c r="EO631" s="1361"/>
      <c r="EP631" s="1361"/>
      <c r="EQ631" s="1361"/>
      <c r="ER631" s="1361" t="e">
        <f t="shared" si="27"/>
        <v>#VALUE!</v>
      </c>
      <c r="ES631" s="1361"/>
      <c r="ET631" s="1361"/>
      <c r="EU631" s="1361"/>
      <c r="EV631" s="1361"/>
      <c r="EW631" s="1361" t="e">
        <f t="shared" si="28"/>
        <v>#VALUE!</v>
      </c>
      <c r="EX631" s="1361"/>
      <c r="EY631" s="1361"/>
      <c r="EZ631" s="1361"/>
      <c r="FA631" s="1361"/>
    </row>
    <row r="632" spans="1:157" ht="12.95" customHeight="1">
      <c r="B632" s="45" t="s">
        <v>1489</v>
      </c>
      <c r="C632" s="1304"/>
      <c r="D632" s="1304"/>
      <c r="E632" s="1304"/>
      <c r="F632" s="1304"/>
      <c r="G632" s="1304"/>
      <c r="H632" s="1304"/>
      <c r="I632" s="1304"/>
      <c r="J632" s="1304"/>
      <c r="K632" s="1304"/>
      <c r="L632" s="1304"/>
      <c r="M632" s="1345"/>
      <c r="N632" s="1345"/>
      <c r="O632" s="1345"/>
      <c r="P632" s="1345"/>
      <c r="Q632" s="1313"/>
      <c r="R632" s="1314"/>
      <c r="S632" s="1315"/>
      <c r="T632" s="1313"/>
      <c r="U632" s="1314"/>
      <c r="V632" s="1315"/>
      <c r="W632" s="1319"/>
      <c r="X632" s="1320"/>
      <c r="Y632" s="1321"/>
      <c r="Z632" s="1316"/>
      <c r="AA632" s="1317"/>
      <c r="AB632" s="1318"/>
      <c r="AC632" s="1309"/>
      <c r="AD632" s="1310"/>
      <c r="AE632" s="1311"/>
      <c r="AF632" s="1328"/>
      <c r="AG632" s="1329"/>
      <c r="AH632" s="1329"/>
      <c r="AI632" s="1329"/>
      <c r="AJ632" s="1330"/>
      <c r="AK632" s="1375"/>
      <c r="AL632" s="1376"/>
      <c r="AM632" s="1376"/>
      <c r="AN632" s="1377"/>
      <c r="AO632" s="1371"/>
      <c r="AP632" s="1372"/>
      <c r="AQ632" s="1372"/>
      <c r="AR632" s="1372"/>
      <c r="AS632" s="1373"/>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61" t="e">
        <f t="shared" si="23"/>
        <v>#VALUE!</v>
      </c>
      <c r="DY632" s="1361"/>
      <c r="DZ632" s="1361"/>
      <c r="EA632" s="1361"/>
      <c r="EB632" s="1361"/>
      <c r="EC632" s="1361" t="e">
        <f t="shared" si="24"/>
        <v>#VALUE!</v>
      </c>
      <c r="ED632" s="1361"/>
      <c r="EE632" s="1361"/>
      <c r="EF632" s="1361"/>
      <c r="EG632" s="1361"/>
      <c r="EH632" s="1361" t="e">
        <f t="shared" si="25"/>
        <v>#VALUE!</v>
      </c>
      <c r="EI632" s="1361"/>
      <c r="EJ632" s="1361"/>
      <c r="EK632" s="1361"/>
      <c r="EL632" s="1361"/>
      <c r="EM632" s="1361" t="e">
        <f t="shared" si="26"/>
        <v>#VALUE!</v>
      </c>
      <c r="EN632" s="1361"/>
      <c r="EO632" s="1361"/>
      <c r="EP632" s="1361"/>
      <c r="EQ632" s="1361"/>
      <c r="ER632" s="1361" t="e">
        <f t="shared" si="27"/>
        <v>#VALUE!</v>
      </c>
      <c r="ES632" s="1361"/>
      <c r="ET632" s="1361"/>
      <c r="EU632" s="1361"/>
      <c r="EV632" s="1361"/>
      <c r="EW632" s="1361" t="e">
        <f t="shared" si="28"/>
        <v>#VALUE!</v>
      </c>
      <c r="EX632" s="1361"/>
      <c r="EY632" s="1361"/>
      <c r="EZ632" s="1361"/>
      <c r="FA632" s="1361"/>
    </row>
    <row r="633" spans="1:157" ht="12.95" customHeight="1">
      <c r="B633" s="45" t="s">
        <v>1490</v>
      </c>
      <c r="C633" s="1304"/>
      <c r="D633" s="1304"/>
      <c r="E633" s="1304"/>
      <c r="F633" s="1304"/>
      <c r="G633" s="1304"/>
      <c r="H633" s="1304"/>
      <c r="I633" s="1304"/>
      <c r="J633" s="1304"/>
      <c r="K633" s="1304"/>
      <c r="L633" s="1304"/>
      <c r="M633" s="1345"/>
      <c r="N633" s="1345"/>
      <c r="O633" s="1345"/>
      <c r="P633" s="1345"/>
      <c r="Q633" s="1313"/>
      <c r="R633" s="1314"/>
      <c r="S633" s="1315"/>
      <c r="T633" s="1313"/>
      <c r="U633" s="1314"/>
      <c r="V633" s="1315"/>
      <c r="W633" s="1319"/>
      <c r="X633" s="1320"/>
      <c r="Y633" s="1321"/>
      <c r="Z633" s="1316"/>
      <c r="AA633" s="1317"/>
      <c r="AB633" s="1318"/>
      <c r="AC633" s="1309"/>
      <c r="AD633" s="1310"/>
      <c r="AE633" s="1311"/>
      <c r="AF633" s="1328"/>
      <c r="AG633" s="1329"/>
      <c r="AH633" s="1329"/>
      <c r="AI633" s="1329"/>
      <c r="AJ633" s="1330"/>
      <c r="AK633" s="1375"/>
      <c r="AL633" s="1376"/>
      <c r="AM633" s="1376"/>
      <c r="AN633" s="1377"/>
      <c r="AO633" s="1371"/>
      <c r="AP633" s="1372"/>
      <c r="AQ633" s="1372"/>
      <c r="AR633" s="1372"/>
      <c r="AS633" s="1373"/>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1536</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1537</v>
      </c>
      <c r="CT633" s="3"/>
      <c r="CU633" s="3"/>
      <c r="CV633" s="3"/>
      <c r="CW633" s="3"/>
      <c r="CX633" s="3"/>
      <c r="CY633" s="3"/>
      <c r="CZ633" s="3"/>
      <c r="DA633" s="3"/>
      <c r="DB633" s="3"/>
      <c r="DC633" s="3"/>
      <c r="DD633" s="3"/>
      <c r="DE633" s="3"/>
      <c r="DF633" s="3"/>
      <c r="DX633" s="1361" t="e">
        <f t="shared" si="23"/>
        <v>#VALUE!</v>
      </c>
      <c r="DY633" s="1361"/>
      <c r="DZ633" s="1361"/>
      <c r="EA633" s="1361"/>
      <c r="EB633" s="1361"/>
      <c r="EC633" s="1361" t="e">
        <f t="shared" si="24"/>
        <v>#VALUE!</v>
      </c>
      <c r="ED633" s="1361"/>
      <c r="EE633" s="1361"/>
      <c r="EF633" s="1361"/>
      <c r="EG633" s="1361"/>
      <c r="EH633" s="1361" t="e">
        <f t="shared" si="25"/>
        <v>#VALUE!</v>
      </c>
      <c r="EI633" s="1361"/>
      <c r="EJ633" s="1361"/>
      <c r="EK633" s="1361"/>
      <c r="EL633" s="1361"/>
      <c r="EM633" s="1361" t="e">
        <f t="shared" si="26"/>
        <v>#VALUE!</v>
      </c>
      <c r="EN633" s="1361"/>
      <c r="EO633" s="1361"/>
      <c r="EP633" s="1361"/>
      <c r="EQ633" s="1361"/>
      <c r="ER633" s="1361" t="e">
        <f t="shared" si="27"/>
        <v>#VALUE!</v>
      </c>
      <c r="ES633" s="1361"/>
      <c r="ET633" s="1361"/>
      <c r="EU633" s="1361"/>
      <c r="EV633" s="1361"/>
      <c r="EW633" s="1361" t="e">
        <f t="shared" si="28"/>
        <v>#VALUE!</v>
      </c>
      <c r="EX633" s="1361"/>
      <c r="EY633" s="1361"/>
      <c r="EZ633" s="1361"/>
      <c r="FA633" s="1361"/>
    </row>
    <row r="634" spans="1:157" ht="12.95" customHeight="1">
      <c r="B634" s="45" t="s">
        <v>1491</v>
      </c>
      <c r="C634" s="1304"/>
      <c r="D634" s="1304"/>
      <c r="E634" s="1304"/>
      <c r="F634" s="1304"/>
      <c r="G634" s="1304"/>
      <c r="H634" s="1304"/>
      <c r="I634" s="1304"/>
      <c r="J634" s="1304"/>
      <c r="K634" s="1304"/>
      <c r="L634" s="1304"/>
      <c r="M634" s="1345"/>
      <c r="N634" s="1345"/>
      <c r="O634" s="1345"/>
      <c r="P634" s="1345"/>
      <c r="Q634" s="1313"/>
      <c r="R634" s="1314"/>
      <c r="S634" s="1315"/>
      <c r="T634" s="1313"/>
      <c r="U634" s="1314"/>
      <c r="V634" s="1315"/>
      <c r="W634" s="1319"/>
      <c r="X634" s="1320"/>
      <c r="Y634" s="1321"/>
      <c r="Z634" s="1316"/>
      <c r="AA634" s="1317"/>
      <c r="AB634" s="1318"/>
      <c r="AC634" s="1309"/>
      <c r="AD634" s="1310"/>
      <c r="AE634" s="1311"/>
      <c r="AF634" s="1328"/>
      <c r="AG634" s="1329"/>
      <c r="AH634" s="1329"/>
      <c r="AI634" s="1329"/>
      <c r="AJ634" s="1330"/>
      <c r="AK634" s="1375"/>
      <c r="AL634" s="1376"/>
      <c r="AM634" s="1376"/>
      <c r="AN634" s="1377"/>
      <c r="AO634" s="1371"/>
      <c r="AP634" s="1372"/>
      <c r="AQ634" s="1372"/>
      <c r="AR634" s="1372"/>
      <c r="AS634" s="1373"/>
      <c r="AT634" s="1080" t="str">
        <f t="shared" si="29"/>
        <v/>
      </c>
      <c r="AU634" s="3"/>
      <c r="AV634" s="3"/>
      <c r="AW634" s="3"/>
      <c r="AX634" s="3"/>
      <c r="AY634" s="3"/>
      <c r="AZ634" s="3"/>
      <c r="BA634" s="3"/>
      <c r="BB634" s="3"/>
      <c r="BC634" s="3"/>
      <c r="BD634" s="3"/>
      <c r="BE634" s="3"/>
      <c r="BF634" s="3"/>
      <c r="BG634" s="3"/>
      <c r="BH634" s="3"/>
      <c r="BI634" s="3"/>
      <c r="BJ634" s="3"/>
      <c r="BK634" s="3"/>
      <c r="BL634" s="3"/>
      <c r="BM634" s="3"/>
      <c r="BN634" s="1363">
        <f t="shared" ref="BN634:BN643" si="30">IF(J772="SRO/Studio",O772,0)</f>
        <v>0</v>
      </c>
      <c r="BO634" s="1364"/>
      <c r="BP634" s="1364"/>
      <c r="BQ634" s="1364"/>
      <c r="BR634" s="1365"/>
      <c r="BS634" s="1369">
        <f t="shared" ref="BS634:BS643" si="31">IF(J772="1 Bedroom",O772,0)</f>
        <v>0</v>
      </c>
      <c r="BT634" s="1369"/>
      <c r="BU634" s="1369"/>
      <c r="BV634" s="1369"/>
      <c r="BW634" s="1369"/>
      <c r="BX634" s="1369">
        <f t="shared" ref="BX634:BX643" si="32">IF(J772="2 Bedrooms",O772,0)</f>
        <v>0</v>
      </c>
      <c r="BY634" s="1369"/>
      <c r="BZ634" s="1369"/>
      <c r="CA634" s="1369"/>
      <c r="CB634" s="1369"/>
      <c r="CC634" s="1369">
        <f t="shared" ref="CC634:CC643" si="33">IF(J772="3 Bedrooms",O772,0)</f>
        <v>0</v>
      </c>
      <c r="CD634" s="1369"/>
      <c r="CE634" s="1369"/>
      <c r="CF634" s="1369"/>
      <c r="CG634" s="1369"/>
      <c r="CH634" s="1369">
        <f t="shared" ref="CH634:CH643" si="34">IF(J772="4 Bedrooms",O772,0)</f>
        <v>0</v>
      </c>
      <c r="CI634" s="1369"/>
      <c r="CJ634" s="1369"/>
      <c r="CK634" s="1369"/>
      <c r="CL634" s="1369"/>
      <c r="CM634" s="1369">
        <f t="shared" ref="CM634:CM643" si="35">IF(J772="5 Bedrooms",O772,0)</f>
        <v>0</v>
      </c>
      <c r="CN634" s="1369"/>
      <c r="CO634" s="1369"/>
      <c r="CP634" s="1369"/>
      <c r="CQ634" s="1369"/>
      <c r="CR634" s="279"/>
      <c r="CS634" s="1363">
        <f>IF(AND(BN634&gt;=1,AH772&gt;=0.1,AH772&lt;=1),O772,0)</f>
        <v>0</v>
      </c>
      <c r="CT634" s="1364"/>
      <c r="CU634" s="1364"/>
      <c r="CV634" s="1364"/>
      <c r="CW634" s="1365"/>
      <c r="CX634" s="1363">
        <f>IF(AND(BS634&gt;=1,AH772&gt;=0.1,AH772&lt;=1),O772,0)</f>
        <v>0</v>
      </c>
      <c r="CY634" s="1364"/>
      <c r="CZ634" s="1364"/>
      <c r="DA634" s="1364"/>
      <c r="DB634" s="1365"/>
      <c r="DC634" s="1363">
        <f>IF(AND(BX634&gt;=1,AH772&gt;=0.1,AH772&lt;=1),O772,0)</f>
        <v>0</v>
      </c>
      <c r="DD634" s="1364"/>
      <c r="DE634" s="1364"/>
      <c r="DF634" s="1364"/>
      <c r="DG634" s="1365"/>
      <c r="DH634" s="1363">
        <f>IF(AND(CC634&gt;=1,AH772&gt;=0.1,AH772&lt;=1),O772,0)</f>
        <v>0</v>
      </c>
      <c r="DI634" s="1364"/>
      <c r="DJ634" s="1364"/>
      <c r="DK634" s="1364"/>
      <c r="DL634" s="1365"/>
      <c r="DM634" s="1363">
        <f>IF(AND(CH634&gt;=1,AH772&gt;=0.1,AH772&lt;=1),O772,0)</f>
        <v>0</v>
      </c>
      <c r="DN634" s="1364"/>
      <c r="DO634" s="1364"/>
      <c r="DP634" s="1364"/>
      <c r="DQ634" s="1365"/>
      <c r="DR634" s="1363">
        <f>IF(AND(CM634&gt;=1,AH772&gt;=0.1,AH772&lt;=1),O772,0)</f>
        <v>0</v>
      </c>
      <c r="DS634" s="1364"/>
      <c r="DT634" s="1364"/>
      <c r="DU634" s="1364"/>
      <c r="DV634" s="1365"/>
      <c r="DX634" s="1361" t="e">
        <f t="shared" si="23"/>
        <v>#VALUE!</v>
      </c>
      <c r="DY634" s="1361"/>
      <c r="DZ634" s="1361"/>
      <c r="EA634" s="1361"/>
      <c r="EB634" s="1361"/>
      <c r="EC634" s="1361" t="e">
        <f t="shared" si="24"/>
        <v>#VALUE!</v>
      </c>
      <c r="ED634" s="1361"/>
      <c r="EE634" s="1361"/>
      <c r="EF634" s="1361"/>
      <c r="EG634" s="1361"/>
      <c r="EH634" s="1361" t="e">
        <f t="shared" si="25"/>
        <v>#VALUE!</v>
      </c>
      <c r="EI634" s="1361"/>
      <c r="EJ634" s="1361"/>
      <c r="EK634" s="1361"/>
      <c r="EL634" s="1361"/>
      <c r="EM634" s="1361" t="e">
        <f t="shared" si="26"/>
        <v>#VALUE!</v>
      </c>
      <c r="EN634" s="1361"/>
      <c r="EO634" s="1361"/>
      <c r="EP634" s="1361"/>
      <c r="EQ634" s="1361"/>
      <c r="ER634" s="1361" t="e">
        <f t="shared" si="27"/>
        <v>#VALUE!</v>
      </c>
      <c r="ES634" s="1361"/>
      <c r="ET634" s="1361"/>
      <c r="EU634" s="1361"/>
      <c r="EV634" s="1361"/>
      <c r="EW634" s="1361" t="e">
        <f t="shared" si="28"/>
        <v>#VALUE!</v>
      </c>
      <c r="EX634" s="1361"/>
      <c r="EY634" s="1361"/>
      <c r="EZ634" s="1361"/>
      <c r="FA634" s="1361"/>
    </row>
    <row r="635" spans="1:157" ht="12.95" customHeight="1">
      <c r="B635" s="1520" t="s">
        <v>1538</v>
      </c>
      <c r="C635" s="1521"/>
      <c r="D635" s="1521"/>
      <c r="E635" s="1521"/>
      <c r="F635" s="1521"/>
      <c r="G635" s="1521"/>
      <c r="H635" s="1521"/>
      <c r="I635" s="1521"/>
      <c r="J635" s="1521"/>
      <c r="K635" s="1521"/>
      <c r="L635" s="1521"/>
      <c r="M635" s="1521"/>
      <c r="N635" s="1521"/>
      <c r="O635" s="1521"/>
      <c r="P635" s="1521"/>
      <c r="Q635" s="1521"/>
      <c r="R635" s="1521"/>
      <c r="S635" s="1521"/>
      <c r="T635" s="1521"/>
      <c r="U635" s="1521"/>
      <c r="V635" s="1521"/>
      <c r="W635" s="1521"/>
      <c r="X635" s="1521"/>
      <c r="Y635" s="1521"/>
      <c r="Z635" s="1521"/>
      <c r="AA635" s="1521"/>
      <c r="AB635" s="1521"/>
      <c r="AC635" s="1521"/>
      <c r="AD635" s="1521"/>
      <c r="AE635" s="1521"/>
      <c r="AF635" s="1521"/>
      <c r="AG635" s="1521"/>
      <c r="AH635" s="1521"/>
      <c r="AI635" s="1521"/>
      <c r="AJ635" s="1521"/>
      <c r="AK635" s="1521"/>
      <c r="AL635" s="1521"/>
      <c r="AM635" s="1521"/>
      <c r="AN635" s="1522"/>
      <c r="AO635" s="1583">
        <f>SUM(AO623:AR634)</f>
        <v>57645818</v>
      </c>
      <c r="AP635" s="1584"/>
      <c r="AQ635" s="1584"/>
      <c r="AR635" s="1584"/>
      <c r="AS635" s="1585"/>
      <c r="AZ635" s="3"/>
      <c r="BA635" s="3"/>
      <c r="BB635" s="3"/>
      <c r="BC635" s="3"/>
      <c r="BD635" s="3"/>
      <c r="BE635" s="3"/>
      <c r="BF635" s="3"/>
      <c r="BG635" s="3"/>
      <c r="BH635" s="3"/>
      <c r="BI635" s="3"/>
      <c r="BJ635" s="3"/>
      <c r="BK635" s="3"/>
      <c r="BL635" s="3"/>
      <c r="BM635" s="3"/>
      <c r="BN635" s="1363">
        <f t="shared" si="30"/>
        <v>0</v>
      </c>
      <c r="BO635" s="1364"/>
      <c r="BP635" s="1364"/>
      <c r="BQ635" s="1364"/>
      <c r="BR635" s="1365"/>
      <c r="BS635" s="1369">
        <f t="shared" si="31"/>
        <v>0</v>
      </c>
      <c r="BT635" s="1369"/>
      <c r="BU635" s="1369"/>
      <c r="BV635" s="1369"/>
      <c r="BW635" s="1369"/>
      <c r="BX635" s="1369">
        <f t="shared" si="32"/>
        <v>0</v>
      </c>
      <c r="BY635" s="1369"/>
      <c r="BZ635" s="1369"/>
      <c r="CA635" s="1369"/>
      <c r="CB635" s="1369"/>
      <c r="CC635" s="1369">
        <f t="shared" si="33"/>
        <v>0</v>
      </c>
      <c r="CD635" s="1369"/>
      <c r="CE635" s="1369"/>
      <c r="CF635" s="1369"/>
      <c r="CG635" s="1369"/>
      <c r="CH635" s="1369">
        <f t="shared" si="34"/>
        <v>0</v>
      </c>
      <c r="CI635" s="1369"/>
      <c r="CJ635" s="1369"/>
      <c r="CK635" s="1369"/>
      <c r="CL635" s="1369"/>
      <c r="CM635" s="1369">
        <f t="shared" si="35"/>
        <v>0</v>
      </c>
      <c r="CN635" s="1369"/>
      <c r="CO635" s="1369"/>
      <c r="CP635" s="1369"/>
      <c r="CQ635" s="1369"/>
      <c r="CR635" s="279"/>
      <c r="CS635" s="1363">
        <f t="shared" ref="CS635:CS643" si="36">IF(AND(BN635&gt;=1,AH773&gt;=0.1,AH773&lt;=1),O773,0)</f>
        <v>0</v>
      </c>
      <c r="CT635" s="1364"/>
      <c r="CU635" s="1364"/>
      <c r="CV635" s="1364"/>
      <c r="CW635" s="1365"/>
      <c r="CX635" s="1363">
        <f t="shared" ref="CX635:CX643" si="37">IF(AND(BS635&gt;=1,AH773&gt;=0.1,AH773&lt;=1),O773,0)</f>
        <v>0</v>
      </c>
      <c r="CY635" s="1364"/>
      <c r="CZ635" s="1364"/>
      <c r="DA635" s="1364"/>
      <c r="DB635" s="1365"/>
      <c r="DC635" s="1363">
        <f t="shared" ref="DC635:DC643" si="38">IF(AND(BX635&gt;=1,AH773&gt;=0.1,AH773&lt;=1),O773,0)</f>
        <v>0</v>
      </c>
      <c r="DD635" s="1364"/>
      <c r="DE635" s="1364"/>
      <c r="DF635" s="1364"/>
      <c r="DG635" s="1365"/>
      <c r="DH635" s="1363">
        <f t="shared" ref="DH635:DH643" si="39">IF(AND(CC635&gt;=1,AH773&gt;=0.1,AH773&lt;=1),O773,0)</f>
        <v>0</v>
      </c>
      <c r="DI635" s="1364"/>
      <c r="DJ635" s="1364"/>
      <c r="DK635" s="1364"/>
      <c r="DL635" s="1365"/>
      <c r="DM635" s="1363">
        <f t="shared" ref="DM635:DM643" si="40">IF(AND(CH635&gt;=1,AH773&gt;=0.1,AH773&lt;=1),O773,0)</f>
        <v>0</v>
      </c>
      <c r="DN635" s="1364"/>
      <c r="DO635" s="1364"/>
      <c r="DP635" s="1364"/>
      <c r="DQ635" s="1365"/>
      <c r="DR635" s="1363">
        <f t="shared" ref="DR635:DR643" si="41">IF(AND(CM635&gt;=1,AH773&gt;=0.1,AH773&lt;=1),O773,0)</f>
        <v>0</v>
      </c>
      <c r="DS635" s="1364"/>
      <c r="DT635" s="1364"/>
      <c r="DU635" s="1364"/>
      <c r="DV635" s="1365"/>
      <c r="DX635" s="1361" t="e">
        <f t="shared" si="23"/>
        <v>#VALUE!</v>
      </c>
      <c r="DY635" s="1361"/>
      <c r="DZ635" s="1361"/>
      <c r="EA635" s="1361"/>
      <c r="EB635" s="1361"/>
      <c r="EC635" s="1361" t="e">
        <f t="shared" si="24"/>
        <v>#VALUE!</v>
      </c>
      <c r="ED635" s="1361"/>
      <c r="EE635" s="1361"/>
      <c r="EF635" s="1361"/>
      <c r="EG635" s="1361"/>
      <c r="EH635" s="1361" t="e">
        <f t="shared" si="25"/>
        <v>#VALUE!</v>
      </c>
      <c r="EI635" s="1361"/>
      <c r="EJ635" s="1361"/>
      <c r="EK635" s="1361"/>
      <c r="EL635" s="1361"/>
      <c r="EM635" s="1361" t="e">
        <f t="shared" si="26"/>
        <v>#VALUE!</v>
      </c>
      <c r="EN635" s="1361"/>
      <c r="EO635" s="1361"/>
      <c r="EP635" s="1361"/>
      <c r="EQ635" s="1361"/>
      <c r="ER635" s="1361" t="e">
        <f t="shared" si="27"/>
        <v>#VALUE!</v>
      </c>
      <c r="ES635" s="1361"/>
      <c r="ET635" s="1361"/>
      <c r="EU635" s="1361"/>
      <c r="EV635" s="1361"/>
      <c r="EW635" s="1361" t="e">
        <f t="shared" si="28"/>
        <v>#VALUE!</v>
      </c>
      <c r="EX635" s="1361"/>
      <c r="EY635" s="1361"/>
      <c r="EZ635" s="1361"/>
      <c r="FA635" s="1361"/>
    </row>
    <row r="636" spans="1:157" ht="12.95" customHeight="1">
      <c r="B636" s="1520" t="s">
        <v>1539</v>
      </c>
      <c r="C636" s="1521"/>
      <c r="D636" s="1521"/>
      <c r="E636" s="1521"/>
      <c r="F636" s="1521"/>
      <c r="G636" s="1521"/>
      <c r="H636" s="1521"/>
      <c r="I636" s="1521"/>
      <c r="J636" s="1521"/>
      <c r="K636" s="1521"/>
      <c r="L636" s="1521"/>
      <c r="M636" s="1521"/>
      <c r="N636" s="1521"/>
      <c r="O636" s="1521"/>
      <c r="P636" s="1521"/>
      <c r="Q636" s="1521"/>
      <c r="R636" s="1521"/>
      <c r="S636" s="1521"/>
      <c r="T636" s="1521"/>
      <c r="U636" s="1521"/>
      <c r="V636" s="1521"/>
      <c r="W636" s="1521"/>
      <c r="X636" s="1521"/>
      <c r="Y636" s="1521"/>
      <c r="Z636" s="1521"/>
      <c r="AA636" s="1521"/>
      <c r="AB636" s="1521"/>
      <c r="AC636" s="1521"/>
      <c r="AD636" s="1521"/>
      <c r="AE636" s="1521"/>
      <c r="AF636" s="1521"/>
      <c r="AG636" s="1521"/>
      <c r="AH636" s="1521"/>
      <c r="AI636" s="1521"/>
      <c r="AJ636" s="1521"/>
      <c r="AK636" s="1521"/>
      <c r="AL636" s="1521"/>
      <c r="AM636" s="1521"/>
      <c r="AN636" s="1522"/>
      <c r="AO636" s="1371">
        <f>'Sources and Uses Budget'!E105</f>
        <v>34999354</v>
      </c>
      <c r="AP636" s="1372"/>
      <c r="AQ636" s="1372"/>
      <c r="AR636" s="1372"/>
      <c r="AS636" s="1373"/>
      <c r="AZ636" s="3"/>
      <c r="BA636" s="3"/>
      <c r="BB636" s="3"/>
      <c r="BC636" s="3"/>
      <c r="BD636" s="3"/>
      <c r="BE636" s="3"/>
      <c r="BF636" s="3"/>
      <c r="BG636" s="3"/>
      <c r="BH636" s="3"/>
      <c r="BI636" s="3"/>
      <c r="BJ636" s="3"/>
      <c r="BK636" s="3"/>
      <c r="BL636" s="3"/>
      <c r="BM636" s="3"/>
      <c r="BN636" s="1363">
        <f t="shared" si="30"/>
        <v>0</v>
      </c>
      <c r="BO636" s="1364"/>
      <c r="BP636" s="1364"/>
      <c r="BQ636" s="1364"/>
      <c r="BR636" s="1365"/>
      <c r="BS636" s="1369">
        <f t="shared" si="31"/>
        <v>0</v>
      </c>
      <c r="BT636" s="1369"/>
      <c r="BU636" s="1369"/>
      <c r="BV636" s="1369"/>
      <c r="BW636" s="1369"/>
      <c r="BX636" s="1369">
        <f t="shared" si="32"/>
        <v>0</v>
      </c>
      <c r="BY636" s="1369"/>
      <c r="BZ636" s="1369"/>
      <c r="CA636" s="1369"/>
      <c r="CB636" s="1369"/>
      <c r="CC636" s="1369">
        <f t="shared" si="33"/>
        <v>0</v>
      </c>
      <c r="CD636" s="1369"/>
      <c r="CE636" s="1369"/>
      <c r="CF636" s="1369"/>
      <c r="CG636" s="1369"/>
      <c r="CH636" s="1369">
        <f t="shared" si="34"/>
        <v>0</v>
      </c>
      <c r="CI636" s="1369"/>
      <c r="CJ636" s="1369"/>
      <c r="CK636" s="1369"/>
      <c r="CL636" s="1369"/>
      <c r="CM636" s="1369">
        <f t="shared" si="35"/>
        <v>0</v>
      </c>
      <c r="CN636" s="1369"/>
      <c r="CO636" s="1369"/>
      <c r="CP636" s="1369"/>
      <c r="CQ636" s="1369"/>
      <c r="CR636" s="279"/>
      <c r="CS636" s="1363">
        <f t="shared" si="36"/>
        <v>0</v>
      </c>
      <c r="CT636" s="1364"/>
      <c r="CU636" s="1364"/>
      <c r="CV636" s="1364"/>
      <c r="CW636" s="1365"/>
      <c r="CX636" s="1363">
        <f t="shared" si="37"/>
        <v>0</v>
      </c>
      <c r="CY636" s="1364"/>
      <c r="CZ636" s="1364"/>
      <c r="DA636" s="1364"/>
      <c r="DB636" s="1365"/>
      <c r="DC636" s="1363">
        <f t="shared" si="38"/>
        <v>0</v>
      </c>
      <c r="DD636" s="1364"/>
      <c r="DE636" s="1364"/>
      <c r="DF636" s="1364"/>
      <c r="DG636" s="1365"/>
      <c r="DH636" s="1363">
        <f t="shared" si="39"/>
        <v>0</v>
      </c>
      <c r="DI636" s="1364"/>
      <c r="DJ636" s="1364"/>
      <c r="DK636" s="1364"/>
      <c r="DL636" s="1365"/>
      <c r="DM636" s="1363">
        <f t="shared" si="40"/>
        <v>0</v>
      </c>
      <c r="DN636" s="1364"/>
      <c r="DO636" s="1364"/>
      <c r="DP636" s="1364"/>
      <c r="DQ636" s="1365"/>
      <c r="DR636" s="1363">
        <f t="shared" si="41"/>
        <v>0</v>
      </c>
      <c r="DS636" s="1364"/>
      <c r="DT636" s="1364"/>
      <c r="DU636" s="1364"/>
      <c r="DV636" s="1365"/>
      <c r="DX636" s="1361" t="e">
        <f t="shared" si="23"/>
        <v>#VALUE!</v>
      </c>
      <c r="DY636" s="1361"/>
      <c r="DZ636" s="1361"/>
      <c r="EA636" s="1361"/>
      <c r="EB636" s="1361"/>
      <c r="EC636" s="1361" t="e">
        <f t="shared" si="24"/>
        <v>#VALUE!</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1:157" ht="12.95" customHeight="1">
      <c r="B637" s="1682" t="s">
        <v>1540</v>
      </c>
      <c r="C637" s="1683"/>
      <c r="D637" s="1683"/>
      <c r="E637" s="1683"/>
      <c r="F637" s="1683"/>
      <c r="G637" s="1683"/>
      <c r="H637" s="1683"/>
      <c r="I637" s="1683"/>
      <c r="J637" s="1683"/>
      <c r="K637" s="1683"/>
      <c r="L637" s="1683"/>
      <c r="M637" s="1683"/>
      <c r="N637" s="1683"/>
      <c r="O637" s="1683"/>
      <c r="P637" s="1683"/>
      <c r="Q637" s="1683"/>
      <c r="R637" s="1683"/>
      <c r="S637" s="1683"/>
      <c r="T637" s="1683"/>
      <c r="U637" s="1683"/>
      <c r="V637" s="1683"/>
      <c r="W637" s="1683"/>
      <c r="X637" s="1683"/>
      <c r="Y637" s="1683"/>
      <c r="Z637" s="1683"/>
      <c r="AA637" s="1683"/>
      <c r="AB637" s="1683"/>
      <c r="AC637" s="1683"/>
      <c r="AD637" s="1683"/>
      <c r="AE637" s="1683"/>
      <c r="AF637" s="1683"/>
      <c r="AG637" s="1683"/>
      <c r="AH637" s="1683"/>
      <c r="AI637" s="1683"/>
      <c r="AJ637" s="1683"/>
      <c r="AK637" s="1683"/>
      <c r="AL637" s="1683"/>
      <c r="AM637" s="1683"/>
      <c r="AN637" s="1684"/>
      <c r="AO637" s="1583">
        <f>AO635+AO636</f>
        <v>92645172</v>
      </c>
      <c r="AP637" s="1584"/>
      <c r="AQ637" s="1584"/>
      <c r="AR637" s="1584"/>
      <c r="AS637" s="1585"/>
      <c r="AZ637" s="3"/>
      <c r="BA637" s="3"/>
      <c r="BB637" s="3"/>
      <c r="BC637" s="3"/>
      <c r="BD637" s="3"/>
      <c r="BE637" s="3"/>
      <c r="BF637" s="3"/>
      <c r="BG637" s="3"/>
      <c r="BH637" s="3"/>
      <c r="BI637" s="3"/>
      <c r="BJ637" s="3"/>
      <c r="BK637" s="3"/>
      <c r="BL637" s="3"/>
      <c r="BM637" s="3"/>
      <c r="BN637" s="1363">
        <f t="shared" si="30"/>
        <v>0</v>
      </c>
      <c r="BO637" s="1364"/>
      <c r="BP637" s="1364"/>
      <c r="BQ637" s="1364"/>
      <c r="BR637" s="1365"/>
      <c r="BS637" s="1369">
        <f t="shared" si="31"/>
        <v>0</v>
      </c>
      <c r="BT637" s="1369"/>
      <c r="BU637" s="1369"/>
      <c r="BV637" s="1369"/>
      <c r="BW637" s="1369"/>
      <c r="BX637" s="1369">
        <f t="shared" si="32"/>
        <v>0</v>
      </c>
      <c r="BY637" s="1369"/>
      <c r="BZ637" s="1369"/>
      <c r="CA637" s="1369"/>
      <c r="CB637" s="1369"/>
      <c r="CC637" s="1369">
        <f t="shared" si="33"/>
        <v>0</v>
      </c>
      <c r="CD637" s="1369"/>
      <c r="CE637" s="1369"/>
      <c r="CF637" s="1369"/>
      <c r="CG637" s="1369"/>
      <c r="CH637" s="1369">
        <f t="shared" si="34"/>
        <v>0</v>
      </c>
      <c r="CI637" s="1369"/>
      <c r="CJ637" s="1369"/>
      <c r="CK637" s="1369"/>
      <c r="CL637" s="1369"/>
      <c r="CM637" s="1369">
        <f t="shared" si="35"/>
        <v>0</v>
      </c>
      <c r="CN637" s="1369"/>
      <c r="CO637" s="1369"/>
      <c r="CP637" s="1369"/>
      <c r="CQ637" s="1369"/>
      <c r="CR637" s="279"/>
      <c r="CS637" s="1363">
        <f t="shared" si="36"/>
        <v>0</v>
      </c>
      <c r="CT637" s="1364"/>
      <c r="CU637" s="1364"/>
      <c r="CV637" s="1364"/>
      <c r="CW637" s="1365"/>
      <c r="CX637" s="1363">
        <f t="shared" si="37"/>
        <v>0</v>
      </c>
      <c r="CY637" s="1364"/>
      <c r="CZ637" s="1364"/>
      <c r="DA637" s="1364"/>
      <c r="DB637" s="1365"/>
      <c r="DC637" s="1363">
        <f t="shared" si="38"/>
        <v>0</v>
      </c>
      <c r="DD637" s="1364"/>
      <c r="DE637" s="1364"/>
      <c r="DF637" s="1364"/>
      <c r="DG637" s="1365"/>
      <c r="DH637" s="1363">
        <f t="shared" si="39"/>
        <v>0</v>
      </c>
      <c r="DI637" s="1364"/>
      <c r="DJ637" s="1364"/>
      <c r="DK637" s="1364"/>
      <c r="DL637" s="1365"/>
      <c r="DM637" s="1363">
        <f t="shared" si="40"/>
        <v>0</v>
      </c>
      <c r="DN637" s="1364"/>
      <c r="DO637" s="1364"/>
      <c r="DP637" s="1364"/>
      <c r="DQ637" s="1365"/>
      <c r="DR637" s="1363">
        <f t="shared" si="41"/>
        <v>0</v>
      </c>
      <c r="DS637" s="1364"/>
      <c r="DT637" s="1364"/>
      <c r="DU637" s="1364"/>
      <c r="DV637" s="1365"/>
      <c r="DX637" s="1361" t="e">
        <f t="shared" si="23"/>
        <v>#VALUE!</v>
      </c>
      <c r="DY637" s="1361"/>
      <c r="DZ637" s="1361"/>
      <c r="EA637" s="1361"/>
      <c r="EB637" s="1361"/>
      <c r="EC637" s="1361" t="e">
        <f t="shared" si="24"/>
        <v>#VALUE!</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3">
        <f t="shared" si="30"/>
        <v>0</v>
      </c>
      <c r="BO638" s="1364"/>
      <c r="BP638" s="1364"/>
      <c r="BQ638" s="1364"/>
      <c r="BR638" s="1365"/>
      <c r="BS638" s="1369">
        <f t="shared" si="31"/>
        <v>0</v>
      </c>
      <c r="BT638" s="1369"/>
      <c r="BU638" s="1369"/>
      <c r="BV638" s="1369"/>
      <c r="BW638" s="1369"/>
      <c r="BX638" s="1369">
        <f t="shared" si="32"/>
        <v>0</v>
      </c>
      <c r="BY638" s="1369"/>
      <c r="BZ638" s="1369"/>
      <c r="CA638" s="1369"/>
      <c r="CB638" s="1369"/>
      <c r="CC638" s="1369">
        <f t="shared" si="33"/>
        <v>0</v>
      </c>
      <c r="CD638" s="1369"/>
      <c r="CE638" s="1369"/>
      <c r="CF638" s="1369"/>
      <c r="CG638" s="1369"/>
      <c r="CH638" s="1369">
        <f t="shared" si="34"/>
        <v>0</v>
      </c>
      <c r="CI638" s="1369"/>
      <c r="CJ638" s="1369"/>
      <c r="CK638" s="1369"/>
      <c r="CL638" s="1369"/>
      <c r="CM638" s="1369">
        <f t="shared" si="35"/>
        <v>0</v>
      </c>
      <c r="CN638" s="1369"/>
      <c r="CO638" s="1369"/>
      <c r="CP638" s="1369"/>
      <c r="CQ638" s="1369"/>
      <c r="CR638" s="279"/>
      <c r="CS638" s="1363">
        <f t="shared" si="36"/>
        <v>0</v>
      </c>
      <c r="CT638" s="1364"/>
      <c r="CU638" s="1364"/>
      <c r="CV638" s="1364"/>
      <c r="CW638" s="1365"/>
      <c r="CX638" s="1363">
        <f t="shared" si="37"/>
        <v>0</v>
      </c>
      <c r="CY638" s="1364"/>
      <c r="CZ638" s="1364"/>
      <c r="DA638" s="1364"/>
      <c r="DB638" s="1365"/>
      <c r="DC638" s="1363">
        <f t="shared" si="38"/>
        <v>0</v>
      </c>
      <c r="DD638" s="1364"/>
      <c r="DE638" s="1364"/>
      <c r="DF638" s="1364"/>
      <c r="DG638" s="1365"/>
      <c r="DH638" s="1363">
        <f t="shared" si="39"/>
        <v>0</v>
      </c>
      <c r="DI638" s="1364"/>
      <c r="DJ638" s="1364"/>
      <c r="DK638" s="1364"/>
      <c r="DL638" s="1365"/>
      <c r="DM638" s="1363">
        <f t="shared" si="40"/>
        <v>0</v>
      </c>
      <c r="DN638" s="1364"/>
      <c r="DO638" s="1364"/>
      <c r="DP638" s="1364"/>
      <c r="DQ638" s="1365"/>
      <c r="DR638" s="1363">
        <f t="shared" si="41"/>
        <v>0</v>
      </c>
      <c r="DS638" s="1364"/>
      <c r="DT638" s="1364"/>
      <c r="DU638" s="1364"/>
      <c r="DV638" s="1365"/>
      <c r="DX638" s="1361" t="e">
        <f t="shared" si="23"/>
        <v>#VALUE!</v>
      </c>
      <c r="DY638" s="1361"/>
      <c r="DZ638" s="1361"/>
      <c r="EA638" s="1361"/>
      <c r="EB638" s="1361"/>
      <c r="EC638" s="1361" t="e">
        <f t="shared" si="24"/>
        <v>#VALUE!</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1:157" ht="12.95" customHeight="1">
      <c r="A639" s="48" t="s">
        <v>17</v>
      </c>
      <c r="B639" t="s">
        <v>1493</v>
      </c>
      <c r="G639" s="1306" t="str">
        <f>C623</f>
        <v>Tax-Exempt Perm Loan</v>
      </c>
      <c r="H639" s="1306"/>
      <c r="I639" s="1306"/>
      <c r="J639" s="1306"/>
      <c r="K639" s="1306"/>
      <c r="L639" s="1306"/>
      <c r="M639" s="1306"/>
      <c r="N639" s="1306"/>
      <c r="O639" s="1306"/>
      <c r="P639" s="1306"/>
      <c r="Q639" s="1306"/>
      <c r="R639" s="1306"/>
      <c r="S639" s="8"/>
      <c r="T639" s="48" t="s">
        <v>30</v>
      </c>
      <c r="U639" t="s">
        <v>1493</v>
      </c>
      <c r="Z639" s="1306" t="str">
        <f>C624</f>
        <v>City of Mountain View</v>
      </c>
      <c r="AA639" s="1306"/>
      <c r="AB639" s="1306"/>
      <c r="AC639" s="1306"/>
      <c r="AD639" s="1306"/>
      <c r="AE639" s="1306"/>
      <c r="AF639" s="1306"/>
      <c r="AG639" s="1306"/>
      <c r="AH639" s="1306"/>
      <c r="AI639" s="1306"/>
      <c r="AJ639" s="1306"/>
      <c r="AK639" s="1306"/>
      <c r="AZ639" s="3"/>
      <c r="BA639" s="3"/>
      <c r="BB639" s="3"/>
      <c r="BC639" s="3"/>
      <c r="BD639" s="3"/>
      <c r="BE639" s="3"/>
      <c r="BF639" s="3"/>
      <c r="BG639" s="3"/>
      <c r="BH639" s="3"/>
      <c r="BI639" s="3"/>
      <c r="BJ639" s="3"/>
      <c r="BK639" s="3"/>
      <c r="BL639" s="3"/>
      <c r="BM639" s="3"/>
      <c r="BN639" s="1363">
        <f t="shared" si="30"/>
        <v>0</v>
      </c>
      <c r="BO639" s="1364"/>
      <c r="BP639" s="1364"/>
      <c r="BQ639" s="1364"/>
      <c r="BR639" s="1365"/>
      <c r="BS639" s="1369">
        <f t="shared" si="31"/>
        <v>0</v>
      </c>
      <c r="BT639" s="1369"/>
      <c r="BU639" s="1369"/>
      <c r="BV639" s="1369"/>
      <c r="BW639" s="1369"/>
      <c r="BX639" s="1369">
        <f t="shared" si="32"/>
        <v>0</v>
      </c>
      <c r="BY639" s="1369"/>
      <c r="BZ639" s="1369"/>
      <c r="CA639" s="1369"/>
      <c r="CB639" s="1369"/>
      <c r="CC639" s="1369">
        <f t="shared" si="33"/>
        <v>0</v>
      </c>
      <c r="CD639" s="1369"/>
      <c r="CE639" s="1369"/>
      <c r="CF639" s="1369"/>
      <c r="CG639" s="1369"/>
      <c r="CH639" s="1369">
        <f t="shared" si="34"/>
        <v>0</v>
      </c>
      <c r="CI639" s="1369"/>
      <c r="CJ639" s="1369"/>
      <c r="CK639" s="1369"/>
      <c r="CL639" s="1369"/>
      <c r="CM639" s="1369">
        <f t="shared" si="35"/>
        <v>0</v>
      </c>
      <c r="CN639" s="1369"/>
      <c r="CO639" s="1369"/>
      <c r="CP639" s="1369"/>
      <c r="CQ639" s="1369"/>
      <c r="CR639" s="279"/>
      <c r="CS639" s="1363">
        <f t="shared" si="36"/>
        <v>0</v>
      </c>
      <c r="CT639" s="1364"/>
      <c r="CU639" s="1364"/>
      <c r="CV639" s="1364"/>
      <c r="CW639" s="1365"/>
      <c r="CX639" s="1363">
        <f t="shared" si="37"/>
        <v>0</v>
      </c>
      <c r="CY639" s="1364"/>
      <c r="CZ639" s="1364"/>
      <c r="DA639" s="1364"/>
      <c r="DB639" s="1365"/>
      <c r="DC639" s="1363">
        <f t="shared" si="38"/>
        <v>0</v>
      </c>
      <c r="DD639" s="1364"/>
      <c r="DE639" s="1364"/>
      <c r="DF639" s="1364"/>
      <c r="DG639" s="1365"/>
      <c r="DH639" s="1363">
        <f t="shared" si="39"/>
        <v>0</v>
      </c>
      <c r="DI639" s="1364"/>
      <c r="DJ639" s="1364"/>
      <c r="DK639" s="1364"/>
      <c r="DL639" s="1365"/>
      <c r="DM639" s="1363">
        <f t="shared" si="40"/>
        <v>0</v>
      </c>
      <c r="DN639" s="1364"/>
      <c r="DO639" s="1364"/>
      <c r="DP639" s="1364"/>
      <c r="DQ639" s="1365"/>
      <c r="DR639" s="1363">
        <f t="shared" si="41"/>
        <v>0</v>
      </c>
      <c r="DS639" s="1364"/>
      <c r="DT639" s="1364"/>
      <c r="DU639" s="1364"/>
      <c r="DV639" s="1365"/>
      <c r="DX639" s="1361" t="e">
        <f t="shared" si="23"/>
        <v>#VALUE!</v>
      </c>
      <c r="DY639" s="1361"/>
      <c r="DZ639" s="1361"/>
      <c r="EA639" s="1361"/>
      <c r="EB639" s="1361"/>
      <c r="EC639" s="1361" t="e">
        <f t="shared" si="24"/>
        <v>#VALUE!</v>
      </c>
      <c r="ED639" s="1361"/>
      <c r="EE639" s="1361"/>
      <c r="EF639" s="1361"/>
      <c r="EG639" s="1361"/>
      <c r="EH639" s="1361" t="e">
        <f t="shared" si="25"/>
        <v>#VALUE!</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1:157" ht="12.95" customHeight="1">
      <c r="A640" s="20"/>
      <c r="B640" t="s">
        <v>1153</v>
      </c>
      <c r="G640" s="1307" t="s">
        <v>1494</v>
      </c>
      <c r="H640" s="1307"/>
      <c r="I640" s="1307"/>
      <c r="J640" s="1307"/>
      <c r="K640" s="1307"/>
      <c r="L640" s="1307"/>
      <c r="M640" s="1307"/>
      <c r="N640" s="1307"/>
      <c r="O640" s="1307"/>
      <c r="P640" s="1307"/>
      <c r="Q640" s="1307"/>
      <c r="R640" s="1307"/>
      <c r="S640" s="8"/>
      <c r="T640" s="20"/>
      <c r="U640" t="s">
        <v>1153</v>
      </c>
      <c r="Z640" s="1307" t="s">
        <v>1495</v>
      </c>
      <c r="AA640" s="1307"/>
      <c r="AB640" s="1307"/>
      <c r="AC640" s="1307"/>
      <c r="AD640" s="1307"/>
      <c r="AE640" s="1307"/>
      <c r="AF640" s="1307"/>
      <c r="AG640" s="1307"/>
      <c r="AH640" s="1307"/>
      <c r="AI640" s="1307"/>
      <c r="AJ640" s="1307"/>
      <c r="AK640" s="1307"/>
      <c r="AZ640" s="3"/>
      <c r="BA640" s="3"/>
      <c r="BB640" s="3"/>
      <c r="BC640" s="3"/>
      <c r="BD640" s="3"/>
      <c r="BE640" s="3"/>
      <c r="BF640" s="3"/>
      <c r="BG640" s="3"/>
      <c r="BH640" s="3"/>
      <c r="BI640" s="3"/>
      <c r="BJ640" s="3"/>
      <c r="BK640" s="3"/>
      <c r="BL640" s="3"/>
      <c r="BM640" s="3"/>
      <c r="BN640" s="1363">
        <f t="shared" si="30"/>
        <v>0</v>
      </c>
      <c r="BO640" s="1364"/>
      <c r="BP640" s="1364"/>
      <c r="BQ640" s="1364"/>
      <c r="BR640" s="1365"/>
      <c r="BS640" s="1369">
        <f t="shared" si="31"/>
        <v>0</v>
      </c>
      <c r="BT640" s="1369"/>
      <c r="BU640" s="1369"/>
      <c r="BV640" s="1369"/>
      <c r="BW640" s="1369"/>
      <c r="BX640" s="1369">
        <f t="shared" si="32"/>
        <v>0</v>
      </c>
      <c r="BY640" s="1369"/>
      <c r="BZ640" s="1369"/>
      <c r="CA640" s="1369"/>
      <c r="CB640" s="1369"/>
      <c r="CC640" s="1369">
        <f t="shared" si="33"/>
        <v>0</v>
      </c>
      <c r="CD640" s="1369"/>
      <c r="CE640" s="1369"/>
      <c r="CF640" s="1369"/>
      <c r="CG640" s="1369"/>
      <c r="CH640" s="1369">
        <f t="shared" si="34"/>
        <v>0</v>
      </c>
      <c r="CI640" s="1369"/>
      <c r="CJ640" s="1369"/>
      <c r="CK640" s="1369"/>
      <c r="CL640" s="1369"/>
      <c r="CM640" s="1369">
        <f t="shared" si="35"/>
        <v>0</v>
      </c>
      <c r="CN640" s="1369"/>
      <c r="CO640" s="1369"/>
      <c r="CP640" s="1369"/>
      <c r="CQ640" s="1369"/>
      <c r="CR640" s="279"/>
      <c r="CS640" s="1363">
        <f t="shared" si="36"/>
        <v>0</v>
      </c>
      <c r="CT640" s="1364"/>
      <c r="CU640" s="1364"/>
      <c r="CV640" s="1364"/>
      <c r="CW640" s="1365"/>
      <c r="CX640" s="1363">
        <f t="shared" si="37"/>
        <v>0</v>
      </c>
      <c r="CY640" s="1364"/>
      <c r="CZ640" s="1364"/>
      <c r="DA640" s="1364"/>
      <c r="DB640" s="1365"/>
      <c r="DC640" s="1363">
        <f t="shared" si="38"/>
        <v>0</v>
      </c>
      <c r="DD640" s="1364"/>
      <c r="DE640" s="1364"/>
      <c r="DF640" s="1364"/>
      <c r="DG640" s="1365"/>
      <c r="DH640" s="1363">
        <f t="shared" si="39"/>
        <v>0</v>
      </c>
      <c r="DI640" s="1364"/>
      <c r="DJ640" s="1364"/>
      <c r="DK640" s="1364"/>
      <c r="DL640" s="1365"/>
      <c r="DM640" s="1363">
        <f t="shared" si="40"/>
        <v>0</v>
      </c>
      <c r="DN640" s="1364"/>
      <c r="DO640" s="1364"/>
      <c r="DP640" s="1364"/>
      <c r="DQ640" s="1365"/>
      <c r="DR640" s="1363">
        <f t="shared" si="41"/>
        <v>0</v>
      </c>
      <c r="DS640" s="1364"/>
      <c r="DT640" s="1364"/>
      <c r="DU640" s="1364"/>
      <c r="DV640" s="1365"/>
      <c r="DX640" s="1361" t="e">
        <f t="shared" si="23"/>
        <v>#VALUE!</v>
      </c>
      <c r="DY640" s="1361"/>
      <c r="DZ640" s="1361"/>
      <c r="EA640" s="1361"/>
      <c r="EB640" s="1361"/>
      <c r="EC640" s="1361" t="e">
        <f t="shared" si="24"/>
        <v>#VALUE!</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2.95" customHeight="1">
      <c r="A641" s="20"/>
      <c r="B641" t="s">
        <v>1026</v>
      </c>
      <c r="G641" s="1307" t="s">
        <v>984</v>
      </c>
      <c r="H641" s="1307"/>
      <c r="I641" s="1307"/>
      <c r="J641" s="1307"/>
      <c r="K641" s="1307"/>
      <c r="L641" s="1307"/>
      <c r="M641" s="1307"/>
      <c r="N641" s="1307"/>
      <c r="O641" s="1307"/>
      <c r="P641" s="1307"/>
      <c r="Q641" s="1307"/>
      <c r="R641" s="1307"/>
      <c r="T641" s="20"/>
      <c r="U641" t="s">
        <v>1026</v>
      </c>
      <c r="Z641" s="1326" t="s">
        <v>927</v>
      </c>
      <c r="AA641" s="1326"/>
      <c r="AB641" s="1326"/>
      <c r="AC641" s="1326"/>
      <c r="AD641" s="1326"/>
      <c r="AE641" s="1326"/>
      <c r="AF641" s="1326"/>
      <c r="AG641" s="1326"/>
      <c r="AH641" s="1326"/>
      <c r="AI641" s="1326"/>
      <c r="AJ641" s="1326"/>
      <c r="AK641" s="1326"/>
      <c r="AZ641" s="3"/>
      <c r="BA641" s="3"/>
      <c r="BB641" s="3"/>
      <c r="BC641" s="3"/>
      <c r="BD641" s="3"/>
      <c r="BE641" s="3"/>
      <c r="BF641" s="3"/>
      <c r="BG641" s="3"/>
      <c r="BH641" s="3"/>
      <c r="BI641" s="3"/>
      <c r="BJ641" s="3"/>
      <c r="BK641" s="3"/>
      <c r="BL641" s="3"/>
      <c r="BM641" s="3"/>
      <c r="BN641" s="1363">
        <f t="shared" si="30"/>
        <v>0</v>
      </c>
      <c r="BO641" s="1364"/>
      <c r="BP641" s="1364"/>
      <c r="BQ641" s="1364"/>
      <c r="BR641" s="1365"/>
      <c r="BS641" s="1369">
        <f t="shared" si="31"/>
        <v>0</v>
      </c>
      <c r="BT641" s="1369"/>
      <c r="BU641" s="1369"/>
      <c r="BV641" s="1369"/>
      <c r="BW641" s="1369"/>
      <c r="BX641" s="1369">
        <f t="shared" si="32"/>
        <v>0</v>
      </c>
      <c r="BY641" s="1369"/>
      <c r="BZ641" s="1369"/>
      <c r="CA641" s="1369"/>
      <c r="CB641" s="1369"/>
      <c r="CC641" s="1369">
        <f t="shared" si="33"/>
        <v>0</v>
      </c>
      <c r="CD641" s="1369"/>
      <c r="CE641" s="1369"/>
      <c r="CF641" s="1369"/>
      <c r="CG641" s="1369"/>
      <c r="CH641" s="1369">
        <f t="shared" si="34"/>
        <v>0</v>
      </c>
      <c r="CI641" s="1369"/>
      <c r="CJ641" s="1369"/>
      <c r="CK641" s="1369"/>
      <c r="CL641" s="1369"/>
      <c r="CM641" s="1369">
        <f t="shared" si="35"/>
        <v>0</v>
      </c>
      <c r="CN641" s="1369"/>
      <c r="CO641" s="1369"/>
      <c r="CP641" s="1369"/>
      <c r="CQ641" s="1369"/>
      <c r="CR641" s="279"/>
      <c r="CS641" s="1363">
        <f t="shared" si="36"/>
        <v>0</v>
      </c>
      <c r="CT641" s="1364"/>
      <c r="CU641" s="1364"/>
      <c r="CV641" s="1364"/>
      <c r="CW641" s="1365"/>
      <c r="CX641" s="1363">
        <f t="shared" si="37"/>
        <v>0</v>
      </c>
      <c r="CY641" s="1364"/>
      <c r="CZ641" s="1364"/>
      <c r="DA641" s="1364"/>
      <c r="DB641" s="1365"/>
      <c r="DC641" s="1363">
        <f t="shared" si="38"/>
        <v>0</v>
      </c>
      <c r="DD641" s="1364"/>
      <c r="DE641" s="1364"/>
      <c r="DF641" s="1364"/>
      <c r="DG641" s="1365"/>
      <c r="DH641" s="1363">
        <f t="shared" si="39"/>
        <v>0</v>
      </c>
      <c r="DI641" s="1364"/>
      <c r="DJ641" s="1364"/>
      <c r="DK641" s="1364"/>
      <c r="DL641" s="1365"/>
      <c r="DM641" s="1363">
        <f t="shared" si="40"/>
        <v>0</v>
      </c>
      <c r="DN641" s="1364"/>
      <c r="DO641" s="1364"/>
      <c r="DP641" s="1364"/>
      <c r="DQ641" s="1365"/>
      <c r="DR641" s="1363">
        <f t="shared" si="41"/>
        <v>0</v>
      </c>
      <c r="DS641" s="1364"/>
      <c r="DT641" s="1364"/>
      <c r="DU641" s="1364"/>
      <c r="DV641" s="1365"/>
      <c r="DX641" s="1361" t="e">
        <f t="shared" si="23"/>
        <v>#VALUE!</v>
      </c>
      <c r="DY641" s="1361"/>
      <c r="DZ641" s="1361"/>
      <c r="EA641" s="1361"/>
      <c r="EB641" s="1361"/>
      <c r="EC641" s="1361" t="e">
        <f t="shared" si="24"/>
        <v>#VALUE!</v>
      </c>
      <c r="ED641" s="1361"/>
      <c r="EE641" s="1361"/>
      <c r="EF641" s="1361"/>
      <c r="EG641" s="1361"/>
      <c r="EH641" s="1361" t="e">
        <f t="shared" si="25"/>
        <v>#VALUE!</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2.95" customHeight="1">
      <c r="A642" s="20"/>
      <c r="B642" t="s">
        <v>1496</v>
      </c>
      <c r="G642" s="1307" t="s">
        <v>1497</v>
      </c>
      <c r="H642" s="1307"/>
      <c r="I642" s="1307"/>
      <c r="J642" s="1307"/>
      <c r="K642" s="1307"/>
      <c r="L642" s="1307"/>
      <c r="M642" s="1307"/>
      <c r="N642" s="1307"/>
      <c r="O642" s="1307"/>
      <c r="P642" s="1307"/>
      <c r="Q642" s="1307"/>
      <c r="R642" s="1307"/>
      <c r="S642" s="8"/>
      <c r="T642" s="20"/>
      <c r="U642" t="s">
        <v>1496</v>
      </c>
      <c r="Z642" s="1326" t="s">
        <v>1498</v>
      </c>
      <c r="AA642" s="1326"/>
      <c r="AB642" s="1326"/>
      <c r="AC642" s="1326"/>
      <c r="AD642" s="1326"/>
      <c r="AE642" s="1326"/>
      <c r="AF642" s="1326"/>
      <c r="AG642" s="1326"/>
      <c r="AH642" s="1326"/>
      <c r="AI642" s="1326"/>
      <c r="AJ642" s="1326"/>
      <c r="AK642" s="1326"/>
      <c r="AZ642" s="3"/>
      <c r="BA642" s="3"/>
      <c r="BB642" s="3"/>
      <c r="BC642" s="3"/>
      <c r="BD642" s="3"/>
      <c r="BE642" s="3"/>
      <c r="BF642" s="3"/>
      <c r="BG642" s="3"/>
      <c r="BH642" s="3"/>
      <c r="BI642" s="3"/>
      <c r="BJ642" s="3"/>
      <c r="BK642" s="3"/>
      <c r="BL642" s="3"/>
      <c r="BM642" s="3"/>
      <c r="BN642" s="1363">
        <f t="shared" si="30"/>
        <v>0</v>
      </c>
      <c r="BO642" s="1364"/>
      <c r="BP642" s="1364"/>
      <c r="BQ642" s="1364"/>
      <c r="BR642" s="1365"/>
      <c r="BS642" s="1369">
        <f t="shared" si="31"/>
        <v>0</v>
      </c>
      <c r="BT642" s="1369"/>
      <c r="BU642" s="1369"/>
      <c r="BV642" s="1369"/>
      <c r="BW642" s="1369"/>
      <c r="BX642" s="1369">
        <f t="shared" si="32"/>
        <v>0</v>
      </c>
      <c r="BY642" s="1369"/>
      <c r="BZ642" s="1369"/>
      <c r="CA642" s="1369"/>
      <c r="CB642" s="1369"/>
      <c r="CC642" s="1369">
        <f t="shared" si="33"/>
        <v>0</v>
      </c>
      <c r="CD642" s="1369"/>
      <c r="CE642" s="1369"/>
      <c r="CF642" s="1369"/>
      <c r="CG642" s="1369"/>
      <c r="CH642" s="1369">
        <f t="shared" si="34"/>
        <v>0</v>
      </c>
      <c r="CI642" s="1369"/>
      <c r="CJ642" s="1369"/>
      <c r="CK642" s="1369"/>
      <c r="CL642" s="1369"/>
      <c r="CM642" s="1369">
        <f t="shared" si="35"/>
        <v>0</v>
      </c>
      <c r="CN642" s="1369"/>
      <c r="CO642" s="1369"/>
      <c r="CP642" s="1369"/>
      <c r="CQ642" s="1369"/>
      <c r="CR642" s="279"/>
      <c r="CS642" s="1363">
        <f t="shared" si="36"/>
        <v>0</v>
      </c>
      <c r="CT642" s="1364"/>
      <c r="CU642" s="1364"/>
      <c r="CV642" s="1364"/>
      <c r="CW642" s="1365"/>
      <c r="CX642" s="1363">
        <f t="shared" si="37"/>
        <v>0</v>
      </c>
      <c r="CY642" s="1364"/>
      <c r="CZ642" s="1364"/>
      <c r="DA642" s="1364"/>
      <c r="DB642" s="1365"/>
      <c r="DC642" s="1363">
        <f t="shared" si="38"/>
        <v>0</v>
      </c>
      <c r="DD642" s="1364"/>
      <c r="DE642" s="1364"/>
      <c r="DF642" s="1364"/>
      <c r="DG642" s="1365"/>
      <c r="DH642" s="1363">
        <f t="shared" si="39"/>
        <v>0</v>
      </c>
      <c r="DI642" s="1364"/>
      <c r="DJ642" s="1364"/>
      <c r="DK642" s="1364"/>
      <c r="DL642" s="1365"/>
      <c r="DM642" s="1363">
        <f t="shared" si="40"/>
        <v>0</v>
      </c>
      <c r="DN642" s="1364"/>
      <c r="DO642" s="1364"/>
      <c r="DP642" s="1364"/>
      <c r="DQ642" s="1365"/>
      <c r="DR642" s="1363">
        <f t="shared" si="41"/>
        <v>0</v>
      </c>
      <c r="DS642" s="1364"/>
      <c r="DT642" s="1364"/>
      <c r="DU642" s="1364"/>
      <c r="DV642" s="1365"/>
      <c r="DX642" s="1361" t="e">
        <f t="shared" si="23"/>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2.95" customHeight="1">
      <c r="A643" s="20"/>
      <c r="B643" t="s">
        <v>933</v>
      </c>
      <c r="G643" s="1322" t="s">
        <v>1499</v>
      </c>
      <c r="H643" s="1322"/>
      <c r="I643" s="1322"/>
      <c r="J643" s="1322"/>
      <c r="K643" s="1322"/>
      <c r="L643" s="1322"/>
      <c r="O643" s="957" t="s">
        <v>1162</v>
      </c>
      <c r="P643" s="1305"/>
      <c r="Q643" s="1305"/>
      <c r="R643" s="1305"/>
      <c r="S643" s="10"/>
      <c r="T643" s="20"/>
      <c r="U643" t="s">
        <v>933</v>
      </c>
      <c r="Z643" s="1322" t="s">
        <v>1500</v>
      </c>
      <c r="AA643" s="1322"/>
      <c r="AB643" s="1322"/>
      <c r="AC643" s="1322"/>
      <c r="AD643" s="1322"/>
      <c r="AE643" s="1322"/>
      <c r="AH643" s="957" t="s">
        <v>1162</v>
      </c>
      <c r="AI643" s="1305"/>
      <c r="AJ643" s="1305"/>
      <c r="AK643" s="1305"/>
      <c r="AZ643" s="3"/>
      <c r="BA643" s="3"/>
      <c r="BB643" s="3"/>
      <c r="BC643" s="3"/>
      <c r="BD643" s="3"/>
      <c r="BE643" s="3"/>
      <c r="BF643" s="3"/>
      <c r="BG643" s="3"/>
      <c r="BH643" s="3"/>
      <c r="BI643" s="3"/>
      <c r="BJ643" s="3"/>
      <c r="BK643" s="3"/>
      <c r="BL643" s="3"/>
      <c r="BM643" s="3"/>
      <c r="BN643" s="1363">
        <f t="shared" si="30"/>
        <v>0</v>
      </c>
      <c r="BO643" s="1364"/>
      <c r="BP643" s="1364"/>
      <c r="BQ643" s="1364"/>
      <c r="BR643" s="1365"/>
      <c r="BS643" s="1369">
        <f t="shared" si="31"/>
        <v>0</v>
      </c>
      <c r="BT643" s="1369"/>
      <c r="BU643" s="1369"/>
      <c r="BV643" s="1369"/>
      <c r="BW643" s="1369"/>
      <c r="BX643" s="1369">
        <f t="shared" si="32"/>
        <v>0</v>
      </c>
      <c r="BY643" s="1369"/>
      <c r="BZ643" s="1369"/>
      <c r="CA643" s="1369"/>
      <c r="CB643" s="1369"/>
      <c r="CC643" s="1369">
        <f t="shared" si="33"/>
        <v>0</v>
      </c>
      <c r="CD643" s="1369"/>
      <c r="CE643" s="1369"/>
      <c r="CF643" s="1369"/>
      <c r="CG643" s="1369"/>
      <c r="CH643" s="1369">
        <f t="shared" si="34"/>
        <v>0</v>
      </c>
      <c r="CI643" s="1369"/>
      <c r="CJ643" s="1369"/>
      <c r="CK643" s="1369"/>
      <c r="CL643" s="1369"/>
      <c r="CM643" s="1369">
        <f t="shared" si="35"/>
        <v>0</v>
      </c>
      <c r="CN643" s="1369"/>
      <c r="CO643" s="1369"/>
      <c r="CP643" s="1369"/>
      <c r="CQ643" s="1369"/>
      <c r="CR643" s="279"/>
      <c r="CS643" s="1363">
        <f t="shared" si="36"/>
        <v>0</v>
      </c>
      <c r="CT643" s="1364"/>
      <c r="CU643" s="1364"/>
      <c r="CV643" s="1364"/>
      <c r="CW643" s="1365"/>
      <c r="CX643" s="1363">
        <f t="shared" si="37"/>
        <v>0</v>
      </c>
      <c r="CY643" s="1364"/>
      <c r="CZ643" s="1364"/>
      <c r="DA643" s="1364"/>
      <c r="DB643" s="1365"/>
      <c r="DC643" s="1363">
        <f t="shared" si="38"/>
        <v>0</v>
      </c>
      <c r="DD643" s="1364"/>
      <c r="DE643" s="1364"/>
      <c r="DF643" s="1364"/>
      <c r="DG643" s="1365"/>
      <c r="DH643" s="1363">
        <f t="shared" si="39"/>
        <v>0</v>
      </c>
      <c r="DI643" s="1364"/>
      <c r="DJ643" s="1364"/>
      <c r="DK643" s="1364"/>
      <c r="DL643" s="1365"/>
      <c r="DM643" s="1363">
        <f t="shared" si="40"/>
        <v>0</v>
      </c>
      <c r="DN643" s="1364"/>
      <c r="DO643" s="1364"/>
      <c r="DP643" s="1364"/>
      <c r="DQ643" s="1365"/>
      <c r="DR643" s="1363">
        <f t="shared" si="41"/>
        <v>0</v>
      </c>
      <c r="DS643" s="1364"/>
      <c r="DT643" s="1364"/>
      <c r="DU643" s="1364"/>
      <c r="DV643" s="1365"/>
      <c r="DX643" s="1361" t="e">
        <f t="shared" si="23"/>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2.95" customHeight="1">
      <c r="A644" s="20"/>
      <c r="B644" t="s">
        <v>1501</v>
      </c>
      <c r="H644" s="1307" t="s">
        <v>1453</v>
      </c>
      <c r="I644" s="1307"/>
      <c r="J644" s="1307"/>
      <c r="K644" s="1307"/>
      <c r="L644" s="1307"/>
      <c r="M644" s="1307"/>
      <c r="N644" s="1307"/>
      <c r="O644" s="1307"/>
      <c r="P644" s="1307"/>
      <c r="Q644" s="1307"/>
      <c r="R644" s="1307"/>
      <c r="S644" s="8"/>
      <c r="T644" s="20"/>
      <c r="U644" t="s">
        <v>1501</v>
      </c>
      <c r="AA644" s="1307" t="s">
        <v>1449</v>
      </c>
      <c r="AB644" s="1307"/>
      <c r="AC644" s="1307"/>
      <c r="AD644" s="1307"/>
      <c r="AE644" s="1307"/>
      <c r="AF644" s="1307"/>
      <c r="AG644" s="1307"/>
      <c r="AH644" s="1307"/>
      <c r="AI644" s="1307"/>
      <c r="AJ644" s="1307"/>
      <c r="AK644" s="1307"/>
      <c r="AZ644" s="3"/>
      <c r="BA644" s="3"/>
      <c r="BB644" s="3"/>
      <c r="BC644" s="3"/>
      <c r="BD644" s="3"/>
      <c r="BE644" s="3"/>
      <c r="BF644" s="3"/>
      <c r="BG644" s="3"/>
      <c r="BH644" s="3"/>
      <c r="BI644" s="3"/>
      <c r="BJ644" s="3"/>
      <c r="BK644" s="3"/>
      <c r="BL644" s="3"/>
      <c r="BM644" s="3"/>
      <c r="BN644" s="1366">
        <f>SUM(BN634:BR643)</f>
        <v>0</v>
      </c>
      <c r="BO644" s="1367"/>
      <c r="BP644" s="1367"/>
      <c r="BQ644" s="1367"/>
      <c r="BR644" s="1368"/>
      <c r="BS644" s="1366">
        <f>SUM(BS634:BW643)</f>
        <v>0</v>
      </c>
      <c r="BT644" s="1367"/>
      <c r="BU644" s="1367"/>
      <c r="BV644" s="1367"/>
      <c r="BW644" s="1368"/>
      <c r="BX644" s="1366">
        <f>SUM(BX634:CB643)</f>
        <v>0</v>
      </c>
      <c r="BY644" s="1367"/>
      <c r="BZ644" s="1367"/>
      <c r="CA644" s="1367"/>
      <c r="CB644" s="1368"/>
      <c r="CC644" s="1366">
        <f>SUM(CC634:CG643)</f>
        <v>0</v>
      </c>
      <c r="CD644" s="1367"/>
      <c r="CE644" s="1367"/>
      <c r="CF644" s="1367"/>
      <c r="CG644" s="1368"/>
      <c r="CH644" s="1366">
        <f>SUM(CH634:CL643)</f>
        <v>0</v>
      </c>
      <c r="CI644" s="1367"/>
      <c r="CJ644" s="1367"/>
      <c r="CK644" s="1367"/>
      <c r="CL644" s="1368"/>
      <c r="CM644" s="1366">
        <f>SUM(CM634:CQ643)</f>
        <v>0</v>
      </c>
      <c r="CN644" s="1367"/>
      <c r="CO644" s="1367"/>
      <c r="CP644" s="1367"/>
      <c r="CQ644" s="1368"/>
      <c r="CR644" s="279"/>
      <c r="CS644" s="1362">
        <f>SUM(CS634:CW643)</f>
        <v>0</v>
      </c>
      <c r="CT644" s="1362"/>
      <c r="CU644" s="1362"/>
      <c r="CV644" s="1362"/>
      <c r="CW644" s="1362"/>
      <c r="CX644" s="1362">
        <f>SUM(CX634:DB643)</f>
        <v>0</v>
      </c>
      <c r="CY644" s="1362"/>
      <c r="CZ644" s="1362"/>
      <c r="DA644" s="1362"/>
      <c r="DB644" s="1362"/>
      <c r="DC644" s="1362">
        <f>SUM(DC634:DG643)</f>
        <v>0</v>
      </c>
      <c r="DD644" s="1362"/>
      <c r="DE644" s="1362"/>
      <c r="DF644" s="1362"/>
      <c r="DG644" s="1362"/>
      <c r="DH644" s="1362">
        <f>SUM(DH634:DL643)</f>
        <v>0</v>
      </c>
      <c r="DI644" s="1362"/>
      <c r="DJ644" s="1362"/>
      <c r="DK644" s="1362"/>
      <c r="DL644" s="1362"/>
      <c r="DM644" s="1362">
        <f>SUM(DM634:DQ643)</f>
        <v>0</v>
      </c>
      <c r="DN644" s="1362"/>
      <c r="DO644" s="1362"/>
      <c r="DP644" s="1362"/>
      <c r="DQ644" s="1362"/>
      <c r="DR644" s="1362">
        <f>SUM(DR634:DV643)</f>
        <v>0</v>
      </c>
      <c r="DS644" s="1362"/>
      <c r="DT644" s="1362"/>
      <c r="DU644" s="1362"/>
      <c r="DV644" s="1362"/>
      <c r="DX644" s="1361" t="e">
        <f t="shared" si="23"/>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2.95" customHeight="1">
      <c r="A645" s="20"/>
      <c r="B645" t="s">
        <v>1503</v>
      </c>
      <c r="N645" s="1308" t="s">
        <v>946</v>
      </c>
      <c r="O645" s="1308"/>
      <c r="T645" s="20"/>
      <c r="U645" t="s">
        <v>1503</v>
      </c>
      <c r="AG645" s="1308" t="s">
        <v>946</v>
      </c>
      <c r="AH645" s="1308"/>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61" t="e">
        <f t="shared" si="23"/>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1541</v>
      </c>
      <c r="CU646" s="3"/>
      <c r="CV646" s="3"/>
      <c r="CW646" s="3"/>
      <c r="CX646" s="3"/>
      <c r="CY646" s="3"/>
      <c r="CZ646" s="3"/>
      <c r="DA646" s="3"/>
      <c r="DB646" s="3"/>
      <c r="DC646" s="3"/>
      <c r="DD646" s="3"/>
      <c r="DE646" s="3"/>
      <c r="DF646" s="3"/>
      <c r="DQ646" s="49" t="s">
        <v>1542</v>
      </c>
      <c r="DR646" s="1361">
        <f>SUM(CS644:DV644)</f>
        <v>0</v>
      </c>
      <c r="DS646" s="1361"/>
      <c r="DT646" s="1361"/>
      <c r="DU646" s="1361"/>
      <c r="DV646" s="1361"/>
      <c r="DX646" s="1361" t="e">
        <f t="shared" si="23"/>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2.95" customHeight="1">
      <c r="A647" s="48" t="s">
        <v>38</v>
      </c>
      <c r="B647" t="s">
        <v>1493</v>
      </c>
      <c r="G647" s="1306" t="str">
        <f>C625</f>
        <v>County of Santa Clara</v>
      </c>
      <c r="H647" s="1306"/>
      <c r="I647" s="1306"/>
      <c r="J647" s="1306"/>
      <c r="K647" s="1306"/>
      <c r="L647" s="1306"/>
      <c r="M647" s="1306"/>
      <c r="N647" s="1306"/>
      <c r="O647" s="1306"/>
      <c r="P647" s="1306"/>
      <c r="Q647" s="1306"/>
      <c r="R647" s="1306"/>
      <c r="T647" s="48" t="s">
        <v>81</v>
      </c>
      <c r="U647" t="s">
        <v>1493</v>
      </c>
      <c r="Z647" s="1306" t="str">
        <f>C626</f>
        <v>Accrued Interest</v>
      </c>
      <c r="AA647" s="1306"/>
      <c r="AB647" s="1306"/>
      <c r="AC647" s="1306"/>
      <c r="AD647" s="1306"/>
      <c r="AE647" s="1306"/>
      <c r="AF647" s="1306"/>
      <c r="AG647" s="1306"/>
      <c r="AH647" s="1306"/>
      <c r="AI647" s="1306"/>
      <c r="AJ647" s="1306"/>
      <c r="AK647" s="1306"/>
      <c r="AZ647" s="3"/>
      <c r="BA647" s="3"/>
      <c r="BB647" s="3"/>
      <c r="BC647" s="3"/>
      <c r="BD647" s="3"/>
      <c r="BE647" s="3"/>
      <c r="BF647" s="3"/>
      <c r="BG647" s="3"/>
      <c r="BH647" s="3"/>
      <c r="BI647" s="3"/>
      <c r="BJ647" s="3"/>
      <c r="BK647" s="3"/>
      <c r="BL647" s="3"/>
      <c r="BM647" s="3"/>
      <c r="CR647" s="3"/>
      <c r="CS647" s="786">
        <f>BR645+BW645+CB645+CG645+CL645+CQ645</f>
        <v>0</v>
      </c>
      <c r="CT647" s="50" t="s">
        <v>1543</v>
      </c>
      <c r="CU647" s="3"/>
      <c r="CV647" s="3"/>
      <c r="CW647" s="3"/>
      <c r="CX647" s="3"/>
      <c r="CY647" s="3"/>
      <c r="CZ647" s="3"/>
      <c r="DA647" s="3"/>
      <c r="DB647" s="3"/>
      <c r="DC647" s="3"/>
      <c r="DD647" s="3"/>
      <c r="DE647" s="3"/>
      <c r="DF647" s="3"/>
      <c r="DX647" s="1361" t="e">
        <f t="shared" si="23"/>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2.95" customHeight="1">
      <c r="A648" s="20"/>
      <c r="B648" t="s">
        <v>1153</v>
      </c>
      <c r="G648" s="1307" t="s">
        <v>1504</v>
      </c>
      <c r="H648" s="1307"/>
      <c r="I648" s="1307"/>
      <c r="J648" s="1307"/>
      <c r="K648" s="1307"/>
      <c r="L648" s="1307"/>
      <c r="M648" s="1307"/>
      <c r="N648" s="1307"/>
      <c r="O648" s="1307"/>
      <c r="P648" s="1307"/>
      <c r="Q648" s="1307"/>
      <c r="R648" s="1307"/>
      <c r="T648" s="20"/>
      <c r="U648" t="s">
        <v>1153</v>
      </c>
      <c r="Z648" s="1307" t="s">
        <v>1505</v>
      </c>
      <c r="AA648" s="1307"/>
      <c r="AB648" s="1307"/>
      <c r="AC648" s="1307"/>
      <c r="AD648" s="1307"/>
      <c r="AE648" s="1307"/>
      <c r="AF648" s="1307"/>
      <c r="AG648" s="1307"/>
      <c r="AH648" s="1307"/>
      <c r="AI648" s="1307"/>
      <c r="AJ648" s="1307"/>
      <c r="AK648" s="1307"/>
      <c r="AZ648" s="3"/>
      <c r="BA648" s="3"/>
      <c r="BB648" s="3"/>
      <c r="BC648" s="3"/>
      <c r="BD648" s="3"/>
      <c r="BE648" s="3"/>
      <c r="BF648" s="3"/>
      <c r="BG648" s="3"/>
      <c r="BH648" s="3"/>
      <c r="BI648" s="3"/>
      <c r="BJ648" s="3"/>
      <c r="BK648" s="3"/>
      <c r="BL648" s="3"/>
      <c r="BM648" s="3"/>
      <c r="BN648" s="3" t="s">
        <v>1544</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61" t="e">
        <f t="shared" si="23"/>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2.95" customHeight="1">
      <c r="A649" s="20"/>
      <c r="B649" t="s">
        <v>1026</v>
      </c>
      <c r="G649" s="1326" t="s">
        <v>1155</v>
      </c>
      <c r="H649" s="1326"/>
      <c r="I649" s="1326"/>
      <c r="J649" s="1326"/>
      <c r="K649" s="1326"/>
      <c r="L649" s="1326"/>
      <c r="M649" s="1326"/>
      <c r="N649" s="1326"/>
      <c r="O649" s="1326"/>
      <c r="P649" s="1326"/>
      <c r="Q649" s="1326"/>
      <c r="R649" s="1326"/>
      <c r="T649" s="20"/>
      <c r="U649" t="s">
        <v>1026</v>
      </c>
      <c r="Z649" s="1326"/>
      <c r="AA649" s="1326"/>
      <c r="AB649" s="1326"/>
      <c r="AC649" s="1326"/>
      <c r="AD649" s="1326"/>
      <c r="AE649" s="1326"/>
      <c r="AF649" s="1326"/>
      <c r="AG649" s="1326"/>
      <c r="AH649" s="1326"/>
      <c r="AI649" s="1326"/>
      <c r="AJ649" s="1326"/>
      <c r="AK649" s="1326"/>
      <c r="AZ649" s="3"/>
      <c r="BA649" s="3"/>
      <c r="BB649" s="3"/>
      <c r="BC649" s="3"/>
      <c r="BD649" s="3"/>
      <c r="BE649" s="3"/>
      <c r="BF649" s="3"/>
      <c r="BG649" s="3"/>
      <c r="BH649" s="3"/>
      <c r="BI649" s="3"/>
      <c r="BJ649" s="3"/>
      <c r="BK649" s="3"/>
      <c r="BL649" s="3"/>
      <c r="BM649" s="3"/>
      <c r="BN649" s="1366">
        <f>BN621+BN630+BN644</f>
        <v>24</v>
      </c>
      <c r="BO649" s="1367"/>
      <c r="BP649" s="1367"/>
      <c r="BQ649" s="1367"/>
      <c r="BR649" s="1368"/>
      <c r="BS649" s="1366">
        <f>BS621+BS630+BS644</f>
        <v>18</v>
      </c>
      <c r="BT649" s="1367"/>
      <c r="BU649" s="1367"/>
      <c r="BV649" s="1367"/>
      <c r="BW649" s="1368"/>
      <c r="BX649" s="1366">
        <f>BX621+BX630+BX644</f>
        <v>21</v>
      </c>
      <c r="BY649" s="1367"/>
      <c r="BZ649" s="1367"/>
      <c r="CA649" s="1367"/>
      <c r="CB649" s="1368"/>
      <c r="CC649" s="1366">
        <f>CC621+CC630+CC644</f>
        <v>22</v>
      </c>
      <c r="CD649" s="1367"/>
      <c r="CE649" s="1367"/>
      <c r="CF649" s="1367"/>
      <c r="CG649" s="1368"/>
      <c r="CH649" s="1366">
        <f>CH621+CH630+CH644</f>
        <v>0</v>
      </c>
      <c r="CI649" s="1367"/>
      <c r="CJ649" s="1367"/>
      <c r="CK649" s="1367"/>
      <c r="CL649" s="1368"/>
      <c r="CM649" s="1366">
        <f>CM644+CM630+CM621</f>
        <v>0</v>
      </c>
      <c r="CN649" s="1367"/>
      <c r="CO649" s="1367"/>
      <c r="CP649" s="1367"/>
      <c r="CQ649" s="1368"/>
      <c r="CR649" s="3"/>
      <c r="CS649" s="786">
        <f>CS623+CS647</f>
        <v>147</v>
      </c>
      <c r="CT649" s="50" t="s">
        <v>1545</v>
      </c>
      <c r="CU649" s="3"/>
      <c r="CV649" s="3"/>
      <c r="CW649" s="3"/>
      <c r="CX649" s="3"/>
      <c r="CY649" s="3"/>
      <c r="CZ649" s="3"/>
      <c r="DA649" s="3"/>
      <c r="DB649" s="3"/>
      <c r="DC649" s="3"/>
      <c r="DD649" s="3"/>
      <c r="DE649" s="3"/>
      <c r="DF649" s="3"/>
      <c r="DX649" s="1361">
        <f>SUMIF(DX624:EB648,"&gt;0")</f>
        <v>916.75</v>
      </c>
      <c r="DY649" s="1361"/>
      <c r="DZ649" s="1361"/>
      <c r="EA649" s="1361"/>
      <c r="EB649" s="1361"/>
      <c r="EC649" s="1361">
        <f>SUMIF(EC624:EG648,"&gt;0")</f>
        <v>1179.8888888888889</v>
      </c>
      <c r="ED649" s="1361"/>
      <c r="EE649" s="1361"/>
      <c r="EF649" s="1361"/>
      <c r="EG649" s="1361"/>
      <c r="EH649" s="1361">
        <f>SUMIF(EH624:EL648,"&gt;0")</f>
        <v>1502.7142857142856</v>
      </c>
      <c r="EI649" s="1361"/>
      <c r="EJ649" s="1361"/>
      <c r="EK649" s="1361"/>
      <c r="EL649" s="1361"/>
      <c r="EM649" s="1361">
        <f>SUMIF(EM624:EQ648,"&gt;0")</f>
        <v>2021.5714285714287</v>
      </c>
      <c r="EN649" s="1361"/>
      <c r="EO649" s="1361"/>
      <c r="EP649" s="1361"/>
      <c r="EQ649" s="1361"/>
      <c r="ER649" s="1361">
        <f>SUMIF(ER624:EV648,"&gt;0")</f>
        <v>0</v>
      </c>
      <c r="ES649" s="1361"/>
      <c r="ET649" s="1361"/>
      <c r="EU649" s="1361"/>
      <c r="EV649" s="1361"/>
      <c r="EW649" s="1361">
        <f>SUMIF(EW624:FA648,"&gt;0")</f>
        <v>0</v>
      </c>
      <c r="EX649" s="1361"/>
      <c r="EY649" s="1361"/>
      <c r="EZ649" s="1361"/>
      <c r="FA649" s="1361"/>
    </row>
    <row r="650" spans="1:157" ht="12.95" customHeight="1">
      <c r="A650" s="20"/>
      <c r="B650" t="s">
        <v>1496</v>
      </c>
      <c r="G650" s="1326" t="s">
        <v>1506</v>
      </c>
      <c r="H650" s="1326"/>
      <c r="I650" s="1326"/>
      <c r="J650" s="1326"/>
      <c r="K650" s="1326"/>
      <c r="L650" s="1326"/>
      <c r="M650" s="1326"/>
      <c r="N650" s="1326"/>
      <c r="O650" s="1326"/>
      <c r="P650" s="1326"/>
      <c r="Q650" s="1326"/>
      <c r="R650" s="1326"/>
      <c r="T650" s="20"/>
      <c r="U650" t="s">
        <v>1496</v>
      </c>
      <c r="Z650" s="1326"/>
      <c r="AA650" s="1326"/>
      <c r="AB650" s="1326"/>
      <c r="AC650" s="1326"/>
      <c r="AD650" s="1326"/>
      <c r="AE650" s="1326"/>
      <c r="AF650" s="1326"/>
      <c r="AG650" s="1326"/>
      <c r="AH650" s="1326"/>
      <c r="AI650" s="1326"/>
      <c r="AJ650" s="1326"/>
      <c r="AK650" s="1326"/>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933</v>
      </c>
      <c r="G651" s="1322" t="s">
        <v>1507</v>
      </c>
      <c r="H651" s="1322"/>
      <c r="I651" s="1322"/>
      <c r="J651" s="1322"/>
      <c r="K651" s="1322"/>
      <c r="L651" s="1322"/>
      <c r="O651" s="957" t="s">
        <v>1162</v>
      </c>
      <c r="P651" s="1305"/>
      <c r="Q651" s="1305"/>
      <c r="R651" s="1305"/>
      <c r="T651" s="20"/>
      <c r="U651" t="s">
        <v>933</v>
      </c>
      <c r="Z651" s="1322"/>
      <c r="AA651" s="1322"/>
      <c r="AB651" s="1322"/>
      <c r="AC651" s="1322"/>
      <c r="AD651" s="1322"/>
      <c r="AE651" s="1322"/>
      <c r="AH651" s="957" t="s">
        <v>1162</v>
      </c>
      <c r="AI651" s="1305"/>
      <c r="AJ651" s="1305"/>
      <c r="AK651" s="130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1501</v>
      </c>
      <c r="H652" s="1307" t="s">
        <v>1449</v>
      </c>
      <c r="I652" s="1307"/>
      <c r="J652" s="1307"/>
      <c r="K652" s="1307"/>
      <c r="L652" s="1307"/>
      <c r="M652" s="1307"/>
      <c r="N652" s="1307"/>
      <c r="O652" s="1307"/>
      <c r="P652" s="1307"/>
      <c r="Q652" s="1307"/>
      <c r="R652" s="1307"/>
      <c r="T652" s="20"/>
      <c r="U652" t="s">
        <v>1501</v>
      </c>
      <c r="AA652" s="1307"/>
      <c r="AB652" s="1307"/>
      <c r="AC652" s="1307"/>
      <c r="AD652" s="1307"/>
      <c r="AE652" s="1307"/>
      <c r="AF652" s="1307"/>
      <c r="AG652" s="1307"/>
      <c r="AH652" s="1307"/>
      <c r="AI652" s="1307"/>
      <c r="AJ652" s="1307"/>
      <c r="AK652" s="1307"/>
      <c r="AZ652" s="3"/>
      <c r="BA652" s="3"/>
      <c r="BB652" s="3"/>
      <c r="BC652" s="3"/>
      <c r="BD652" s="3"/>
      <c r="BE652" s="3"/>
      <c r="BF652" s="3"/>
      <c r="BG652" s="3"/>
      <c r="BH652" s="3"/>
      <c r="BI652" s="3"/>
      <c r="BJ652" s="3"/>
      <c r="BK652" s="3"/>
      <c r="BL652" s="3"/>
      <c r="BM652" s="3"/>
      <c r="BN652" s="3"/>
      <c r="BO652" s="3"/>
      <c r="BP652" s="138" t="s">
        <v>1546</v>
      </c>
      <c r="BQ652" s="139"/>
      <c r="BR652" s="139"/>
      <c r="BS652" s="139"/>
      <c r="BT652" s="139"/>
      <c r="BU652" s="139"/>
      <c r="BV652" s="139"/>
      <c r="BW652" s="3"/>
      <c r="BX652" s="138" t="s">
        <v>1547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1503</v>
      </c>
      <c r="N653" s="1308" t="s">
        <v>946</v>
      </c>
      <c r="O653" s="1308"/>
      <c r="T653" s="20"/>
      <c r="U653" t="s">
        <v>1503</v>
      </c>
      <c r="AG653" s="1308" t="s">
        <v>837</v>
      </c>
      <c r="AH653" s="1308"/>
      <c r="AZ653" s="3"/>
      <c r="BA653" s="3"/>
      <c r="BB653" s="3"/>
      <c r="BC653" s="3"/>
      <c r="BD653" s="3"/>
      <c r="BE653" s="3"/>
      <c r="BF653" s="3"/>
      <c r="BG653" s="3"/>
      <c r="BH653" s="3"/>
      <c r="BI653" s="3"/>
      <c r="BJ653" s="3"/>
      <c r="BK653" s="3"/>
      <c r="BL653" s="3"/>
      <c r="BM653" s="3"/>
      <c r="BN653" s="3"/>
      <c r="BO653" s="3"/>
      <c r="BP653" s="210" t="s">
        <v>1548</v>
      </c>
      <c r="BQ653" s="139"/>
      <c r="BR653" s="139"/>
      <c r="BS653" s="139"/>
      <c r="BT653" s="139"/>
      <c r="BU653" s="139"/>
      <c r="BV653" s="139"/>
      <c r="BW653" s="3"/>
      <c r="BX653" s="210" t="s">
        <v>1549</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1493</v>
      </c>
      <c r="G655" s="1306" t="str">
        <f>C627</f>
        <v>Deferred Developer Fee</v>
      </c>
      <c r="H655" s="1306"/>
      <c r="I655" s="1306"/>
      <c r="J655" s="1306"/>
      <c r="K655" s="1306"/>
      <c r="L655" s="1306"/>
      <c r="M655" s="1306"/>
      <c r="N655" s="1306"/>
      <c r="O655" s="1306"/>
      <c r="P655" s="1306"/>
      <c r="Q655" s="1306"/>
      <c r="R655" s="1306"/>
      <c r="T655" s="48" t="s">
        <v>1483</v>
      </c>
      <c r="U655" t="s">
        <v>1493</v>
      </c>
      <c r="Z655" s="1306">
        <f>C628</f>
        <v>0</v>
      </c>
      <c r="AA655" s="1306"/>
      <c r="AB655" s="1306"/>
      <c r="AC655" s="1306"/>
      <c r="AD655" s="1306"/>
      <c r="AE655" s="1306"/>
      <c r="AF655" s="1306"/>
      <c r="AG655" s="1306"/>
      <c r="AH655" s="1306"/>
      <c r="AI655" s="1306"/>
      <c r="AJ655" s="1306"/>
      <c r="AK655" s="1306"/>
      <c r="AZ655" s="3"/>
      <c r="BA655" s="74" t="s">
        <v>1550</v>
      </c>
      <c r="BB655" s="3"/>
      <c r="BC655" s="3"/>
      <c r="BD655" s="3"/>
      <c r="BE655" s="3"/>
      <c r="BF655" s="143"/>
      <c r="BG655" s="144" t="s">
        <v>1551</v>
      </c>
      <c r="BH655" s="143"/>
      <c r="BI655" s="143"/>
      <c r="BJ655" s="3"/>
      <c r="BK655" s="3"/>
      <c r="BL655" s="3"/>
      <c r="BM655" s="3"/>
      <c r="BN655" s="3"/>
      <c r="BO655" s="3"/>
      <c r="BP655" s="269" t="s">
        <v>1552</v>
      </c>
      <c r="BQ655" s="270" t="s">
        <v>1511</v>
      </c>
      <c r="BR655" s="270" t="s">
        <v>1515</v>
      </c>
      <c r="BS655" s="270" t="s">
        <v>1516</v>
      </c>
      <c r="BT655" s="270" t="s">
        <v>1517</v>
      </c>
      <c r="BU655" s="270" t="s">
        <v>1520</v>
      </c>
      <c r="BV655" s="270" t="s">
        <v>1519</v>
      </c>
      <c r="BW655" s="3"/>
      <c r="BX655" s="270" t="s">
        <v>1511</v>
      </c>
      <c r="BY655" s="270" t="s">
        <v>1515</v>
      </c>
      <c r="BZ655" s="270" t="s">
        <v>1516</v>
      </c>
      <c r="CA655" s="270" t="s">
        <v>1517</v>
      </c>
      <c r="CB655" s="270" t="s">
        <v>1520</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1153</v>
      </c>
      <c r="G656" s="1307" t="s">
        <v>1154</v>
      </c>
      <c r="H656" s="1307"/>
      <c r="I656" s="1307"/>
      <c r="J656" s="1307"/>
      <c r="K656" s="1307"/>
      <c r="L656" s="1307"/>
      <c r="M656" s="1307"/>
      <c r="N656" s="1307"/>
      <c r="O656" s="1307"/>
      <c r="P656" s="1307"/>
      <c r="Q656" s="1307"/>
      <c r="R656" s="1307"/>
      <c r="T656" s="20"/>
      <c r="U656" t="s">
        <v>1153</v>
      </c>
      <c r="Z656" s="1307"/>
      <c r="AA656" s="1307"/>
      <c r="AB656" s="1307"/>
      <c r="AC656" s="1307"/>
      <c r="AD656" s="1307"/>
      <c r="AE656" s="1307"/>
      <c r="AF656" s="1307"/>
      <c r="AG656" s="1307"/>
      <c r="AH656" s="1307"/>
      <c r="AI656" s="1307"/>
      <c r="AJ656" s="1307"/>
      <c r="AK656" s="1307"/>
      <c r="AZ656" s="3"/>
      <c r="BA656" s="85">
        <f t="shared" ref="BA656:BA680" si="42">IF($G714=0,"N/A",VLOOKUP($T$189,TC_Rent,(MATCH($B714,bedrooms,FALSE))))</f>
        <v>2950</v>
      </c>
      <c r="BB656" s="3"/>
      <c r="BC656" s="3"/>
      <c r="BD656" s="3"/>
      <c r="BE656" s="3"/>
      <c r="BF656" s="143"/>
      <c r="BG656" s="215" t="s">
        <v>1553</v>
      </c>
      <c r="BH656" s="219" t="s">
        <v>1554</v>
      </c>
      <c r="BI656" s="218" t="s">
        <v>1555</v>
      </c>
      <c r="BJ656" s="3"/>
      <c r="BK656" s="3"/>
      <c r="BL656" s="3"/>
      <c r="BM656" s="3"/>
      <c r="BN656" s="3"/>
      <c r="BO656" s="3"/>
      <c r="BP656" s="271" t="s">
        <v>929</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1026</v>
      </c>
      <c r="G657" s="1326" t="s">
        <v>1155</v>
      </c>
      <c r="H657" s="1326"/>
      <c r="I657" s="1326"/>
      <c r="J657" s="1326"/>
      <c r="K657" s="1326"/>
      <c r="L657" s="1326"/>
      <c r="M657" s="1326"/>
      <c r="N657" s="1326"/>
      <c r="O657" s="1326"/>
      <c r="P657" s="1326"/>
      <c r="Q657" s="1326"/>
      <c r="R657" s="1326"/>
      <c r="T657" s="20"/>
      <c r="U657" t="s">
        <v>1026</v>
      </c>
      <c r="Z657" s="1326"/>
      <c r="AA657" s="1326"/>
      <c r="AB657" s="1326"/>
      <c r="AC657" s="1326"/>
      <c r="AD657" s="1326"/>
      <c r="AE657" s="1326"/>
      <c r="AF657" s="1326"/>
      <c r="AG657" s="1326"/>
      <c r="AH657" s="1326"/>
      <c r="AI657" s="1326"/>
      <c r="AJ657" s="1326"/>
      <c r="AK657" s="1326"/>
      <c r="AZ657" s="3"/>
      <c r="BA657" s="85">
        <f t="shared" si="42"/>
        <v>3160</v>
      </c>
      <c r="BB657" s="3"/>
      <c r="BC657" s="3"/>
      <c r="BD657" s="3"/>
      <c r="BE657" s="3"/>
      <c r="BF657" s="143"/>
      <c r="BG657" s="216">
        <f t="shared" ref="BG657:BG681" si="43">G714</f>
        <v>21</v>
      </c>
      <c r="BH657" s="220">
        <f>BG657/$BG$682</f>
        <v>0.25</v>
      </c>
      <c r="BI657" s="221">
        <f t="shared" ref="BI657:BI681" si="44">IF(BH657=0," ",BH657*AC714)</f>
        <v>7.4999999999999997E-2</v>
      </c>
      <c r="BJ657" s="3"/>
      <c r="BK657" s="3"/>
      <c r="BL657" s="3"/>
      <c r="BM657" s="3"/>
      <c r="BN657" s="3"/>
      <c r="BO657" s="3"/>
      <c r="BP657" s="272" t="s">
        <v>932</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1496</v>
      </c>
      <c r="G658" s="1326" t="s">
        <v>1179</v>
      </c>
      <c r="H658" s="1326"/>
      <c r="I658" s="1326"/>
      <c r="J658" s="1326"/>
      <c r="K658" s="1326"/>
      <c r="L658" s="1326"/>
      <c r="M658" s="1326"/>
      <c r="N658" s="1326"/>
      <c r="O658" s="1326"/>
      <c r="P658" s="1326"/>
      <c r="Q658" s="1326"/>
      <c r="R658" s="1326"/>
      <c r="T658" s="20"/>
      <c r="U658" t="s">
        <v>1496</v>
      </c>
      <c r="Z658" s="1326"/>
      <c r="AA658" s="1326"/>
      <c r="AB658" s="1326"/>
      <c r="AC658" s="1326"/>
      <c r="AD658" s="1326"/>
      <c r="AE658" s="1326"/>
      <c r="AF658" s="1326"/>
      <c r="AG658" s="1326"/>
      <c r="AH658" s="1326"/>
      <c r="AI658" s="1326"/>
      <c r="AJ658" s="1326"/>
      <c r="AK658" s="1326"/>
      <c r="AZ658" s="3"/>
      <c r="BA658" s="85">
        <f t="shared" si="42"/>
        <v>3792</v>
      </c>
      <c r="BB658" s="3"/>
      <c r="BC658" s="3"/>
      <c r="BD658" s="3"/>
      <c r="BE658" s="3"/>
      <c r="BF658" s="143"/>
      <c r="BG658" s="217">
        <f t="shared" si="43"/>
        <v>10</v>
      </c>
      <c r="BH658" s="220">
        <f t="shared" ref="BH658:BH681" si="45">BG658/$BG$682</f>
        <v>0.11904761904761904</v>
      </c>
      <c r="BI658" s="221">
        <f t="shared" si="44"/>
        <v>3.5714285714285712E-2</v>
      </c>
      <c r="BJ658" s="3"/>
      <c r="BK658" s="3"/>
      <c r="BL658" s="3"/>
      <c r="BM658" s="3"/>
      <c r="BN658" s="3"/>
      <c r="BO658" s="3"/>
      <c r="BP658" s="272" t="s">
        <v>937</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933</v>
      </c>
      <c r="G659" s="1322" t="s">
        <v>1181</v>
      </c>
      <c r="H659" s="1322"/>
      <c r="I659" s="1322"/>
      <c r="J659" s="1322"/>
      <c r="K659" s="1322"/>
      <c r="L659" s="1322"/>
      <c r="O659" s="957" t="s">
        <v>1162</v>
      </c>
      <c r="P659" s="1305"/>
      <c r="Q659" s="1305"/>
      <c r="R659" s="1305"/>
      <c r="T659" s="20"/>
      <c r="U659" t="s">
        <v>933</v>
      </c>
      <c r="Z659" s="1322"/>
      <c r="AA659" s="1322"/>
      <c r="AB659" s="1322"/>
      <c r="AC659" s="1322"/>
      <c r="AD659" s="1322"/>
      <c r="AE659" s="1322"/>
      <c r="AH659" s="957" t="s">
        <v>1162</v>
      </c>
      <c r="AI659" s="1305"/>
      <c r="AJ659" s="1305"/>
      <c r="AK659" s="1305"/>
      <c r="AZ659" s="3"/>
      <c r="BA659" s="85">
        <f t="shared" si="42"/>
        <v>4380</v>
      </c>
      <c r="BB659" s="3"/>
      <c r="BC659" s="3"/>
      <c r="BD659" s="3"/>
      <c r="BE659" s="3"/>
      <c r="BF659" s="143"/>
      <c r="BG659" s="217">
        <f t="shared" si="43"/>
        <v>9</v>
      </c>
      <c r="BH659" s="220">
        <f t="shared" si="45"/>
        <v>0.10714285714285714</v>
      </c>
      <c r="BI659" s="221">
        <f t="shared" si="44"/>
        <v>3.214285714285714E-2</v>
      </c>
      <c r="BJ659" s="3"/>
      <c r="BK659" s="3"/>
      <c r="BL659" s="3"/>
      <c r="BM659" s="3"/>
      <c r="BN659" s="3"/>
      <c r="BO659" s="3"/>
      <c r="BP659" s="272" t="s">
        <v>941</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1501</v>
      </c>
      <c r="H660" s="1307" t="s">
        <v>1556</v>
      </c>
      <c r="I660" s="1307"/>
      <c r="J660" s="1307"/>
      <c r="K660" s="1307"/>
      <c r="L660" s="1307"/>
      <c r="M660" s="1307"/>
      <c r="N660" s="1307"/>
      <c r="O660" s="1307"/>
      <c r="P660" s="1307"/>
      <c r="Q660" s="1307"/>
      <c r="R660" s="1307"/>
      <c r="T660" s="20"/>
      <c r="U660" t="s">
        <v>1501</v>
      </c>
      <c r="AA660" s="1307"/>
      <c r="AB660" s="1307"/>
      <c r="AC660" s="1307"/>
      <c r="AD660" s="1307"/>
      <c r="AE660" s="1307"/>
      <c r="AF660" s="1307"/>
      <c r="AG660" s="1307"/>
      <c r="AH660" s="1307"/>
      <c r="AI660" s="1307"/>
      <c r="AJ660" s="1307"/>
      <c r="AK660" s="1307"/>
      <c r="AZ660" s="3"/>
      <c r="BA660" s="85">
        <f t="shared" si="42"/>
        <v>2950</v>
      </c>
      <c r="BB660" s="3"/>
      <c r="BC660" s="3"/>
      <c r="BD660" s="3"/>
      <c r="BE660" s="3"/>
      <c r="BF660" s="143"/>
      <c r="BG660" s="217">
        <f t="shared" si="43"/>
        <v>2</v>
      </c>
      <c r="BH660" s="220">
        <f t="shared" si="45"/>
        <v>2.3809523809523808E-2</v>
      </c>
      <c r="BI660" s="221">
        <f t="shared" si="44"/>
        <v>7.1428571428571418E-3</v>
      </c>
      <c r="BJ660" s="3"/>
      <c r="BK660" s="3"/>
      <c r="BL660" s="3"/>
      <c r="BM660" s="3"/>
      <c r="BN660" s="3"/>
      <c r="BO660" s="3"/>
      <c r="BP660" s="272" t="s">
        <v>945</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1503</v>
      </c>
      <c r="N661" s="1308" t="s">
        <v>946</v>
      </c>
      <c r="O661" s="1308"/>
      <c r="T661" s="20"/>
      <c r="U661" t="s">
        <v>1503</v>
      </c>
      <c r="AG661" s="1308" t="s">
        <v>837</v>
      </c>
      <c r="AH661" s="1308"/>
      <c r="AZ661" s="3"/>
      <c r="BA661" s="85">
        <f t="shared" si="42"/>
        <v>3160</v>
      </c>
      <c r="BB661" s="3"/>
      <c r="BC661" s="3"/>
      <c r="BD661" s="3"/>
      <c r="BE661" s="3"/>
      <c r="BF661" s="143"/>
      <c r="BG661" s="217">
        <f t="shared" si="43"/>
        <v>3</v>
      </c>
      <c r="BH661" s="220">
        <f t="shared" si="45"/>
        <v>3.5714285714285712E-2</v>
      </c>
      <c r="BI661" s="221">
        <f t="shared" si="44"/>
        <v>1.7857142857142856E-2</v>
      </c>
      <c r="BJ661" s="3"/>
      <c r="BK661" s="3"/>
      <c r="BL661" s="3"/>
      <c r="BM661" s="3"/>
      <c r="BN661" s="3"/>
      <c r="BO661" s="3"/>
      <c r="BP661" s="272" t="s">
        <v>948</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2"/>
        <v>3792</v>
      </c>
      <c r="BB662" s="3"/>
      <c r="BC662" s="3"/>
      <c r="BD662" s="3"/>
      <c r="BE662" s="3"/>
      <c r="BF662" s="143"/>
      <c r="BG662" s="217">
        <f t="shared" si="43"/>
        <v>8</v>
      </c>
      <c r="BH662" s="220">
        <f t="shared" si="45"/>
        <v>9.5238095238095233E-2</v>
      </c>
      <c r="BI662" s="221">
        <f t="shared" si="44"/>
        <v>4.7619047619047616E-2</v>
      </c>
      <c r="BJ662" s="3"/>
      <c r="BK662" s="3"/>
      <c r="BL662" s="3"/>
      <c r="BM662" s="3"/>
      <c r="BN662" s="3"/>
      <c r="BO662" s="3"/>
      <c r="BP662" s="272" t="s">
        <v>952</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1485</v>
      </c>
      <c r="B663" t="s">
        <v>1493</v>
      </c>
      <c r="G663" s="1306">
        <f>C629</f>
        <v>0</v>
      </c>
      <c r="H663" s="1306"/>
      <c r="I663" s="1306"/>
      <c r="J663" s="1306"/>
      <c r="K663" s="1306"/>
      <c r="L663" s="1306"/>
      <c r="M663" s="1306"/>
      <c r="N663" s="1306"/>
      <c r="O663" s="1306"/>
      <c r="P663" s="1306"/>
      <c r="Q663" s="1306"/>
      <c r="R663" s="1306"/>
      <c r="T663" s="48" t="s">
        <v>1487</v>
      </c>
      <c r="U663" t="s">
        <v>1493</v>
      </c>
      <c r="Z663" s="1306">
        <f>C630</f>
        <v>0</v>
      </c>
      <c r="AA663" s="1306"/>
      <c r="AB663" s="1306"/>
      <c r="AC663" s="1306"/>
      <c r="AD663" s="1306"/>
      <c r="AE663" s="1306"/>
      <c r="AF663" s="1306"/>
      <c r="AG663" s="1306"/>
      <c r="AH663" s="1306"/>
      <c r="AI663" s="1306"/>
      <c r="AJ663" s="1306"/>
      <c r="AK663" s="1306"/>
      <c r="AZ663" s="3"/>
      <c r="BA663" s="85">
        <f t="shared" si="42"/>
        <v>4380</v>
      </c>
      <c r="BB663" s="3"/>
      <c r="BC663" s="3"/>
      <c r="BD663" s="3"/>
      <c r="BE663" s="3"/>
      <c r="BF663" s="143"/>
      <c r="BG663" s="217">
        <f t="shared" si="43"/>
        <v>12</v>
      </c>
      <c r="BH663" s="220">
        <f t="shared" si="45"/>
        <v>0.14285714285714285</v>
      </c>
      <c r="BI663" s="221">
        <f t="shared" si="44"/>
        <v>7.1428571428571425E-2</v>
      </c>
      <c r="BJ663" s="3"/>
      <c r="BK663" s="3"/>
      <c r="BL663" s="3"/>
      <c r="BM663" s="3"/>
      <c r="BN663" s="3"/>
      <c r="BO663" s="3"/>
      <c r="BP663" s="272" t="s">
        <v>955</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1153</v>
      </c>
      <c r="G664" s="1307"/>
      <c r="H664" s="1307"/>
      <c r="I664" s="1307"/>
      <c r="J664" s="1307"/>
      <c r="K664" s="1307"/>
      <c r="L664" s="1307"/>
      <c r="M664" s="1307"/>
      <c r="N664" s="1307"/>
      <c r="O664" s="1307"/>
      <c r="P664" s="1307"/>
      <c r="Q664" s="1307"/>
      <c r="R664" s="1307"/>
      <c r="T664" s="20"/>
      <c r="U664" t="s">
        <v>1153</v>
      </c>
      <c r="Z664" s="1307"/>
      <c r="AA664" s="1307"/>
      <c r="AB664" s="1307"/>
      <c r="AC664" s="1307"/>
      <c r="AD664" s="1307"/>
      <c r="AE664" s="1307"/>
      <c r="AF664" s="1307"/>
      <c r="AG664" s="1307"/>
      <c r="AH664" s="1307"/>
      <c r="AI664" s="1307"/>
      <c r="AJ664" s="1307"/>
      <c r="AK664" s="1307"/>
      <c r="AZ664" s="3"/>
      <c r="BA664" s="85" t="str">
        <f t="shared" si="42"/>
        <v>N/A</v>
      </c>
      <c r="BB664" s="3"/>
      <c r="BC664" s="3"/>
      <c r="BD664" s="3"/>
      <c r="BE664" s="3"/>
      <c r="BF664" s="143"/>
      <c r="BG664" s="217">
        <f t="shared" si="43"/>
        <v>19</v>
      </c>
      <c r="BH664" s="220">
        <f t="shared" si="45"/>
        <v>0.22619047619047619</v>
      </c>
      <c r="BI664" s="221">
        <f t="shared" si="44"/>
        <v>0.1130952380952381</v>
      </c>
      <c r="BJ664" s="3"/>
      <c r="BK664" s="3"/>
      <c r="BL664" s="3"/>
      <c r="BM664" s="3"/>
      <c r="BN664" s="3"/>
      <c r="BO664" s="3"/>
      <c r="BP664" s="272" t="s">
        <v>957</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1026</v>
      </c>
      <c r="G665" s="1307"/>
      <c r="H665" s="1307"/>
      <c r="I665" s="1307"/>
      <c r="J665" s="1307"/>
      <c r="K665" s="1307"/>
      <c r="L665" s="1307"/>
      <c r="M665" s="1307"/>
      <c r="N665" s="1307"/>
      <c r="O665" s="1307"/>
      <c r="P665" s="1307"/>
      <c r="Q665" s="1307"/>
      <c r="R665" s="1307"/>
      <c r="T665" s="20"/>
      <c r="U665" t="s">
        <v>1026</v>
      </c>
      <c r="Z665" s="1326"/>
      <c r="AA665" s="1326"/>
      <c r="AB665" s="1326"/>
      <c r="AC665" s="1326"/>
      <c r="AD665" s="1326"/>
      <c r="AE665" s="1326"/>
      <c r="AF665" s="1326"/>
      <c r="AG665" s="1326"/>
      <c r="AH665" s="1326"/>
      <c r="AI665" s="1326"/>
      <c r="AJ665" s="1326"/>
      <c r="AK665" s="1326"/>
      <c r="AZ665" s="3"/>
      <c r="BA665" s="85" t="str">
        <f t="shared" si="42"/>
        <v>N/A</v>
      </c>
      <c r="BB665" s="3"/>
      <c r="BC665" s="3"/>
      <c r="BD665" s="3"/>
      <c r="BE665" s="3"/>
      <c r="BF665" s="143"/>
      <c r="BG665" s="217">
        <f t="shared" si="43"/>
        <v>0</v>
      </c>
      <c r="BH665" s="220">
        <f t="shared" si="45"/>
        <v>0</v>
      </c>
      <c r="BI665" s="221" t="str">
        <f t="shared" si="44"/>
        <v xml:space="preserve"> </v>
      </c>
      <c r="BJ665" s="3"/>
      <c r="BK665" s="3"/>
      <c r="BL665" s="3"/>
      <c r="BM665" s="3"/>
      <c r="BN665" s="3"/>
      <c r="BO665" s="3"/>
      <c r="BP665" s="272" t="s">
        <v>959</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1496</v>
      </c>
      <c r="G666" s="1307"/>
      <c r="H666" s="1307"/>
      <c r="I666" s="1307"/>
      <c r="J666" s="1307"/>
      <c r="K666" s="1307"/>
      <c r="L666" s="1307"/>
      <c r="M666" s="1307"/>
      <c r="N666" s="1307"/>
      <c r="O666" s="1307"/>
      <c r="P666" s="1307"/>
      <c r="Q666" s="1307"/>
      <c r="R666" s="1307"/>
      <c r="T666" s="20"/>
      <c r="U666" t="s">
        <v>1496</v>
      </c>
      <c r="Z666" s="1326"/>
      <c r="AA666" s="1326"/>
      <c r="AB666" s="1326"/>
      <c r="AC666" s="1326"/>
      <c r="AD666" s="1326"/>
      <c r="AE666" s="1326"/>
      <c r="AF666" s="1326"/>
      <c r="AG666" s="1326"/>
      <c r="AH666" s="1326"/>
      <c r="AI666" s="1326"/>
      <c r="AJ666" s="1326"/>
      <c r="AK666" s="1326"/>
      <c r="AZ666" s="3"/>
      <c r="BA666" s="85" t="str">
        <f t="shared" si="42"/>
        <v>N/A</v>
      </c>
      <c r="BB666" s="3"/>
      <c r="BC666" s="3"/>
      <c r="BD666" s="3"/>
      <c r="BE666" s="3"/>
      <c r="BF666" s="143"/>
      <c r="BG666" s="217">
        <f t="shared" si="43"/>
        <v>0</v>
      </c>
      <c r="BH666" s="220">
        <f t="shared" si="45"/>
        <v>0</v>
      </c>
      <c r="BI666" s="221" t="str">
        <f t="shared" si="44"/>
        <v xml:space="preserve"> </v>
      </c>
      <c r="BJ666" s="3"/>
      <c r="BK666" s="3"/>
      <c r="BL666" s="3"/>
      <c r="BM666" s="3"/>
      <c r="BN666" s="3"/>
      <c r="BO666" s="3"/>
      <c r="BP666" s="272" t="s">
        <v>961</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933</v>
      </c>
      <c r="G667" s="1322"/>
      <c r="H667" s="1322"/>
      <c r="I667" s="1322"/>
      <c r="J667" s="1322"/>
      <c r="K667" s="1322"/>
      <c r="L667" s="1322"/>
      <c r="O667" s="957" t="s">
        <v>1162</v>
      </c>
      <c r="P667" s="1305"/>
      <c r="Q667" s="1305"/>
      <c r="R667" s="1305"/>
      <c r="T667" s="20"/>
      <c r="U667" t="s">
        <v>933</v>
      </c>
      <c r="Z667" s="1322"/>
      <c r="AA667" s="1322"/>
      <c r="AB667" s="1322"/>
      <c r="AC667" s="1322"/>
      <c r="AD667" s="1322"/>
      <c r="AE667" s="1322"/>
      <c r="AH667" s="957" t="s">
        <v>1162</v>
      </c>
      <c r="AI667" s="1305"/>
      <c r="AJ667" s="1305"/>
      <c r="AK667" s="1305"/>
      <c r="AZ667" s="3"/>
      <c r="BA667" s="85" t="str">
        <f t="shared" si="42"/>
        <v>N/A</v>
      </c>
      <c r="BB667" s="3"/>
      <c r="BC667" s="3"/>
      <c r="BD667" s="3"/>
      <c r="BE667" s="3"/>
      <c r="BF667" s="143"/>
      <c r="BG667" s="217">
        <f t="shared" si="43"/>
        <v>0</v>
      </c>
      <c r="BH667" s="220">
        <f t="shared" si="45"/>
        <v>0</v>
      </c>
      <c r="BI667" s="221" t="str">
        <f t="shared" si="44"/>
        <v xml:space="preserve"> </v>
      </c>
      <c r="BJ667" s="3"/>
      <c r="BK667" s="3"/>
      <c r="BL667" s="3"/>
      <c r="BM667" s="3"/>
      <c r="BN667" s="3"/>
      <c r="BO667" s="3"/>
      <c r="BP667" s="272" t="s">
        <v>963</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1501</v>
      </c>
      <c r="H668" s="1307"/>
      <c r="I668" s="1307"/>
      <c r="J668" s="1307"/>
      <c r="K668" s="1307"/>
      <c r="L668" s="1307"/>
      <c r="M668" s="1307"/>
      <c r="N668" s="1307"/>
      <c r="O668" s="1307"/>
      <c r="P668" s="1307"/>
      <c r="Q668" s="1307"/>
      <c r="R668" s="1307"/>
      <c r="T668" s="20"/>
      <c r="U668" t="s">
        <v>1501</v>
      </c>
      <c r="AA668" s="1307"/>
      <c r="AB668" s="1307"/>
      <c r="AC668" s="1307"/>
      <c r="AD668" s="1307"/>
      <c r="AE668" s="1307"/>
      <c r="AF668" s="1307"/>
      <c r="AG668" s="1307"/>
      <c r="AH668" s="1307"/>
      <c r="AI668" s="1307"/>
      <c r="AJ668" s="1307"/>
      <c r="AK668" s="1307"/>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966</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1503</v>
      </c>
      <c r="N669" s="1308" t="s">
        <v>837</v>
      </c>
      <c r="O669" s="1308"/>
      <c r="T669" s="20"/>
      <c r="U669" t="s">
        <v>1503</v>
      </c>
      <c r="AG669" s="1308" t="s">
        <v>837</v>
      </c>
      <c r="AH669" s="1308"/>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968</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970</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1488</v>
      </c>
      <c r="B671" t="s">
        <v>1493</v>
      </c>
      <c r="G671" s="1306">
        <f>C631</f>
        <v>0</v>
      </c>
      <c r="H671" s="1306"/>
      <c r="I671" s="1306"/>
      <c r="J671" s="1306"/>
      <c r="K671" s="1306"/>
      <c r="L671" s="1306"/>
      <c r="M671" s="1306"/>
      <c r="N671" s="1306"/>
      <c r="O671" s="1306"/>
      <c r="P671" s="1306"/>
      <c r="Q671" s="1306"/>
      <c r="R671" s="1306"/>
      <c r="T671" s="48" t="s">
        <v>1489</v>
      </c>
      <c r="U671" t="s">
        <v>1493</v>
      </c>
      <c r="Z671" s="1306">
        <f>C632</f>
        <v>0</v>
      </c>
      <c r="AA671" s="1306"/>
      <c r="AB671" s="1306"/>
      <c r="AC671" s="1306"/>
      <c r="AD671" s="1306"/>
      <c r="AE671" s="1306"/>
      <c r="AF671" s="1306"/>
      <c r="AG671" s="1306"/>
      <c r="AH671" s="1306"/>
      <c r="AI671" s="1306"/>
      <c r="AJ671" s="1306"/>
      <c r="AK671" s="1306"/>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973</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1153</v>
      </c>
      <c r="G672" s="1307"/>
      <c r="H672" s="1307"/>
      <c r="I672" s="1307"/>
      <c r="J672" s="1307"/>
      <c r="K672" s="1307"/>
      <c r="L672" s="1307"/>
      <c r="M672" s="1307"/>
      <c r="N672" s="1307"/>
      <c r="O672" s="1307"/>
      <c r="P672" s="1307"/>
      <c r="Q672" s="1307"/>
      <c r="R672" s="1307"/>
      <c r="T672" s="20"/>
      <c r="U672" t="s">
        <v>1153</v>
      </c>
      <c r="Z672" s="1307"/>
      <c r="AA672" s="1307"/>
      <c r="AB672" s="1307"/>
      <c r="AC672" s="1307"/>
      <c r="AD672" s="1307"/>
      <c r="AE672" s="1307"/>
      <c r="AF672" s="1307"/>
      <c r="AG672" s="1307"/>
      <c r="AH672" s="1307"/>
      <c r="AI672" s="1307"/>
      <c r="AJ672" s="1307"/>
      <c r="AK672" s="1307"/>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977</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1026</v>
      </c>
      <c r="G673" s="1307"/>
      <c r="H673" s="1307"/>
      <c r="I673" s="1307"/>
      <c r="J673" s="1307"/>
      <c r="K673" s="1307"/>
      <c r="L673" s="1307"/>
      <c r="M673" s="1307"/>
      <c r="N673" s="1307"/>
      <c r="O673" s="1307"/>
      <c r="P673" s="1307"/>
      <c r="Q673" s="1307"/>
      <c r="R673" s="1307"/>
      <c r="T673" s="20"/>
      <c r="U673" t="s">
        <v>1026</v>
      </c>
      <c r="Z673" s="1326"/>
      <c r="AA673" s="1326"/>
      <c r="AB673" s="1326"/>
      <c r="AC673" s="1326"/>
      <c r="AD673" s="1326"/>
      <c r="AE673" s="1326"/>
      <c r="AF673" s="1326"/>
      <c r="AG673" s="1326"/>
      <c r="AH673" s="1326"/>
      <c r="AI673" s="1326"/>
      <c r="AJ673" s="1326"/>
      <c r="AK673" s="1326"/>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981</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1496</v>
      </c>
      <c r="G674" s="1307"/>
      <c r="H674" s="1307"/>
      <c r="I674" s="1307"/>
      <c r="J674" s="1307"/>
      <c r="K674" s="1307"/>
      <c r="L674" s="1307"/>
      <c r="M674" s="1307"/>
      <c r="N674" s="1307"/>
      <c r="O674" s="1307"/>
      <c r="P674" s="1307"/>
      <c r="Q674" s="1307"/>
      <c r="R674" s="1307"/>
      <c r="T674" s="20"/>
      <c r="U674" t="s">
        <v>1496</v>
      </c>
      <c r="Z674" s="1326"/>
      <c r="AA674" s="1326"/>
      <c r="AB674" s="1326"/>
      <c r="AC674" s="1326"/>
      <c r="AD674" s="1326"/>
      <c r="AE674" s="1326"/>
      <c r="AF674" s="1326"/>
      <c r="AG674" s="1326"/>
      <c r="AH674" s="1326"/>
      <c r="AI674" s="1326"/>
      <c r="AJ674" s="1326"/>
      <c r="AK674" s="1326"/>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984</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933</v>
      </c>
      <c r="G675" s="1322"/>
      <c r="H675" s="1322"/>
      <c r="I675" s="1322"/>
      <c r="J675" s="1322"/>
      <c r="K675" s="1322"/>
      <c r="L675" s="1322"/>
      <c r="O675" s="957" t="s">
        <v>1162</v>
      </c>
      <c r="P675" s="1305"/>
      <c r="Q675" s="1305"/>
      <c r="R675" s="1305"/>
      <c r="T675" s="20"/>
      <c r="U675" t="s">
        <v>933</v>
      </c>
      <c r="Z675" s="1322"/>
      <c r="AA675" s="1322"/>
      <c r="AB675" s="1322"/>
      <c r="AC675" s="1322"/>
      <c r="AD675" s="1322"/>
      <c r="AE675" s="1322"/>
      <c r="AH675" s="957" t="s">
        <v>1162</v>
      </c>
      <c r="AI675" s="1305"/>
      <c r="AJ675" s="1305"/>
      <c r="AK675" s="1305"/>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990</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1501</v>
      </c>
      <c r="H676" s="1307"/>
      <c r="I676" s="1307"/>
      <c r="J676" s="1307"/>
      <c r="K676" s="1307"/>
      <c r="L676" s="1307"/>
      <c r="M676" s="1307"/>
      <c r="N676" s="1307"/>
      <c r="O676" s="1307"/>
      <c r="P676" s="1307"/>
      <c r="Q676" s="1307"/>
      <c r="R676" s="1307"/>
      <c r="T676" s="20"/>
      <c r="U676" t="s">
        <v>1501</v>
      </c>
      <c r="AA676" s="1307"/>
      <c r="AB676" s="1307"/>
      <c r="AC676" s="1307"/>
      <c r="AD676" s="1307"/>
      <c r="AE676" s="1307"/>
      <c r="AF676" s="1307"/>
      <c r="AG676" s="1307"/>
      <c r="AH676" s="1307"/>
      <c r="AI676" s="1307"/>
      <c r="AJ676" s="1307"/>
      <c r="AK676" s="1307"/>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993</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1503</v>
      </c>
      <c r="N677" s="1308" t="s">
        <v>837</v>
      </c>
      <c r="O677" s="1308"/>
      <c r="T677" s="20"/>
      <c r="U677" t="s">
        <v>1503</v>
      </c>
      <c r="AG677" s="1308" t="s">
        <v>837</v>
      </c>
      <c r="AH677" s="1308"/>
      <c r="AZ677" s="3"/>
      <c r="BA677" s="85" t="str">
        <f t="shared" si="42"/>
        <v>N/A</v>
      </c>
      <c r="BB677" s="3"/>
      <c r="BF677" s="143"/>
      <c r="BG677" s="217">
        <f t="shared" si="43"/>
        <v>0</v>
      </c>
      <c r="BH677" s="220">
        <f t="shared" si="45"/>
        <v>0</v>
      </c>
      <c r="BI677" s="221" t="str">
        <f t="shared" si="44"/>
        <v xml:space="preserve"> </v>
      </c>
      <c r="BL677" s="3"/>
      <c r="BM677" s="3"/>
      <c r="BN677" s="3"/>
      <c r="BO677" s="3"/>
      <c r="BP677" s="272" t="s">
        <v>996</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998</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1490</v>
      </c>
      <c r="B679" t="s">
        <v>1493</v>
      </c>
      <c r="G679" s="1306">
        <f>C633</f>
        <v>0</v>
      </c>
      <c r="H679" s="1306"/>
      <c r="I679" s="1306"/>
      <c r="J679" s="1306"/>
      <c r="K679" s="1306"/>
      <c r="L679" s="1306"/>
      <c r="M679" s="1306"/>
      <c r="N679" s="1306"/>
      <c r="O679" s="1306"/>
      <c r="P679" s="1306"/>
      <c r="Q679" s="1306"/>
      <c r="R679" s="1306"/>
      <c r="T679" s="48" t="s">
        <v>1491</v>
      </c>
      <c r="U679" t="s">
        <v>1493</v>
      </c>
      <c r="Z679" s="1306">
        <f>C634</f>
        <v>0</v>
      </c>
      <c r="AA679" s="1306"/>
      <c r="AB679" s="1306"/>
      <c r="AC679" s="1306"/>
      <c r="AD679" s="1306"/>
      <c r="AE679" s="1306"/>
      <c r="AF679" s="1306"/>
      <c r="AG679" s="1306"/>
      <c r="AH679" s="1306"/>
      <c r="AI679" s="1306"/>
      <c r="AJ679" s="1306"/>
      <c r="AK679" s="1306"/>
      <c r="AZ679" s="3"/>
      <c r="BA679" s="85" t="str">
        <f t="shared" si="42"/>
        <v>N/A</v>
      </c>
      <c r="BB679" s="3"/>
      <c r="BF679" s="143"/>
      <c r="BG679" s="217">
        <f t="shared" si="43"/>
        <v>0</v>
      </c>
      <c r="BH679" s="220">
        <f t="shared" si="45"/>
        <v>0</v>
      </c>
      <c r="BI679" s="221" t="str">
        <f t="shared" si="44"/>
        <v xml:space="preserve"> </v>
      </c>
      <c r="BL679" s="3"/>
      <c r="BM679" s="3"/>
      <c r="BN679" s="3"/>
      <c r="BO679" s="3"/>
      <c r="BP679" s="272" t="s">
        <v>1001</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1153</v>
      </c>
      <c r="G680" s="1307"/>
      <c r="H680" s="1307"/>
      <c r="I680" s="1307"/>
      <c r="J680" s="1307"/>
      <c r="K680" s="1307"/>
      <c r="L680" s="1307"/>
      <c r="M680" s="1307"/>
      <c r="N680" s="1307"/>
      <c r="O680" s="1307"/>
      <c r="P680" s="1307"/>
      <c r="Q680" s="1307"/>
      <c r="R680" s="1307"/>
      <c r="T680" s="20"/>
      <c r="U680" t="s">
        <v>1153</v>
      </c>
      <c r="Z680" s="1307"/>
      <c r="AA680" s="1307"/>
      <c r="AB680" s="1307"/>
      <c r="AC680" s="1307"/>
      <c r="AD680" s="1307"/>
      <c r="AE680" s="1307"/>
      <c r="AF680" s="1307"/>
      <c r="AG680" s="1307"/>
      <c r="AH680" s="1307"/>
      <c r="AI680" s="1307"/>
      <c r="AJ680" s="1307"/>
      <c r="AK680" s="1307"/>
      <c r="AZ680" s="3"/>
      <c r="BA680" s="85" t="str">
        <f t="shared" si="42"/>
        <v>N/A</v>
      </c>
      <c r="BB680" s="3"/>
      <c r="BF680" s="143"/>
      <c r="BG680" s="217">
        <f t="shared" si="43"/>
        <v>0</v>
      </c>
      <c r="BH680" s="220">
        <f t="shared" si="45"/>
        <v>0</v>
      </c>
      <c r="BI680" s="221" t="str">
        <f t="shared" si="44"/>
        <v xml:space="preserve"> </v>
      </c>
      <c r="BL680" s="3"/>
      <c r="BM680" s="3"/>
      <c r="BN680" s="3"/>
      <c r="BO680" s="3"/>
      <c r="BP680" s="272" t="s">
        <v>1004</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1026</v>
      </c>
      <c r="G681" s="1307"/>
      <c r="H681" s="1307"/>
      <c r="I681" s="1307"/>
      <c r="J681" s="1307"/>
      <c r="K681" s="1307"/>
      <c r="L681" s="1307"/>
      <c r="M681" s="1307"/>
      <c r="N681" s="1307"/>
      <c r="O681" s="1307"/>
      <c r="P681" s="1307"/>
      <c r="Q681" s="1307"/>
      <c r="R681" s="1307"/>
      <c r="U681" t="s">
        <v>1026</v>
      </c>
      <c r="Z681" s="1326"/>
      <c r="AA681" s="1326"/>
      <c r="AB681" s="1326"/>
      <c r="AC681" s="1326"/>
      <c r="AD681" s="1326"/>
      <c r="AE681" s="1326"/>
      <c r="AF681" s="1326"/>
      <c r="AG681" s="1326"/>
      <c r="AH681" s="1326"/>
      <c r="AI681" s="1326"/>
      <c r="AJ681" s="1326"/>
      <c r="AK681" s="1326"/>
      <c r="AZ681" s="3"/>
      <c r="BA681" s="3"/>
      <c r="BB681" s="3"/>
      <c r="BC681" s="3"/>
      <c r="BF681" s="143"/>
      <c r="BG681" s="217">
        <f t="shared" si="43"/>
        <v>0</v>
      </c>
      <c r="BH681" s="220">
        <f t="shared" si="45"/>
        <v>0</v>
      </c>
      <c r="BI681" s="221" t="str">
        <f t="shared" si="44"/>
        <v xml:space="preserve"> </v>
      </c>
      <c r="BM681" s="3"/>
      <c r="BN681" s="3"/>
      <c r="BO681" s="3"/>
      <c r="BP681" s="272" t="s">
        <v>1006</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1496</v>
      </c>
      <c r="G682" s="1307"/>
      <c r="H682" s="1307"/>
      <c r="I682" s="1307"/>
      <c r="J682" s="1307"/>
      <c r="K682" s="1307"/>
      <c r="L682" s="1307"/>
      <c r="M682" s="1307"/>
      <c r="N682" s="1307"/>
      <c r="O682" s="1307"/>
      <c r="P682" s="1307"/>
      <c r="Q682" s="1307"/>
      <c r="R682" s="1307"/>
      <c r="U682" t="s">
        <v>1496</v>
      </c>
      <c r="Z682" s="1326"/>
      <c r="AA682" s="1326"/>
      <c r="AB682" s="1326"/>
      <c r="AC682" s="1326"/>
      <c r="AD682" s="1326"/>
      <c r="AE682" s="1326"/>
      <c r="AF682" s="1326"/>
      <c r="AG682" s="1326"/>
      <c r="AH682" s="1326"/>
      <c r="AI682" s="1326"/>
      <c r="AJ682" s="1326"/>
      <c r="AK682" s="1326"/>
      <c r="AZ682" s="3"/>
      <c r="BA682" s="3"/>
      <c r="BB682" s="3"/>
      <c r="BC682" s="3"/>
      <c r="BD682" s="3"/>
      <c r="BF682" s="214" t="s">
        <v>1557</v>
      </c>
      <c r="BG682" s="222">
        <f>SUM(BG657:BG681)</f>
        <v>84</v>
      </c>
      <c r="BH682" s="223">
        <f>SUM(BH657:BH681)</f>
        <v>0.99999999999999989</v>
      </c>
      <c r="BI682" s="223">
        <f>SUM(BI657:BI681)</f>
        <v>0.39999999999999997</v>
      </c>
      <c r="BN682" s="3"/>
      <c r="BO682" s="3"/>
      <c r="BP682" s="272" t="s">
        <v>1009</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933</v>
      </c>
      <c r="G683" s="1322"/>
      <c r="H683" s="1322"/>
      <c r="I683" s="1322"/>
      <c r="J683" s="1322"/>
      <c r="K683" s="1322"/>
      <c r="L683" s="1322"/>
      <c r="O683" s="957" t="s">
        <v>1162</v>
      </c>
      <c r="P683" s="1305"/>
      <c r="Q683" s="1305"/>
      <c r="R683" s="1305"/>
      <c r="U683" t="s">
        <v>933</v>
      </c>
      <c r="Z683" s="1322"/>
      <c r="AA683" s="1322"/>
      <c r="AB683" s="1322"/>
      <c r="AC683" s="1322"/>
      <c r="AD683" s="1322"/>
      <c r="AE683" s="1322"/>
      <c r="AH683" s="957" t="s">
        <v>1162</v>
      </c>
      <c r="AI683" s="1305"/>
      <c r="AJ683" s="1305"/>
      <c r="AK683" s="1305"/>
      <c r="AZ683" s="3"/>
      <c r="BA683" s="3"/>
      <c r="BB683" s="3"/>
      <c r="BC683" s="3"/>
      <c r="BD683" s="3"/>
      <c r="BE683" s="3"/>
      <c r="BF683" s="3"/>
      <c r="BG683" s="3"/>
      <c r="BH683" s="3"/>
      <c r="BI683" s="3"/>
      <c r="BJ683" s="3"/>
      <c r="BK683" s="3"/>
      <c r="BL683" s="3"/>
      <c r="BM683" s="3"/>
      <c r="BN683" s="3"/>
      <c r="BO683" s="3"/>
      <c r="BP683" s="272" t="s">
        <v>1013</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1501</v>
      </c>
      <c r="H684" s="1307"/>
      <c r="I684" s="1307"/>
      <c r="J684" s="1307"/>
      <c r="K684" s="1307"/>
      <c r="L684" s="1307"/>
      <c r="M684" s="1307"/>
      <c r="N684" s="1307"/>
      <c r="O684" s="1307"/>
      <c r="P684" s="1307"/>
      <c r="Q684" s="1307"/>
      <c r="R684" s="1307"/>
      <c r="U684" t="s">
        <v>1501</v>
      </c>
      <c r="AA684" s="1307"/>
      <c r="AB684" s="1307"/>
      <c r="AC684" s="1307"/>
      <c r="AD684" s="1307"/>
      <c r="AE684" s="1307"/>
      <c r="AF684" s="1307"/>
      <c r="AG684" s="1307"/>
      <c r="AH684" s="1307"/>
      <c r="AI684" s="1307"/>
      <c r="AJ684" s="1307"/>
      <c r="AK684" s="1307"/>
      <c r="AZ684" s="3"/>
      <c r="BA684" s="3"/>
      <c r="BB684" s="3"/>
      <c r="BC684" s="3"/>
      <c r="BD684" s="3"/>
      <c r="BE684" s="3"/>
      <c r="BF684" s="3"/>
      <c r="BG684" s="3"/>
      <c r="BH684" s="3"/>
      <c r="BI684" s="3"/>
      <c r="BJ684" s="3"/>
      <c r="BK684" s="3"/>
      <c r="BL684" s="3"/>
      <c r="BM684" s="3"/>
      <c r="BN684" s="3"/>
      <c r="BO684" s="3"/>
      <c r="BP684" s="272" t="s">
        <v>1018</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1503</v>
      </c>
      <c r="N685" s="1308" t="s">
        <v>837</v>
      </c>
      <c r="O685" s="1308"/>
      <c r="U685" t="s">
        <v>1503</v>
      </c>
      <c r="AG685" s="1308" t="s">
        <v>837</v>
      </c>
      <c r="AH685" s="1308"/>
      <c r="AZ685" s="3"/>
      <c r="BA685" s="3"/>
      <c r="BB685" s="3"/>
      <c r="BC685" s="3"/>
      <c r="BD685" s="3"/>
      <c r="BE685" s="3"/>
      <c r="BF685" s="3"/>
      <c r="BG685" s="3"/>
      <c r="BH685" s="3"/>
      <c r="BI685" s="3"/>
      <c r="BJ685" s="3"/>
      <c r="BK685" s="3"/>
      <c r="BL685" s="3"/>
      <c r="BM685" s="3"/>
      <c r="BN685" s="3"/>
      <c r="BO685" s="3"/>
      <c r="BP685" s="272" t="s">
        <v>1021</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1023</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1007</v>
      </c>
      <c r="C687" s="2" t="s">
        <v>178</v>
      </c>
      <c r="E687" s="96"/>
      <c r="F687" s="96"/>
      <c r="G687" s="96"/>
      <c r="H687" s="96"/>
      <c r="AZ687" s="3"/>
      <c r="BA687" s="3"/>
      <c r="BB687" s="3"/>
      <c r="BC687" s="3"/>
      <c r="BD687" s="3"/>
      <c r="BE687" s="3"/>
      <c r="BF687" s="3"/>
      <c r="BG687" s="144" t="s">
        <v>1558</v>
      </c>
      <c r="BH687" s="143"/>
      <c r="BI687" s="143"/>
      <c r="BJ687" s="3"/>
      <c r="BK687" s="3"/>
      <c r="BL687" s="3"/>
      <c r="BM687" s="3"/>
      <c r="BN687" s="3"/>
      <c r="BO687" s="3"/>
      <c r="BP687" s="272" t="s">
        <v>1025</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1559</v>
      </c>
      <c r="E688" s="100"/>
      <c r="F688" s="100"/>
      <c r="G688" s="100"/>
      <c r="H688" s="100"/>
      <c r="AZ688" s="3"/>
      <c r="BA688" s="3"/>
      <c r="BB688" s="3"/>
      <c r="BC688" s="3"/>
      <c r="BD688" s="3"/>
      <c r="BE688" s="3"/>
      <c r="BF688" s="3"/>
      <c r="BG688" s="215" t="s">
        <v>1553</v>
      </c>
      <c r="BH688" s="219" t="s">
        <v>1554</v>
      </c>
      <c r="BI688" s="218" t="s">
        <v>1555</v>
      </c>
      <c r="BJ688" s="3"/>
      <c r="BK688" s="3"/>
      <c r="BL688" s="3"/>
      <c r="BM688" s="3"/>
      <c r="BN688" s="3"/>
      <c r="BO688" s="3"/>
      <c r="BP688" s="272" t="s">
        <v>1030</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1560</v>
      </c>
      <c r="F689" s="100"/>
      <c r="G689" s="100"/>
      <c r="H689" s="100"/>
      <c r="AE689" s="1308" t="s">
        <v>946</v>
      </c>
      <c r="AF689" s="1308"/>
      <c r="AZ689" s="3"/>
      <c r="BA689" s="3"/>
      <c r="BB689" s="3"/>
      <c r="BC689" s="3"/>
      <c r="BD689" s="3"/>
      <c r="BE689" s="3"/>
      <c r="BF689" s="3"/>
      <c r="BG689" s="216">
        <f t="shared" ref="BG689:BG713" si="46">G714</f>
        <v>21</v>
      </c>
      <c r="BH689" s="220">
        <f>BG689/$BG$714</f>
        <v>0.25</v>
      </c>
      <c r="BI689" s="221">
        <f t="shared" ref="BI689:BI713" si="47">IF(BH689=0," ",BH689*AH714)</f>
        <v>7.4999999999999997E-2</v>
      </c>
      <c r="BJ689" s="3"/>
      <c r="BK689" s="3"/>
      <c r="BL689" s="3"/>
      <c r="BM689" s="3"/>
      <c r="BN689" s="3"/>
      <c r="BO689" s="3"/>
      <c r="BP689" s="272" t="s">
        <v>1035</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1561</v>
      </c>
      <c r="E690" s="100"/>
      <c r="F690" s="100"/>
      <c r="G690" s="100"/>
      <c r="H690" s="100"/>
      <c r="AE690" s="1308" t="s">
        <v>946</v>
      </c>
      <c r="AF690" s="1308"/>
      <c r="AZ690" s="3"/>
      <c r="BA690" s="3"/>
      <c r="BB690" s="3"/>
      <c r="BC690" s="3"/>
      <c r="BD690" s="3"/>
      <c r="BE690" s="3"/>
      <c r="BF690" s="3"/>
      <c r="BG690" s="217">
        <f t="shared" si="46"/>
        <v>10</v>
      </c>
      <c r="BH690" s="220">
        <f t="shared" ref="BH690:BH713" si="48">BG690/$BG$714</f>
        <v>0.11904761904761904</v>
      </c>
      <c r="BI690" s="221">
        <f t="shared" si="47"/>
        <v>3.5714285714285712E-2</v>
      </c>
      <c r="BJ690" s="3"/>
      <c r="BK690" s="3"/>
      <c r="BL690" s="3"/>
      <c r="BM690" s="3"/>
      <c r="BN690" s="3"/>
      <c r="BO690" s="3"/>
      <c r="BP690" s="272" t="s">
        <v>1040</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1562</v>
      </c>
      <c r="E691" s="100"/>
      <c r="F691" s="100"/>
      <c r="G691" s="100"/>
      <c r="H691" s="100"/>
      <c r="AE691" s="1574">
        <v>45069</v>
      </c>
      <c r="AF691" s="1574"/>
      <c r="AG691" s="1574"/>
      <c r="AH691" s="1574"/>
      <c r="AI691" s="1574"/>
      <c r="AZ691" s="3"/>
      <c r="BA691" s="3"/>
      <c r="BB691" s="3"/>
      <c r="BC691" s="3"/>
      <c r="BD691" s="3"/>
      <c r="BE691" s="3"/>
      <c r="BF691" s="3"/>
      <c r="BG691" s="217">
        <f t="shared" si="46"/>
        <v>9</v>
      </c>
      <c r="BH691" s="220">
        <f t="shared" si="48"/>
        <v>0.10714285714285714</v>
      </c>
      <c r="BI691" s="221">
        <f t="shared" si="47"/>
        <v>3.2125904159132003E-2</v>
      </c>
      <c r="BJ691" s="3"/>
      <c r="BK691" s="3"/>
      <c r="BL691" s="3"/>
      <c r="BM691" s="3"/>
      <c r="BN691" s="3"/>
      <c r="BO691" s="3"/>
      <c r="BP691" s="272" t="s">
        <v>1044</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1563</v>
      </c>
      <c r="E692" s="100"/>
      <c r="F692" s="100"/>
      <c r="G692" s="100"/>
      <c r="H692" s="100"/>
      <c r="AE692" s="1577">
        <v>45161</v>
      </c>
      <c r="AF692" s="1577"/>
      <c r="AG692" s="1577"/>
      <c r="AH692" s="1577"/>
      <c r="AI692" s="1577"/>
      <c r="AZ692" s="3"/>
      <c r="BA692" s="3"/>
      <c r="BB692" s="3"/>
      <c r="BC692" s="3"/>
      <c r="BD692" s="3"/>
      <c r="BE692" s="3"/>
      <c r="BF692" s="2"/>
      <c r="BG692" s="217">
        <f t="shared" si="46"/>
        <v>2</v>
      </c>
      <c r="BH692" s="220">
        <f t="shared" si="48"/>
        <v>2.3809523809523808E-2</v>
      </c>
      <c r="BI692" s="221">
        <f t="shared" si="47"/>
        <v>7.1428571428571418E-3</v>
      </c>
      <c r="BJ692" s="3"/>
      <c r="BK692" s="3"/>
      <c r="BL692" s="3"/>
      <c r="BM692" s="3"/>
      <c r="BN692" s="3"/>
      <c r="BO692" s="3"/>
      <c r="BP692" s="272" t="s">
        <v>1050</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6"/>
        <v>3</v>
      </c>
      <c r="BH693" s="220">
        <f t="shared" si="48"/>
        <v>3.5714285714285712E-2</v>
      </c>
      <c r="BI693" s="221">
        <f t="shared" si="47"/>
        <v>1.7857142857142856E-2</v>
      </c>
      <c r="BJ693" s="3"/>
      <c r="BK693" s="3"/>
      <c r="BL693" s="3"/>
      <c r="BM693" s="3"/>
      <c r="BN693" s="3"/>
      <c r="BO693" s="3"/>
      <c r="BP693" s="272" t="s">
        <v>1055</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1564</v>
      </c>
      <c r="E694" s="100"/>
      <c r="F694" s="100"/>
      <c r="G694" s="100"/>
      <c r="H694" s="100"/>
      <c r="AE694" s="1574">
        <v>45341</v>
      </c>
      <c r="AF694" s="1574"/>
      <c r="AG694" s="1574"/>
      <c r="AH694" s="1574"/>
      <c r="AI694" s="1574"/>
      <c r="AZ694" s="3"/>
      <c r="BA694" s="3"/>
      <c r="BB694" s="3"/>
      <c r="BC694" s="3"/>
      <c r="BD694" s="3"/>
      <c r="BE694" s="3"/>
      <c r="BF694" s="3"/>
      <c r="BG694" s="217">
        <f t="shared" si="46"/>
        <v>8</v>
      </c>
      <c r="BH694" s="220">
        <f t="shared" si="48"/>
        <v>9.5238095238095233E-2</v>
      </c>
      <c r="BI694" s="221">
        <f t="shared" si="47"/>
        <v>4.7619047619047616E-2</v>
      </c>
      <c r="BJ694" s="3"/>
      <c r="BK694" s="3"/>
      <c r="BL694" s="3"/>
      <c r="BM694" s="3"/>
      <c r="BN694" s="3"/>
      <c r="BO694" s="3"/>
      <c r="BP694" s="272" t="s">
        <v>1060</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1565</v>
      </c>
      <c r="E695" s="100"/>
      <c r="F695" s="100"/>
      <c r="G695" s="100"/>
      <c r="H695" s="100"/>
      <c r="AE695" s="1610">
        <v>0.53</v>
      </c>
      <c r="AF695" s="1610"/>
      <c r="AG695" s="1610"/>
      <c r="AH695" s="1610"/>
      <c r="AI695" s="1610"/>
      <c r="AZ695" s="3"/>
      <c r="BA695" s="3"/>
      <c r="BB695" s="3"/>
      <c r="BC695" s="3"/>
      <c r="BD695" s="3"/>
      <c r="BE695" s="3"/>
      <c r="BF695" s="3"/>
      <c r="BG695" s="217">
        <f t="shared" si="46"/>
        <v>12</v>
      </c>
      <c r="BH695" s="220">
        <f t="shared" si="48"/>
        <v>0.14285714285714285</v>
      </c>
      <c r="BI695" s="221">
        <f t="shared" si="47"/>
        <v>7.1428571428571425E-2</v>
      </c>
      <c r="BJ695" s="3"/>
      <c r="BK695" s="3"/>
      <c r="BL695" s="3"/>
      <c r="BM695" s="3"/>
      <c r="BN695" s="3"/>
      <c r="BO695" s="3"/>
      <c r="BP695" s="272" t="s">
        <v>1064</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1566</v>
      </c>
      <c r="E696" s="100"/>
      <c r="F696" s="100"/>
      <c r="G696" s="100"/>
      <c r="H696" s="100"/>
      <c r="W696" s="1306" t="str">
        <f>H334</f>
        <v>California Municipal Finance Authority</v>
      </c>
      <c r="X696" s="1306"/>
      <c r="Y696" s="1306"/>
      <c r="Z696" s="1306"/>
      <c r="AA696" s="1306"/>
      <c r="AB696" s="1306"/>
      <c r="AC696" s="1306"/>
      <c r="AD696" s="1306"/>
      <c r="AE696" s="1306"/>
      <c r="AF696" s="1306"/>
      <c r="AG696" s="1306"/>
      <c r="AH696" s="1306"/>
      <c r="AI696" s="1306"/>
      <c r="AJ696" s="1306"/>
      <c r="AK696" s="1306"/>
      <c r="AZ696" s="3"/>
      <c r="BA696" s="3"/>
      <c r="BB696" s="3"/>
      <c r="BC696" s="3"/>
      <c r="BD696" s="3"/>
      <c r="BE696" s="3"/>
      <c r="BF696" s="3"/>
      <c r="BG696" s="217">
        <f t="shared" si="46"/>
        <v>19</v>
      </c>
      <c r="BH696" s="220">
        <f t="shared" si="48"/>
        <v>0.22619047619047619</v>
      </c>
      <c r="BI696" s="221">
        <f t="shared" si="47"/>
        <v>0.1130952380952381</v>
      </c>
      <c r="BJ696" s="3"/>
      <c r="BK696" s="3"/>
      <c r="BL696" s="3"/>
      <c r="BM696" s="3"/>
      <c r="BN696" s="3"/>
      <c r="BO696" s="3"/>
      <c r="BP696" s="272" t="s">
        <v>1067</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6"/>
        <v>0</v>
      </c>
      <c r="BH697" s="220">
        <f t="shared" si="48"/>
        <v>0</v>
      </c>
      <c r="BI697" s="221" t="str">
        <f t="shared" si="47"/>
        <v xml:space="preserve"> </v>
      </c>
      <c r="BJ697" s="3"/>
      <c r="BK697" s="3"/>
      <c r="BL697" s="3"/>
      <c r="BM697" s="3"/>
      <c r="BN697" s="3"/>
      <c r="BO697" s="3"/>
      <c r="BP697" s="272" t="s">
        <v>1071</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1567</v>
      </c>
      <c r="E698" s="100"/>
      <c r="F698" s="100"/>
      <c r="G698" s="100"/>
      <c r="H698" s="100"/>
      <c r="AE698" s="1308" t="s">
        <v>837</v>
      </c>
      <c r="AF698" s="1308"/>
      <c r="AZ698" s="3"/>
      <c r="BA698" s="3"/>
      <c r="BB698" s="3"/>
      <c r="BC698" s="3"/>
      <c r="BD698" s="3"/>
      <c r="BE698" s="3"/>
      <c r="BF698" s="3"/>
      <c r="BG698" s="217">
        <f t="shared" si="46"/>
        <v>0</v>
      </c>
      <c r="BH698" s="220">
        <f t="shared" si="48"/>
        <v>0</v>
      </c>
      <c r="BI698" s="221" t="str">
        <f t="shared" si="47"/>
        <v xml:space="preserve"> </v>
      </c>
      <c r="BJ698" s="3"/>
      <c r="BK698" s="3"/>
      <c r="BL698" s="3"/>
      <c r="BM698" s="3"/>
      <c r="BN698" s="3"/>
      <c r="BO698" s="3"/>
      <c r="BP698" s="272" t="s">
        <v>1028</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1568</v>
      </c>
      <c r="E699" s="100"/>
      <c r="F699" s="100"/>
      <c r="G699" s="100"/>
      <c r="H699" s="100"/>
      <c r="W699" s="1307"/>
      <c r="X699" s="1307"/>
      <c r="Y699" s="1307"/>
      <c r="Z699" s="1307"/>
      <c r="AA699" s="1307"/>
      <c r="AB699" s="1307"/>
      <c r="AC699" s="1307"/>
      <c r="AD699" s="1307"/>
      <c r="AE699" s="1307"/>
      <c r="AF699" s="1307"/>
      <c r="AG699" s="1307"/>
      <c r="AH699" s="1307"/>
      <c r="AI699" s="1307"/>
      <c r="AJ699" s="1307"/>
      <c r="AK699" s="1307"/>
      <c r="AZ699" s="3"/>
      <c r="BA699" s="3"/>
      <c r="BB699" s="3"/>
      <c r="BC699" s="3"/>
      <c r="BD699" s="3"/>
      <c r="BE699" s="3"/>
      <c r="BF699" s="3"/>
      <c r="BG699" s="217">
        <f t="shared" si="46"/>
        <v>0</v>
      </c>
      <c r="BH699" s="220">
        <f t="shared" si="48"/>
        <v>0</v>
      </c>
      <c r="BI699" s="221" t="str">
        <f t="shared" si="47"/>
        <v xml:space="preserve"> </v>
      </c>
      <c r="BJ699" s="3"/>
      <c r="BK699" s="3"/>
      <c r="BL699" s="3"/>
      <c r="BM699" s="3"/>
      <c r="BN699" s="3"/>
      <c r="BO699" s="3"/>
      <c r="BP699" s="272" t="s">
        <v>1079</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1158</v>
      </c>
      <c r="E700" s="100"/>
      <c r="F700" s="100"/>
      <c r="G700" s="100"/>
      <c r="H700" s="100"/>
      <c r="J700" s="1307"/>
      <c r="K700" s="1307"/>
      <c r="L700" s="1307"/>
      <c r="M700" s="1307"/>
      <c r="N700" s="1307"/>
      <c r="O700" s="1307"/>
      <c r="P700" s="1307"/>
      <c r="Q700" s="1307"/>
      <c r="R700" s="1307"/>
      <c r="S700" s="1307"/>
      <c r="T700" s="1307"/>
      <c r="U700" s="1307"/>
      <c r="V700" s="1307"/>
      <c r="W700" s="1307"/>
      <c r="X700" s="1307"/>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1082</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1160</v>
      </c>
      <c r="J701" s="1322"/>
      <c r="K701" s="1322"/>
      <c r="L701" s="1322"/>
      <c r="M701" s="1322"/>
      <c r="N701" s="1322"/>
      <c r="O701" s="1322"/>
      <c r="P701" s="3" t="s">
        <v>1162</v>
      </c>
      <c r="Q701" s="3"/>
      <c r="R701" s="1305"/>
      <c r="S701" s="1305"/>
      <c r="T701" s="1305"/>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1087</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1569</v>
      </c>
      <c r="W702" s="1307" t="s">
        <v>294</v>
      </c>
      <c r="X702" s="1307"/>
      <c r="Y702" s="1307"/>
      <c r="Z702" s="1307"/>
      <c r="AA702" s="1307"/>
      <c r="AB702" s="1307"/>
      <c r="AC702" s="1307"/>
      <c r="AD702" s="1307"/>
      <c r="AE702" s="1307"/>
      <c r="AF702" s="1307"/>
      <c r="AG702" s="1307"/>
      <c r="AH702" s="1307"/>
      <c r="AI702" s="1307"/>
      <c r="AJ702" s="1307"/>
      <c r="AK702" s="1307"/>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1092</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7" t="s">
        <v>1421</v>
      </c>
      <c r="F703" s="1307"/>
      <c r="G703" s="1307"/>
      <c r="H703" s="1307"/>
      <c r="I703" s="1307"/>
      <c r="J703" s="1307"/>
      <c r="K703" s="1307"/>
      <c r="L703" s="1307"/>
      <c r="M703" s="1307"/>
      <c r="N703" s="1307"/>
      <c r="O703" s="1307"/>
      <c r="P703" s="1307"/>
      <c r="Q703" s="1307"/>
      <c r="R703" s="1307"/>
      <c r="S703" s="1307"/>
      <c r="T703" s="1307"/>
      <c r="U703" s="1307"/>
      <c r="V703" s="1307"/>
      <c r="W703" s="1307"/>
      <c r="X703" s="1307"/>
      <c r="Y703" s="1307"/>
      <c r="Z703" s="1307"/>
      <c r="AA703" s="1307"/>
      <c r="AB703" s="1307"/>
      <c r="AC703" s="1307"/>
      <c r="AD703" s="1307"/>
      <c r="AE703" s="1307"/>
      <c r="AF703" s="1307"/>
      <c r="AG703" s="1307"/>
      <c r="AH703" s="1307"/>
      <c r="AI703" s="1307"/>
      <c r="AJ703" s="1307"/>
      <c r="AK703" s="1307"/>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1098</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1101</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7" t="s">
        <v>1570</v>
      </c>
      <c r="B705" s="1217"/>
      <c r="C705" s="1217"/>
      <c r="D705" s="1217"/>
      <c r="E705" s="1217"/>
      <c r="F705" s="1217"/>
      <c r="G705" s="1217"/>
      <c r="H705" s="1217"/>
      <c r="I705" s="1217"/>
      <c r="J705" s="1217"/>
      <c r="K705" s="1217"/>
      <c r="L705" s="1217"/>
      <c r="M705" s="1217"/>
      <c r="N705" s="1217"/>
      <c r="O705" s="1217"/>
      <c r="P705" s="1217"/>
      <c r="Q705" s="1217"/>
      <c r="R705" s="1217"/>
      <c r="S705" s="1217"/>
      <c r="T705" s="1217"/>
      <c r="U705" s="1217"/>
      <c r="V705" s="1217"/>
      <c r="W705" s="1217"/>
      <c r="X705" s="1217"/>
      <c r="Y705" s="1217"/>
      <c r="Z705" s="1217"/>
      <c r="AA705" s="1217"/>
      <c r="AB705" s="1217"/>
      <c r="AC705" s="1217"/>
      <c r="AD705" s="1217"/>
      <c r="AE705" s="1217"/>
      <c r="AF705" s="1217"/>
      <c r="AG705" s="1217"/>
      <c r="AH705" s="1217"/>
      <c r="AI705" s="1217"/>
      <c r="AJ705" s="1217"/>
      <c r="AK705" s="1217"/>
      <c r="AL705" s="1217"/>
      <c r="AM705" s="1217"/>
      <c r="AN705" s="1217"/>
      <c r="AO705" s="1217"/>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1106</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7"/>
      <c r="B706" s="1217"/>
      <c r="C706" s="1217"/>
      <c r="D706" s="1217"/>
      <c r="E706" s="1217"/>
      <c r="F706" s="1217"/>
      <c r="G706" s="1217"/>
      <c r="H706" s="1217"/>
      <c r="I706" s="1217"/>
      <c r="J706" s="1217"/>
      <c r="K706" s="1217"/>
      <c r="L706" s="1217"/>
      <c r="M706" s="1217"/>
      <c r="N706" s="1217"/>
      <c r="O706" s="1217"/>
      <c r="P706" s="1217"/>
      <c r="Q706" s="1217"/>
      <c r="R706" s="1217"/>
      <c r="S706" s="1217"/>
      <c r="T706" s="1217"/>
      <c r="U706" s="1217"/>
      <c r="V706" s="1217"/>
      <c r="W706" s="1217"/>
      <c r="X706" s="1217"/>
      <c r="Y706" s="1217"/>
      <c r="Z706" s="1217"/>
      <c r="AA706" s="1217"/>
      <c r="AB706" s="1217"/>
      <c r="AC706" s="1217"/>
      <c r="AD706" s="1217"/>
      <c r="AE706" s="1217"/>
      <c r="AF706" s="1217"/>
      <c r="AG706" s="1217"/>
      <c r="AH706" s="1217"/>
      <c r="AI706" s="1217"/>
      <c r="AJ706" s="1217"/>
      <c r="AK706" s="1217"/>
      <c r="AL706" s="1217"/>
      <c r="AM706" s="1217"/>
      <c r="AN706" s="1217"/>
      <c r="AO706" s="1217"/>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1110</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7"/>
      <c r="B707" s="1217"/>
      <c r="C707" s="1217"/>
      <c r="D707" s="1217"/>
      <c r="E707" s="1217"/>
      <c r="F707" s="1217"/>
      <c r="G707" s="1217"/>
      <c r="H707" s="1217"/>
      <c r="I707" s="1217"/>
      <c r="J707" s="1217"/>
      <c r="K707" s="1217"/>
      <c r="L707" s="1217"/>
      <c r="M707" s="1217"/>
      <c r="N707" s="1217"/>
      <c r="O707" s="1217"/>
      <c r="P707" s="1217"/>
      <c r="Q707" s="1217"/>
      <c r="R707" s="1217"/>
      <c r="S707" s="1217"/>
      <c r="T707" s="1217"/>
      <c r="U707" s="1217"/>
      <c r="V707" s="1217"/>
      <c r="W707" s="1217"/>
      <c r="X707" s="1217"/>
      <c r="Y707" s="1217"/>
      <c r="Z707" s="1217"/>
      <c r="AA707" s="1217"/>
      <c r="AB707" s="1217"/>
      <c r="AC707" s="1217"/>
      <c r="AD707" s="1217"/>
      <c r="AE707" s="1217"/>
      <c r="AF707" s="1217"/>
      <c r="AG707" s="1217"/>
      <c r="AH707" s="1217"/>
      <c r="AI707" s="1217"/>
      <c r="AJ707" s="1217"/>
      <c r="AK707" s="1217"/>
      <c r="AL707" s="1217"/>
      <c r="AM707" s="1217"/>
      <c r="AN707" s="1217"/>
      <c r="AO707" s="1217"/>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1113</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971</v>
      </c>
      <c r="B708" s="2"/>
      <c r="C708" s="2" t="s">
        <v>1571</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1118</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1120</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9" t="s">
        <v>1572</v>
      </c>
      <c r="C710" s="1350"/>
      <c r="D710" s="1350"/>
      <c r="E710" s="1350"/>
      <c r="F710" s="1351"/>
      <c r="G710" s="1349" t="s">
        <v>1573</v>
      </c>
      <c r="H710" s="1350"/>
      <c r="I710" s="1350"/>
      <c r="J710" s="1351"/>
      <c r="K710" s="1568" t="s">
        <v>1574</v>
      </c>
      <c r="L710" s="1569"/>
      <c r="M710" s="1569"/>
      <c r="N710" s="1570"/>
      <c r="O710" s="1349" t="s">
        <v>1575</v>
      </c>
      <c r="P710" s="1350"/>
      <c r="Q710" s="1350"/>
      <c r="R710" s="1350"/>
      <c r="S710" s="1351"/>
      <c r="T710" s="1349" t="s">
        <v>1576</v>
      </c>
      <c r="U710" s="1350"/>
      <c r="V710" s="1350"/>
      <c r="W710" s="1351"/>
      <c r="X710" s="1349" t="s">
        <v>1577</v>
      </c>
      <c r="Y710" s="1350"/>
      <c r="Z710" s="1350"/>
      <c r="AA710" s="1350"/>
      <c r="AB710" s="1351"/>
      <c r="AC710" s="1349" t="s">
        <v>1578</v>
      </c>
      <c r="AD710" s="1350"/>
      <c r="AE710" s="1350"/>
      <c r="AF710" s="1350"/>
      <c r="AG710" s="1351"/>
      <c r="AH710" s="1349" t="s">
        <v>1579</v>
      </c>
      <c r="AI710" s="1350"/>
      <c r="AJ710" s="1351"/>
      <c r="AK710" s="1349" t="s">
        <v>1580</v>
      </c>
      <c r="AL710" s="1350"/>
      <c r="AM710" s="1350"/>
      <c r="AN710" s="1350"/>
      <c r="AO710" s="1351"/>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1123</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52"/>
      <c r="C711" s="1353"/>
      <c r="D711" s="1353"/>
      <c r="E711" s="1353"/>
      <c r="F711" s="1354"/>
      <c r="G711" s="1352"/>
      <c r="H711" s="1353"/>
      <c r="I711" s="1353"/>
      <c r="J711" s="1354"/>
      <c r="K711" s="1571"/>
      <c r="L711" s="1572"/>
      <c r="M711" s="1572"/>
      <c r="N711" s="1573"/>
      <c r="O711" s="1352"/>
      <c r="P711" s="1353"/>
      <c r="Q711" s="1353"/>
      <c r="R711" s="1353"/>
      <c r="S711" s="1354"/>
      <c r="T711" s="1352"/>
      <c r="U711" s="1353"/>
      <c r="V711" s="1353"/>
      <c r="W711" s="1354"/>
      <c r="X711" s="1352"/>
      <c r="Y711" s="1353"/>
      <c r="Z711" s="1353"/>
      <c r="AA711" s="1353"/>
      <c r="AB711" s="1354"/>
      <c r="AC711" s="1352"/>
      <c r="AD711" s="1353"/>
      <c r="AE711" s="1353"/>
      <c r="AF711" s="1353"/>
      <c r="AG711" s="1354"/>
      <c r="AH711" s="1352"/>
      <c r="AI711" s="1353"/>
      <c r="AJ711" s="1354"/>
      <c r="AK711" s="1352"/>
      <c r="AL711" s="1353"/>
      <c r="AM711" s="1353"/>
      <c r="AN711" s="1353"/>
      <c r="AO711" s="1354"/>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1126</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52"/>
      <c r="C712" s="1353"/>
      <c r="D712" s="1353"/>
      <c r="E712" s="1353"/>
      <c r="F712" s="1354"/>
      <c r="G712" s="1352"/>
      <c r="H712" s="1353"/>
      <c r="I712" s="1353"/>
      <c r="J712" s="1354"/>
      <c r="K712" s="1571"/>
      <c r="L712" s="1572"/>
      <c r="M712" s="1572"/>
      <c r="N712" s="1573"/>
      <c r="O712" s="1352"/>
      <c r="P712" s="1353"/>
      <c r="Q712" s="1353"/>
      <c r="R712" s="1353"/>
      <c r="S712" s="1354"/>
      <c r="T712" s="1352"/>
      <c r="U712" s="1353"/>
      <c r="V712" s="1353"/>
      <c r="W712" s="1354"/>
      <c r="X712" s="1352"/>
      <c r="Y712" s="1353"/>
      <c r="Z712" s="1353"/>
      <c r="AA712" s="1353"/>
      <c r="AB712" s="1354"/>
      <c r="AC712" s="1352"/>
      <c r="AD712" s="1353"/>
      <c r="AE712" s="1353"/>
      <c r="AF712" s="1353"/>
      <c r="AG712" s="1354"/>
      <c r="AH712" s="1352"/>
      <c r="AI712" s="1353"/>
      <c r="AJ712" s="1354"/>
      <c r="AK712" s="1352"/>
      <c r="AL712" s="1353"/>
      <c r="AM712" s="1353"/>
      <c r="AN712" s="1353"/>
      <c r="AO712" s="1354"/>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1129</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55"/>
      <c r="C713" s="1356"/>
      <c r="D713" s="1356"/>
      <c r="E713" s="1356"/>
      <c r="F713" s="1357"/>
      <c r="G713" s="1355"/>
      <c r="H713" s="1356"/>
      <c r="I713" s="1356"/>
      <c r="J713" s="1357"/>
      <c r="K713" s="1571"/>
      <c r="L713" s="1572"/>
      <c r="M713" s="1572"/>
      <c r="N713" s="1573"/>
      <c r="O713" s="1355"/>
      <c r="P713" s="1356"/>
      <c r="Q713" s="1356"/>
      <c r="R713" s="1356"/>
      <c r="S713" s="1357"/>
      <c r="T713" s="1355"/>
      <c r="U713" s="1356"/>
      <c r="V713" s="1356"/>
      <c r="W713" s="1357"/>
      <c r="X713" s="1355"/>
      <c r="Y713" s="1356"/>
      <c r="Z713" s="1356"/>
      <c r="AA713" s="1356"/>
      <c r="AB713" s="1357"/>
      <c r="AC713" s="1355"/>
      <c r="AD713" s="1356"/>
      <c r="AE713" s="1356"/>
      <c r="AF713" s="1356"/>
      <c r="AG713" s="1357"/>
      <c r="AH713" s="1355"/>
      <c r="AI713" s="1356"/>
      <c r="AJ713" s="1357"/>
      <c r="AK713" s="1355"/>
      <c r="AL713" s="1356"/>
      <c r="AM713" s="1356"/>
      <c r="AN713" s="1356"/>
      <c r="AO713" s="1357"/>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1133</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9" t="s">
        <v>1511</v>
      </c>
      <c r="C714" s="1340"/>
      <c r="D714" s="1340"/>
      <c r="E714" s="1340"/>
      <c r="F714" s="1341"/>
      <c r="G714" s="1508">
        <v>21</v>
      </c>
      <c r="H714" s="1509"/>
      <c r="I714" s="1509"/>
      <c r="J714" s="1510"/>
      <c r="K714" s="1511">
        <v>370</v>
      </c>
      <c r="L714" s="1512"/>
      <c r="M714" s="1512"/>
      <c r="N714" s="1513"/>
      <c r="O714" s="1505">
        <v>843</v>
      </c>
      <c r="P714" s="1506"/>
      <c r="Q714" s="1506"/>
      <c r="R714" s="1506"/>
      <c r="S714" s="1507"/>
      <c r="T714" s="1505">
        <v>42</v>
      </c>
      <c r="U714" s="1506"/>
      <c r="V714" s="1506"/>
      <c r="W714" s="1507"/>
      <c r="X714" s="1346">
        <f t="shared" ref="X714:X738" si="49">O714+T714</f>
        <v>885</v>
      </c>
      <c r="Y714" s="1347"/>
      <c r="Z714" s="1347"/>
      <c r="AA714" s="1347"/>
      <c r="AB714" s="1348"/>
      <c r="AC714" s="1358">
        <v>0.3</v>
      </c>
      <c r="AD714" s="1359"/>
      <c r="AE714" s="1359"/>
      <c r="AF714" s="1359"/>
      <c r="AG714" s="1360"/>
      <c r="AH714" s="1342">
        <f t="shared" ref="AH714:AH738" si="50">IF($AC714&gt;0,($X714/$BA656), " ")</f>
        <v>0.3</v>
      </c>
      <c r="AI714" s="1343"/>
      <c r="AJ714" s="1344"/>
      <c r="AK714" s="1339" t="s">
        <v>1382</v>
      </c>
      <c r="AL714" s="1340"/>
      <c r="AM714" s="1340"/>
      <c r="AN714" s="1340"/>
      <c r="AO714" s="1341"/>
      <c r="AP714" s="3"/>
      <c r="AQ714" s="3"/>
      <c r="AR714" s="3"/>
      <c r="AS714" s="3"/>
      <c r="AY714" s="883"/>
      <c r="AZ714" s="883"/>
      <c r="BA714" s="883"/>
      <c r="BB714" s="883"/>
      <c r="BC714" s="883"/>
      <c r="BD714" s="3"/>
      <c r="BE714" s="3"/>
      <c r="BF714" s="3"/>
      <c r="BG714" s="784">
        <f>SUM(BG689:BG713)</f>
        <v>84</v>
      </c>
      <c r="BH714" s="223">
        <f>SUM(BH689:BH713)</f>
        <v>0.99999999999999989</v>
      </c>
      <c r="BI714" s="223">
        <f>SUM(BI689:BI713)</f>
        <v>0.3999830470162748</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9" t="s">
        <v>1515</v>
      </c>
      <c r="C715" s="1340"/>
      <c r="D715" s="1340"/>
      <c r="E715" s="1340"/>
      <c r="F715" s="1341"/>
      <c r="G715" s="1508">
        <v>10</v>
      </c>
      <c r="H715" s="1509"/>
      <c r="I715" s="1509"/>
      <c r="J715" s="1510"/>
      <c r="K715" s="1511">
        <v>516</v>
      </c>
      <c r="L715" s="1512"/>
      <c r="M715" s="1512"/>
      <c r="N715" s="1513"/>
      <c r="O715" s="1505">
        <v>899</v>
      </c>
      <c r="P715" s="1506"/>
      <c r="Q715" s="1506"/>
      <c r="R715" s="1506"/>
      <c r="S715" s="1507"/>
      <c r="T715" s="1505">
        <v>49</v>
      </c>
      <c r="U715" s="1506"/>
      <c r="V715" s="1506"/>
      <c r="W715" s="1507"/>
      <c r="X715" s="1346">
        <f t="shared" si="49"/>
        <v>948</v>
      </c>
      <c r="Y715" s="1347"/>
      <c r="Z715" s="1347"/>
      <c r="AA715" s="1347"/>
      <c r="AB715" s="1348"/>
      <c r="AC715" s="1358">
        <v>0.3</v>
      </c>
      <c r="AD715" s="1359"/>
      <c r="AE715" s="1359"/>
      <c r="AF715" s="1359"/>
      <c r="AG715" s="1360"/>
      <c r="AH715" s="1342">
        <f t="shared" si="50"/>
        <v>0.3</v>
      </c>
      <c r="AI715" s="1343"/>
      <c r="AJ715" s="1344"/>
      <c r="AK715" s="1339" t="s">
        <v>1382</v>
      </c>
      <c r="AL715" s="1340"/>
      <c r="AM715" s="1340"/>
      <c r="AN715" s="1340"/>
      <c r="AO715" s="1341"/>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9" t="s">
        <v>1516</v>
      </c>
      <c r="C716" s="1340"/>
      <c r="D716" s="1340"/>
      <c r="E716" s="1340"/>
      <c r="F716" s="1341"/>
      <c r="G716" s="1508">
        <v>9</v>
      </c>
      <c r="H716" s="1509"/>
      <c r="I716" s="1509"/>
      <c r="J716" s="1510"/>
      <c r="K716" s="1511">
        <v>736</v>
      </c>
      <c r="L716" s="1512"/>
      <c r="M716" s="1512"/>
      <c r="N716" s="1513"/>
      <c r="O716" s="1505">
        <v>1069</v>
      </c>
      <c r="P716" s="1506"/>
      <c r="Q716" s="1506"/>
      <c r="R716" s="1506"/>
      <c r="S716" s="1507"/>
      <c r="T716" s="1505">
        <v>68</v>
      </c>
      <c r="U716" s="1506"/>
      <c r="V716" s="1506"/>
      <c r="W716" s="1507"/>
      <c r="X716" s="1346">
        <f t="shared" si="49"/>
        <v>1137</v>
      </c>
      <c r="Y716" s="1347"/>
      <c r="Z716" s="1347"/>
      <c r="AA716" s="1347"/>
      <c r="AB716" s="1348"/>
      <c r="AC716" s="1358">
        <v>0.3</v>
      </c>
      <c r="AD716" s="1359"/>
      <c r="AE716" s="1359"/>
      <c r="AF716" s="1359"/>
      <c r="AG716" s="1360"/>
      <c r="AH716" s="1342">
        <f t="shared" si="50"/>
        <v>0.29984177215189872</v>
      </c>
      <c r="AI716" s="1343"/>
      <c r="AJ716" s="1344"/>
      <c r="AK716" s="1339" t="s">
        <v>1382</v>
      </c>
      <c r="AL716" s="1340"/>
      <c r="AM716" s="1340"/>
      <c r="AN716" s="1340"/>
      <c r="AO716" s="1341"/>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9" t="s">
        <v>1517</v>
      </c>
      <c r="C717" s="1340"/>
      <c r="D717" s="1340"/>
      <c r="E717" s="1340"/>
      <c r="F717" s="1341"/>
      <c r="G717" s="1508">
        <v>2</v>
      </c>
      <c r="H717" s="1509"/>
      <c r="I717" s="1509"/>
      <c r="J717" s="1510"/>
      <c r="K717" s="1511">
        <v>1007</v>
      </c>
      <c r="L717" s="1512"/>
      <c r="M717" s="1512"/>
      <c r="N717" s="1513"/>
      <c r="O717" s="1505">
        <v>1229</v>
      </c>
      <c r="P717" s="1506"/>
      <c r="Q717" s="1506"/>
      <c r="R717" s="1506"/>
      <c r="S717" s="1507"/>
      <c r="T717" s="1505">
        <v>85</v>
      </c>
      <c r="U717" s="1506"/>
      <c r="V717" s="1506"/>
      <c r="W717" s="1507"/>
      <c r="X717" s="1346">
        <f t="shared" si="49"/>
        <v>1314</v>
      </c>
      <c r="Y717" s="1347"/>
      <c r="Z717" s="1347"/>
      <c r="AA717" s="1347"/>
      <c r="AB717" s="1348"/>
      <c r="AC717" s="1358">
        <v>0.3</v>
      </c>
      <c r="AD717" s="1359"/>
      <c r="AE717" s="1359"/>
      <c r="AF717" s="1359"/>
      <c r="AG717" s="1360"/>
      <c r="AH717" s="1342">
        <f t="shared" si="50"/>
        <v>0.3</v>
      </c>
      <c r="AI717" s="1343"/>
      <c r="AJ717" s="1344"/>
      <c r="AK717" s="1339" t="s">
        <v>1382</v>
      </c>
      <c r="AL717" s="1340"/>
      <c r="AM717" s="1340"/>
      <c r="AN717" s="1340"/>
      <c r="AO717" s="1341"/>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9" t="s">
        <v>1511</v>
      </c>
      <c r="C718" s="1340"/>
      <c r="D718" s="1340"/>
      <c r="E718" s="1340"/>
      <c r="F718" s="1341"/>
      <c r="G718" s="1508">
        <v>3</v>
      </c>
      <c r="H718" s="1509"/>
      <c r="I718" s="1509"/>
      <c r="J718" s="1510"/>
      <c r="K718" s="1511">
        <v>370</v>
      </c>
      <c r="L718" s="1512"/>
      <c r="M718" s="1512"/>
      <c r="N718" s="1513"/>
      <c r="O718" s="1505">
        <v>1433</v>
      </c>
      <c r="P718" s="1506"/>
      <c r="Q718" s="1506"/>
      <c r="R718" s="1506"/>
      <c r="S718" s="1507"/>
      <c r="T718" s="1505">
        <v>42</v>
      </c>
      <c r="U718" s="1506"/>
      <c r="V718" s="1506"/>
      <c r="W718" s="1507"/>
      <c r="X718" s="1346">
        <f t="shared" si="49"/>
        <v>1475</v>
      </c>
      <c r="Y718" s="1347"/>
      <c r="Z718" s="1347"/>
      <c r="AA718" s="1347"/>
      <c r="AB718" s="1348"/>
      <c r="AC718" s="1358">
        <v>0.5</v>
      </c>
      <c r="AD718" s="1359"/>
      <c r="AE718" s="1359"/>
      <c r="AF718" s="1359"/>
      <c r="AG718" s="1360"/>
      <c r="AH718" s="1342">
        <f t="shared" si="50"/>
        <v>0.5</v>
      </c>
      <c r="AI718" s="1343"/>
      <c r="AJ718" s="1344"/>
      <c r="AK718" s="1339" t="s">
        <v>299</v>
      </c>
      <c r="AL718" s="1340"/>
      <c r="AM718" s="1340"/>
      <c r="AN718" s="1340"/>
      <c r="AO718" s="1341"/>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9" t="s">
        <v>1515</v>
      </c>
      <c r="C719" s="1340"/>
      <c r="D719" s="1340"/>
      <c r="E719" s="1340"/>
      <c r="F719" s="1341"/>
      <c r="G719" s="1508">
        <v>8</v>
      </c>
      <c r="H719" s="1509"/>
      <c r="I719" s="1509"/>
      <c r="J719" s="1510"/>
      <c r="K719" s="1511">
        <v>516</v>
      </c>
      <c r="L719" s="1512"/>
      <c r="M719" s="1512"/>
      <c r="N719" s="1513"/>
      <c r="O719" s="1505">
        <v>1531</v>
      </c>
      <c r="P719" s="1506"/>
      <c r="Q719" s="1506"/>
      <c r="R719" s="1506"/>
      <c r="S719" s="1507"/>
      <c r="T719" s="1505">
        <v>49</v>
      </c>
      <c r="U719" s="1506"/>
      <c r="V719" s="1506"/>
      <c r="W719" s="1507"/>
      <c r="X719" s="1346">
        <f t="shared" si="49"/>
        <v>1580</v>
      </c>
      <c r="Y719" s="1347"/>
      <c r="Z719" s="1347"/>
      <c r="AA719" s="1347"/>
      <c r="AB719" s="1348"/>
      <c r="AC719" s="1358">
        <v>0.5</v>
      </c>
      <c r="AD719" s="1359"/>
      <c r="AE719" s="1359"/>
      <c r="AF719" s="1359"/>
      <c r="AG719" s="1360"/>
      <c r="AH719" s="1342">
        <f t="shared" si="50"/>
        <v>0.5</v>
      </c>
      <c r="AI719" s="1343"/>
      <c r="AJ719" s="1344"/>
      <c r="AK719" s="1339" t="s">
        <v>299</v>
      </c>
      <c r="AL719" s="1340"/>
      <c r="AM719" s="1340"/>
      <c r="AN719" s="1340"/>
      <c r="AO719" s="1341"/>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9" t="s">
        <v>1516</v>
      </c>
      <c r="C720" s="1340"/>
      <c r="D720" s="1340"/>
      <c r="E720" s="1340"/>
      <c r="F720" s="1341"/>
      <c r="G720" s="1508">
        <v>12</v>
      </c>
      <c r="H720" s="1509"/>
      <c r="I720" s="1509"/>
      <c r="J720" s="1510"/>
      <c r="K720" s="1511">
        <v>736</v>
      </c>
      <c r="L720" s="1512"/>
      <c r="M720" s="1512"/>
      <c r="N720" s="1513"/>
      <c r="O720" s="1505">
        <v>1828</v>
      </c>
      <c r="P720" s="1506"/>
      <c r="Q720" s="1506"/>
      <c r="R720" s="1506"/>
      <c r="S720" s="1507"/>
      <c r="T720" s="1505">
        <v>68</v>
      </c>
      <c r="U720" s="1506"/>
      <c r="V720" s="1506"/>
      <c r="W720" s="1507"/>
      <c r="X720" s="1346">
        <f t="shared" si="49"/>
        <v>1896</v>
      </c>
      <c r="Y720" s="1347"/>
      <c r="Z720" s="1347"/>
      <c r="AA720" s="1347"/>
      <c r="AB720" s="1348"/>
      <c r="AC720" s="1358">
        <v>0.5</v>
      </c>
      <c r="AD720" s="1359"/>
      <c r="AE720" s="1359"/>
      <c r="AF720" s="1359"/>
      <c r="AG720" s="1360"/>
      <c r="AH720" s="1342">
        <f t="shared" si="50"/>
        <v>0.5</v>
      </c>
      <c r="AI720" s="1343"/>
      <c r="AJ720" s="1344"/>
      <c r="AK720" s="1339" t="s">
        <v>299</v>
      </c>
      <c r="AL720" s="1340"/>
      <c r="AM720" s="1340"/>
      <c r="AN720" s="1340"/>
      <c r="AO720" s="1341"/>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9" t="s">
        <v>1517</v>
      </c>
      <c r="C721" s="1340"/>
      <c r="D721" s="1340"/>
      <c r="E721" s="1340"/>
      <c r="F721" s="1341"/>
      <c r="G721" s="1508">
        <v>19</v>
      </c>
      <c r="H721" s="1509"/>
      <c r="I721" s="1509"/>
      <c r="J721" s="1510"/>
      <c r="K721" s="1511">
        <v>1007</v>
      </c>
      <c r="L721" s="1512"/>
      <c r="M721" s="1512"/>
      <c r="N721" s="1513"/>
      <c r="O721" s="1505">
        <v>2105</v>
      </c>
      <c r="P721" s="1506"/>
      <c r="Q721" s="1506"/>
      <c r="R721" s="1506"/>
      <c r="S721" s="1507"/>
      <c r="T721" s="1505">
        <v>85</v>
      </c>
      <c r="U721" s="1506"/>
      <c r="V721" s="1506"/>
      <c r="W721" s="1507"/>
      <c r="X721" s="1346">
        <f t="shared" si="49"/>
        <v>2190</v>
      </c>
      <c r="Y721" s="1347"/>
      <c r="Z721" s="1347"/>
      <c r="AA721" s="1347"/>
      <c r="AB721" s="1348"/>
      <c r="AC721" s="1358">
        <v>0.5</v>
      </c>
      <c r="AD721" s="1359"/>
      <c r="AE721" s="1359"/>
      <c r="AF721" s="1359"/>
      <c r="AG721" s="1360"/>
      <c r="AH721" s="1342">
        <f t="shared" si="50"/>
        <v>0.5</v>
      </c>
      <c r="AI721" s="1343"/>
      <c r="AJ721" s="1344"/>
      <c r="AK721" s="1339" t="s">
        <v>299</v>
      </c>
      <c r="AL721" s="1340"/>
      <c r="AM721" s="1340"/>
      <c r="AN721" s="1340"/>
      <c r="AO721" s="1341"/>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9"/>
      <c r="C722" s="1340"/>
      <c r="D722" s="1340"/>
      <c r="E722" s="1340"/>
      <c r="F722" s="1341"/>
      <c r="G722" s="1508">
        <v>0</v>
      </c>
      <c r="H722" s="1509"/>
      <c r="I722" s="1509"/>
      <c r="J722" s="1510"/>
      <c r="K722" s="1511">
        <v>0</v>
      </c>
      <c r="L722" s="1512"/>
      <c r="M722" s="1512"/>
      <c r="N722" s="1513"/>
      <c r="O722" s="1505">
        <v>0</v>
      </c>
      <c r="P722" s="1506"/>
      <c r="Q722" s="1506"/>
      <c r="R722" s="1506"/>
      <c r="S722" s="1507"/>
      <c r="T722" s="1505">
        <v>0</v>
      </c>
      <c r="U722" s="1506"/>
      <c r="V722" s="1506"/>
      <c r="W722" s="1507"/>
      <c r="X722" s="1346">
        <f t="shared" si="49"/>
        <v>0</v>
      </c>
      <c r="Y722" s="1347"/>
      <c r="Z722" s="1347"/>
      <c r="AA722" s="1347"/>
      <c r="AB722" s="1348"/>
      <c r="AC722" s="1358"/>
      <c r="AD722" s="1359"/>
      <c r="AE722" s="1359"/>
      <c r="AF722" s="1359"/>
      <c r="AG722" s="1360"/>
      <c r="AH722" s="1342" t="str">
        <f t="shared" si="50"/>
        <v xml:space="preserve"> </v>
      </c>
      <c r="AI722" s="1343"/>
      <c r="AJ722" s="1344"/>
      <c r="AK722" s="1339" t="s">
        <v>299</v>
      </c>
      <c r="AL722" s="1340"/>
      <c r="AM722" s="1340"/>
      <c r="AN722" s="1340"/>
      <c r="AO722" s="1341"/>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9"/>
      <c r="C723" s="1340"/>
      <c r="D723" s="1340"/>
      <c r="E723" s="1340"/>
      <c r="F723" s="1341"/>
      <c r="G723" s="1508">
        <v>0</v>
      </c>
      <c r="H723" s="1509"/>
      <c r="I723" s="1509"/>
      <c r="J723" s="1510"/>
      <c r="K723" s="1511">
        <v>0</v>
      </c>
      <c r="L723" s="1512"/>
      <c r="M723" s="1512"/>
      <c r="N723" s="1513"/>
      <c r="O723" s="1505">
        <v>0</v>
      </c>
      <c r="P723" s="1506"/>
      <c r="Q723" s="1506"/>
      <c r="R723" s="1506"/>
      <c r="S723" s="1507"/>
      <c r="T723" s="1505">
        <v>0</v>
      </c>
      <c r="U723" s="1506"/>
      <c r="V723" s="1506"/>
      <c r="W723" s="1507"/>
      <c r="X723" s="1346">
        <f t="shared" si="49"/>
        <v>0</v>
      </c>
      <c r="Y723" s="1347"/>
      <c r="Z723" s="1347"/>
      <c r="AA723" s="1347"/>
      <c r="AB723" s="1348"/>
      <c r="AC723" s="1358"/>
      <c r="AD723" s="1359"/>
      <c r="AE723" s="1359"/>
      <c r="AF723" s="1359"/>
      <c r="AG723" s="1360"/>
      <c r="AH723" s="1342" t="str">
        <f t="shared" si="50"/>
        <v xml:space="preserve"> </v>
      </c>
      <c r="AI723" s="1343"/>
      <c r="AJ723" s="1344"/>
      <c r="AK723" s="1339" t="s">
        <v>299</v>
      </c>
      <c r="AL723" s="1340"/>
      <c r="AM723" s="1340"/>
      <c r="AN723" s="1340"/>
      <c r="AO723" s="1341"/>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9"/>
      <c r="C724" s="1340"/>
      <c r="D724" s="1340"/>
      <c r="E724" s="1340"/>
      <c r="F724" s="1341"/>
      <c r="G724" s="1508">
        <v>0</v>
      </c>
      <c r="H724" s="1509"/>
      <c r="I724" s="1509"/>
      <c r="J724" s="1510"/>
      <c r="K724" s="1511">
        <v>0</v>
      </c>
      <c r="L724" s="1512"/>
      <c r="M724" s="1512"/>
      <c r="N724" s="1513"/>
      <c r="O724" s="1505">
        <v>0</v>
      </c>
      <c r="P724" s="1506"/>
      <c r="Q724" s="1506"/>
      <c r="R724" s="1506"/>
      <c r="S724" s="1507"/>
      <c r="T724" s="1505">
        <v>0</v>
      </c>
      <c r="U724" s="1506"/>
      <c r="V724" s="1506"/>
      <c r="W724" s="1507"/>
      <c r="X724" s="1346">
        <f t="shared" si="49"/>
        <v>0</v>
      </c>
      <c r="Y724" s="1347"/>
      <c r="Z724" s="1347"/>
      <c r="AA724" s="1347"/>
      <c r="AB724" s="1348"/>
      <c r="AC724" s="1358"/>
      <c r="AD724" s="1359"/>
      <c r="AE724" s="1359"/>
      <c r="AF724" s="1359"/>
      <c r="AG724" s="1360"/>
      <c r="AH724" s="1342" t="str">
        <f t="shared" si="50"/>
        <v xml:space="preserve"> </v>
      </c>
      <c r="AI724" s="1343"/>
      <c r="AJ724" s="1344"/>
      <c r="AK724" s="1339" t="s">
        <v>299</v>
      </c>
      <c r="AL724" s="1340"/>
      <c r="AM724" s="1340"/>
      <c r="AN724" s="1340"/>
      <c r="AO724" s="1341"/>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9"/>
      <c r="C725" s="1340"/>
      <c r="D725" s="1340"/>
      <c r="E725" s="1340"/>
      <c r="F725" s="1341"/>
      <c r="G725" s="1508">
        <v>0</v>
      </c>
      <c r="H725" s="1509"/>
      <c r="I725" s="1509"/>
      <c r="J725" s="1510"/>
      <c r="K725" s="1511">
        <v>0</v>
      </c>
      <c r="L725" s="1512"/>
      <c r="M725" s="1512"/>
      <c r="N725" s="1513"/>
      <c r="O725" s="1505">
        <v>0</v>
      </c>
      <c r="P725" s="1506"/>
      <c r="Q725" s="1506"/>
      <c r="R725" s="1506"/>
      <c r="S725" s="1507"/>
      <c r="T725" s="1505">
        <v>0</v>
      </c>
      <c r="U725" s="1506"/>
      <c r="V725" s="1506"/>
      <c r="W725" s="1507"/>
      <c r="X725" s="1346">
        <f t="shared" si="49"/>
        <v>0</v>
      </c>
      <c r="Y725" s="1347"/>
      <c r="Z725" s="1347"/>
      <c r="AA725" s="1347"/>
      <c r="AB725" s="1348"/>
      <c r="AC725" s="1358"/>
      <c r="AD725" s="1359"/>
      <c r="AE725" s="1359"/>
      <c r="AF725" s="1359"/>
      <c r="AG725" s="1360"/>
      <c r="AH725" s="1342" t="str">
        <f t="shared" si="50"/>
        <v xml:space="preserve"> </v>
      </c>
      <c r="AI725" s="1343"/>
      <c r="AJ725" s="1344"/>
      <c r="AK725" s="1339" t="s">
        <v>299</v>
      </c>
      <c r="AL725" s="1340"/>
      <c r="AM725" s="1340"/>
      <c r="AN725" s="1340"/>
      <c r="AO725" s="1341"/>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9"/>
      <c r="C726" s="1340"/>
      <c r="D726" s="1340"/>
      <c r="E726" s="1340"/>
      <c r="F726" s="1341"/>
      <c r="G726" s="1508">
        <v>0</v>
      </c>
      <c r="H726" s="1509"/>
      <c r="I726" s="1509"/>
      <c r="J726" s="1510"/>
      <c r="K726" s="1511">
        <v>0</v>
      </c>
      <c r="L726" s="1512"/>
      <c r="M726" s="1512"/>
      <c r="N726" s="1513"/>
      <c r="O726" s="1505">
        <v>0</v>
      </c>
      <c r="P726" s="1506"/>
      <c r="Q726" s="1506"/>
      <c r="R726" s="1506"/>
      <c r="S726" s="1507"/>
      <c r="T726" s="1505">
        <v>0</v>
      </c>
      <c r="U726" s="1506"/>
      <c r="V726" s="1506"/>
      <c r="W726" s="1507"/>
      <c r="X726" s="1346">
        <f t="shared" si="49"/>
        <v>0</v>
      </c>
      <c r="Y726" s="1347"/>
      <c r="Z726" s="1347"/>
      <c r="AA726" s="1347"/>
      <c r="AB726" s="1348"/>
      <c r="AC726" s="1358"/>
      <c r="AD726" s="1359"/>
      <c r="AE726" s="1359"/>
      <c r="AF726" s="1359"/>
      <c r="AG726" s="1360"/>
      <c r="AH726" s="1342" t="str">
        <f t="shared" si="50"/>
        <v xml:space="preserve"> </v>
      </c>
      <c r="AI726" s="1343"/>
      <c r="AJ726" s="1344"/>
      <c r="AK726" s="1339" t="s">
        <v>299</v>
      </c>
      <c r="AL726" s="1340"/>
      <c r="AM726" s="1340"/>
      <c r="AN726" s="1340"/>
      <c r="AO726" s="1341"/>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9"/>
      <c r="C727" s="1340"/>
      <c r="D727" s="1340"/>
      <c r="E727" s="1340"/>
      <c r="F727" s="1341"/>
      <c r="G727" s="1508">
        <v>0</v>
      </c>
      <c r="H727" s="1509"/>
      <c r="I727" s="1509"/>
      <c r="J727" s="1510"/>
      <c r="K727" s="1511">
        <v>0</v>
      </c>
      <c r="L727" s="1512"/>
      <c r="M727" s="1512"/>
      <c r="N727" s="1513"/>
      <c r="O727" s="1505">
        <v>0</v>
      </c>
      <c r="P727" s="1506"/>
      <c r="Q727" s="1506"/>
      <c r="R727" s="1506"/>
      <c r="S727" s="1507"/>
      <c r="T727" s="1505">
        <v>0</v>
      </c>
      <c r="U727" s="1506"/>
      <c r="V727" s="1506"/>
      <c r="W727" s="1507"/>
      <c r="X727" s="1346">
        <f t="shared" si="49"/>
        <v>0</v>
      </c>
      <c r="Y727" s="1347"/>
      <c r="Z727" s="1347"/>
      <c r="AA727" s="1347"/>
      <c r="AB727" s="1348"/>
      <c r="AC727" s="1358"/>
      <c r="AD727" s="1359"/>
      <c r="AE727" s="1359"/>
      <c r="AF727" s="1359"/>
      <c r="AG727" s="1360"/>
      <c r="AH727" s="1342" t="str">
        <f t="shared" si="50"/>
        <v xml:space="preserve"> </v>
      </c>
      <c r="AI727" s="1343"/>
      <c r="AJ727" s="1344"/>
      <c r="AK727" s="1339" t="s">
        <v>299</v>
      </c>
      <c r="AL727" s="1340"/>
      <c r="AM727" s="1340"/>
      <c r="AN727" s="1340"/>
      <c r="AO727" s="1341"/>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9"/>
      <c r="C728" s="1340"/>
      <c r="D728" s="1340"/>
      <c r="E728" s="1340"/>
      <c r="F728" s="1341"/>
      <c r="G728" s="1508">
        <v>0</v>
      </c>
      <c r="H728" s="1509"/>
      <c r="I728" s="1509"/>
      <c r="J728" s="1510"/>
      <c r="K728" s="1511">
        <v>0</v>
      </c>
      <c r="L728" s="1512"/>
      <c r="M728" s="1512"/>
      <c r="N728" s="1513"/>
      <c r="O728" s="1505">
        <v>0</v>
      </c>
      <c r="P728" s="1506"/>
      <c r="Q728" s="1506"/>
      <c r="R728" s="1506"/>
      <c r="S728" s="1507"/>
      <c r="T728" s="1505">
        <v>0</v>
      </c>
      <c r="U728" s="1506"/>
      <c r="V728" s="1506"/>
      <c r="W728" s="1507"/>
      <c r="X728" s="1346">
        <f t="shared" si="49"/>
        <v>0</v>
      </c>
      <c r="Y728" s="1347"/>
      <c r="Z728" s="1347"/>
      <c r="AA728" s="1347"/>
      <c r="AB728" s="1348"/>
      <c r="AC728" s="1358"/>
      <c r="AD728" s="1359"/>
      <c r="AE728" s="1359"/>
      <c r="AF728" s="1359"/>
      <c r="AG728" s="1360"/>
      <c r="AH728" s="1342" t="str">
        <f t="shared" si="50"/>
        <v xml:space="preserve"> </v>
      </c>
      <c r="AI728" s="1343"/>
      <c r="AJ728" s="1344"/>
      <c r="AK728" s="1339" t="s">
        <v>299</v>
      </c>
      <c r="AL728" s="1340"/>
      <c r="AM728" s="1340"/>
      <c r="AN728" s="1340"/>
      <c r="AO728" s="1341"/>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9"/>
      <c r="C729" s="1340"/>
      <c r="D729" s="1340"/>
      <c r="E729" s="1340"/>
      <c r="F729" s="1341"/>
      <c r="G729" s="1508">
        <v>0</v>
      </c>
      <c r="H729" s="1509"/>
      <c r="I729" s="1509"/>
      <c r="J729" s="1510"/>
      <c r="K729" s="1511">
        <v>0</v>
      </c>
      <c r="L729" s="1512"/>
      <c r="M729" s="1512"/>
      <c r="N729" s="1513"/>
      <c r="O729" s="1505">
        <v>0</v>
      </c>
      <c r="P729" s="1506"/>
      <c r="Q729" s="1506"/>
      <c r="R729" s="1506"/>
      <c r="S729" s="1507"/>
      <c r="T729" s="1505">
        <v>0</v>
      </c>
      <c r="U729" s="1506"/>
      <c r="V729" s="1506"/>
      <c r="W729" s="1507"/>
      <c r="X729" s="1346">
        <f t="shared" si="49"/>
        <v>0</v>
      </c>
      <c r="Y729" s="1347"/>
      <c r="Z729" s="1347"/>
      <c r="AA729" s="1347"/>
      <c r="AB729" s="1348"/>
      <c r="AC729" s="1358"/>
      <c r="AD729" s="1359"/>
      <c r="AE729" s="1359"/>
      <c r="AF729" s="1359"/>
      <c r="AG729" s="1360"/>
      <c r="AH729" s="1342" t="str">
        <f t="shared" si="50"/>
        <v xml:space="preserve"> </v>
      </c>
      <c r="AI729" s="1343"/>
      <c r="AJ729" s="1344"/>
      <c r="AK729" s="1339" t="s">
        <v>299</v>
      </c>
      <c r="AL729" s="1340"/>
      <c r="AM729" s="1340"/>
      <c r="AN729" s="1340"/>
      <c r="AO729" s="1341"/>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9"/>
      <c r="C730" s="1340"/>
      <c r="D730" s="1340"/>
      <c r="E730" s="1340"/>
      <c r="F730" s="1341"/>
      <c r="G730" s="1508">
        <v>0</v>
      </c>
      <c r="H730" s="1509"/>
      <c r="I730" s="1509"/>
      <c r="J730" s="1510"/>
      <c r="K730" s="1511">
        <v>0</v>
      </c>
      <c r="L730" s="1512"/>
      <c r="M730" s="1512"/>
      <c r="N730" s="1513"/>
      <c r="O730" s="1505">
        <v>0</v>
      </c>
      <c r="P730" s="1506"/>
      <c r="Q730" s="1506"/>
      <c r="R730" s="1506"/>
      <c r="S730" s="1507"/>
      <c r="T730" s="1505">
        <v>0</v>
      </c>
      <c r="U730" s="1506"/>
      <c r="V730" s="1506"/>
      <c r="W730" s="1507"/>
      <c r="X730" s="1346">
        <f t="shared" si="49"/>
        <v>0</v>
      </c>
      <c r="Y730" s="1347"/>
      <c r="Z730" s="1347"/>
      <c r="AA730" s="1347"/>
      <c r="AB730" s="1348"/>
      <c r="AC730" s="1358"/>
      <c r="AD730" s="1359"/>
      <c r="AE730" s="1359"/>
      <c r="AF730" s="1359"/>
      <c r="AG730" s="1360"/>
      <c r="AH730" s="1342" t="str">
        <f t="shared" si="50"/>
        <v xml:space="preserve"> </v>
      </c>
      <c r="AI730" s="1343"/>
      <c r="AJ730" s="1344"/>
      <c r="AK730" s="1339" t="s">
        <v>299</v>
      </c>
      <c r="AL730" s="1340"/>
      <c r="AM730" s="1340"/>
      <c r="AN730" s="1340"/>
      <c r="AO730" s="1341"/>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9"/>
      <c r="C731" s="1340"/>
      <c r="D731" s="1340"/>
      <c r="E731" s="1340"/>
      <c r="F731" s="1341"/>
      <c r="G731" s="1508">
        <v>0</v>
      </c>
      <c r="H731" s="1509"/>
      <c r="I731" s="1509"/>
      <c r="J731" s="1510"/>
      <c r="K731" s="1511">
        <v>0</v>
      </c>
      <c r="L731" s="1512"/>
      <c r="M731" s="1512"/>
      <c r="N731" s="1513"/>
      <c r="O731" s="1505">
        <v>0</v>
      </c>
      <c r="P731" s="1506"/>
      <c r="Q731" s="1506"/>
      <c r="R731" s="1506"/>
      <c r="S731" s="1507"/>
      <c r="T731" s="1505">
        <v>0</v>
      </c>
      <c r="U731" s="1506"/>
      <c r="V731" s="1506"/>
      <c r="W731" s="1507"/>
      <c r="X731" s="1346">
        <f t="shared" si="49"/>
        <v>0</v>
      </c>
      <c r="Y731" s="1347"/>
      <c r="Z731" s="1347"/>
      <c r="AA731" s="1347"/>
      <c r="AB731" s="1348"/>
      <c r="AC731" s="1358"/>
      <c r="AD731" s="1359"/>
      <c r="AE731" s="1359"/>
      <c r="AF731" s="1359"/>
      <c r="AG731" s="1360"/>
      <c r="AH731" s="1342" t="str">
        <f t="shared" si="50"/>
        <v xml:space="preserve"> </v>
      </c>
      <c r="AI731" s="1343"/>
      <c r="AJ731" s="1344"/>
      <c r="AK731" s="1339" t="s">
        <v>299</v>
      </c>
      <c r="AL731" s="1340"/>
      <c r="AM731" s="1340"/>
      <c r="AN731" s="1340"/>
      <c r="AO731" s="1341"/>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9"/>
      <c r="C732" s="1340"/>
      <c r="D732" s="1340"/>
      <c r="E732" s="1340"/>
      <c r="F732" s="1341"/>
      <c r="G732" s="1508">
        <v>0</v>
      </c>
      <c r="H732" s="1509"/>
      <c r="I732" s="1509"/>
      <c r="J732" s="1510"/>
      <c r="K732" s="1511">
        <v>0</v>
      </c>
      <c r="L732" s="1512"/>
      <c r="M732" s="1512"/>
      <c r="N732" s="1513"/>
      <c r="O732" s="1505">
        <v>0</v>
      </c>
      <c r="P732" s="1506"/>
      <c r="Q732" s="1506"/>
      <c r="R732" s="1506"/>
      <c r="S732" s="1507"/>
      <c r="T732" s="1505">
        <v>0</v>
      </c>
      <c r="U732" s="1506"/>
      <c r="V732" s="1506"/>
      <c r="W732" s="1507"/>
      <c r="X732" s="1346">
        <f t="shared" si="49"/>
        <v>0</v>
      </c>
      <c r="Y732" s="1347"/>
      <c r="Z732" s="1347"/>
      <c r="AA732" s="1347"/>
      <c r="AB732" s="1348"/>
      <c r="AC732" s="1358"/>
      <c r="AD732" s="1359"/>
      <c r="AE732" s="1359"/>
      <c r="AF732" s="1359"/>
      <c r="AG732" s="1360"/>
      <c r="AH732" s="1342" t="str">
        <f t="shared" si="50"/>
        <v xml:space="preserve"> </v>
      </c>
      <c r="AI732" s="1343"/>
      <c r="AJ732" s="1344"/>
      <c r="AK732" s="1339" t="s">
        <v>299</v>
      </c>
      <c r="AL732" s="1340"/>
      <c r="AM732" s="1340"/>
      <c r="AN732" s="1340"/>
      <c r="AO732" s="1341"/>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9"/>
      <c r="C733" s="1340"/>
      <c r="D733" s="1340"/>
      <c r="E733" s="1340"/>
      <c r="F733" s="1341"/>
      <c r="G733" s="1508">
        <v>0</v>
      </c>
      <c r="H733" s="1509"/>
      <c r="I733" s="1509"/>
      <c r="J733" s="1510"/>
      <c r="K733" s="1511">
        <v>0</v>
      </c>
      <c r="L733" s="1512"/>
      <c r="M733" s="1512"/>
      <c r="N733" s="1513"/>
      <c r="O733" s="1505">
        <v>0</v>
      </c>
      <c r="P733" s="1506"/>
      <c r="Q733" s="1506"/>
      <c r="R733" s="1506"/>
      <c r="S733" s="1507"/>
      <c r="T733" s="1505">
        <v>0</v>
      </c>
      <c r="U733" s="1506"/>
      <c r="V733" s="1506"/>
      <c r="W733" s="1507"/>
      <c r="X733" s="1346">
        <f t="shared" si="49"/>
        <v>0</v>
      </c>
      <c r="Y733" s="1347"/>
      <c r="Z733" s="1347"/>
      <c r="AA733" s="1347"/>
      <c r="AB733" s="1348"/>
      <c r="AC733" s="1358"/>
      <c r="AD733" s="1359"/>
      <c r="AE733" s="1359"/>
      <c r="AF733" s="1359"/>
      <c r="AG733" s="1360"/>
      <c r="AH733" s="1342" t="str">
        <f t="shared" si="50"/>
        <v xml:space="preserve"> </v>
      </c>
      <c r="AI733" s="1343"/>
      <c r="AJ733" s="1344"/>
      <c r="AK733" s="1339" t="s">
        <v>299</v>
      </c>
      <c r="AL733" s="1340"/>
      <c r="AM733" s="1340"/>
      <c r="AN733" s="1340"/>
      <c r="AO733" s="1341"/>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9"/>
      <c r="C734" s="1340"/>
      <c r="D734" s="1340"/>
      <c r="E734" s="1340"/>
      <c r="F734" s="1341"/>
      <c r="G734" s="1508">
        <v>0</v>
      </c>
      <c r="H734" s="1509"/>
      <c r="I734" s="1509"/>
      <c r="J734" s="1510"/>
      <c r="K734" s="1511">
        <v>0</v>
      </c>
      <c r="L734" s="1512"/>
      <c r="M734" s="1512"/>
      <c r="N734" s="1513"/>
      <c r="O734" s="1505">
        <v>0</v>
      </c>
      <c r="P734" s="1506"/>
      <c r="Q734" s="1506"/>
      <c r="R734" s="1506"/>
      <c r="S734" s="1507"/>
      <c r="T734" s="1505">
        <v>0</v>
      </c>
      <c r="U734" s="1506"/>
      <c r="V734" s="1506"/>
      <c r="W734" s="1507"/>
      <c r="X734" s="1346">
        <f t="shared" si="49"/>
        <v>0</v>
      </c>
      <c r="Y734" s="1347"/>
      <c r="Z734" s="1347"/>
      <c r="AA734" s="1347"/>
      <c r="AB734" s="1348"/>
      <c r="AC734" s="1358"/>
      <c r="AD734" s="1359"/>
      <c r="AE734" s="1359"/>
      <c r="AF734" s="1359"/>
      <c r="AG734" s="1360"/>
      <c r="AH734" s="1342" t="str">
        <f t="shared" si="50"/>
        <v xml:space="preserve"> </v>
      </c>
      <c r="AI734" s="1343"/>
      <c r="AJ734" s="1344"/>
      <c r="AK734" s="1339" t="s">
        <v>299</v>
      </c>
      <c r="AL734" s="1340"/>
      <c r="AM734" s="1340"/>
      <c r="AN734" s="1340"/>
      <c r="AO734" s="1341"/>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9"/>
      <c r="C735" s="1340"/>
      <c r="D735" s="1340"/>
      <c r="E735" s="1340"/>
      <c r="F735" s="1341"/>
      <c r="G735" s="1508">
        <v>0</v>
      </c>
      <c r="H735" s="1509"/>
      <c r="I735" s="1509"/>
      <c r="J735" s="1510"/>
      <c r="K735" s="1511">
        <v>0</v>
      </c>
      <c r="L735" s="1512"/>
      <c r="M735" s="1512"/>
      <c r="N735" s="1513"/>
      <c r="O735" s="1505">
        <v>0</v>
      </c>
      <c r="P735" s="1506"/>
      <c r="Q735" s="1506"/>
      <c r="R735" s="1506"/>
      <c r="S735" s="1507"/>
      <c r="T735" s="1505">
        <v>0</v>
      </c>
      <c r="U735" s="1506"/>
      <c r="V735" s="1506"/>
      <c r="W735" s="1507"/>
      <c r="X735" s="1346">
        <f t="shared" si="49"/>
        <v>0</v>
      </c>
      <c r="Y735" s="1347"/>
      <c r="Z735" s="1347"/>
      <c r="AA735" s="1347"/>
      <c r="AB735" s="1348"/>
      <c r="AC735" s="1358"/>
      <c r="AD735" s="1359"/>
      <c r="AE735" s="1359"/>
      <c r="AF735" s="1359"/>
      <c r="AG735" s="1360"/>
      <c r="AH735" s="1342" t="str">
        <f t="shared" si="50"/>
        <v xml:space="preserve"> </v>
      </c>
      <c r="AI735" s="1343"/>
      <c r="AJ735" s="1344"/>
      <c r="AK735" s="1339" t="s">
        <v>299</v>
      </c>
      <c r="AL735" s="1340"/>
      <c r="AM735" s="1340"/>
      <c r="AN735" s="1340"/>
      <c r="AO735" s="1341"/>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9"/>
      <c r="C736" s="1340"/>
      <c r="D736" s="1340"/>
      <c r="E736" s="1340"/>
      <c r="F736" s="1341"/>
      <c r="G736" s="1508">
        <v>0</v>
      </c>
      <c r="H736" s="1509"/>
      <c r="I736" s="1509"/>
      <c r="J736" s="1510"/>
      <c r="K736" s="1511">
        <v>0</v>
      </c>
      <c r="L736" s="1512"/>
      <c r="M736" s="1512"/>
      <c r="N736" s="1513"/>
      <c r="O736" s="1505">
        <v>0</v>
      </c>
      <c r="P736" s="1506"/>
      <c r="Q736" s="1506"/>
      <c r="R736" s="1506"/>
      <c r="S736" s="1507"/>
      <c r="T736" s="1505">
        <v>0</v>
      </c>
      <c r="U736" s="1506"/>
      <c r="V736" s="1506"/>
      <c r="W736" s="1507"/>
      <c r="X736" s="1346">
        <f t="shared" si="49"/>
        <v>0</v>
      </c>
      <c r="Y736" s="1347"/>
      <c r="Z736" s="1347"/>
      <c r="AA736" s="1347"/>
      <c r="AB736" s="1348"/>
      <c r="AC736" s="1358"/>
      <c r="AD736" s="1359"/>
      <c r="AE736" s="1359"/>
      <c r="AF736" s="1359"/>
      <c r="AG736" s="1360"/>
      <c r="AH736" s="1342" t="str">
        <f t="shared" si="50"/>
        <v xml:space="preserve"> </v>
      </c>
      <c r="AI736" s="1343"/>
      <c r="AJ736" s="1344"/>
      <c r="AK736" s="1339" t="s">
        <v>299</v>
      </c>
      <c r="AL736" s="1340"/>
      <c r="AM736" s="1340"/>
      <c r="AN736" s="1340"/>
      <c r="AO736" s="1341"/>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9"/>
      <c r="C737" s="1340"/>
      <c r="D737" s="1340"/>
      <c r="E737" s="1340"/>
      <c r="F737" s="1341"/>
      <c r="G737" s="1508">
        <v>0</v>
      </c>
      <c r="H737" s="1509"/>
      <c r="I737" s="1509"/>
      <c r="J737" s="1510"/>
      <c r="K737" s="1511">
        <v>0</v>
      </c>
      <c r="L737" s="1512"/>
      <c r="M737" s="1512"/>
      <c r="N737" s="1513"/>
      <c r="O737" s="1505">
        <v>0</v>
      </c>
      <c r="P737" s="1506"/>
      <c r="Q737" s="1506"/>
      <c r="R737" s="1506"/>
      <c r="S737" s="1507"/>
      <c r="T737" s="1505">
        <v>0</v>
      </c>
      <c r="U737" s="1506"/>
      <c r="V737" s="1506"/>
      <c r="W737" s="1507"/>
      <c r="X737" s="1346">
        <f t="shared" si="49"/>
        <v>0</v>
      </c>
      <c r="Y737" s="1347"/>
      <c r="Z737" s="1347"/>
      <c r="AA737" s="1347"/>
      <c r="AB737" s="1348"/>
      <c r="AC737" s="1358"/>
      <c r="AD737" s="1359"/>
      <c r="AE737" s="1359"/>
      <c r="AF737" s="1359"/>
      <c r="AG737" s="1360"/>
      <c r="AH737" s="1342" t="str">
        <f t="shared" si="50"/>
        <v xml:space="preserve"> </v>
      </c>
      <c r="AI737" s="1343"/>
      <c r="AJ737" s="1344"/>
      <c r="AK737" s="1339" t="s">
        <v>299</v>
      </c>
      <c r="AL737" s="1340"/>
      <c r="AM737" s="1340"/>
      <c r="AN737" s="1340"/>
      <c r="AO737" s="1341"/>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9"/>
      <c r="C738" s="1340"/>
      <c r="D738" s="1340"/>
      <c r="E738" s="1340"/>
      <c r="F738" s="1341"/>
      <c r="G738" s="1508">
        <v>0</v>
      </c>
      <c r="H738" s="1509"/>
      <c r="I738" s="1509"/>
      <c r="J738" s="1510"/>
      <c r="K738" s="1511">
        <v>0</v>
      </c>
      <c r="L738" s="1512"/>
      <c r="M738" s="1512"/>
      <c r="N738" s="1513"/>
      <c r="O738" s="1505">
        <v>0</v>
      </c>
      <c r="P738" s="1506"/>
      <c r="Q738" s="1506"/>
      <c r="R738" s="1506"/>
      <c r="S738" s="1507"/>
      <c r="T738" s="1505">
        <v>0</v>
      </c>
      <c r="U738" s="1506"/>
      <c r="V738" s="1506"/>
      <c r="W738" s="1507"/>
      <c r="X738" s="1346">
        <f t="shared" si="49"/>
        <v>0</v>
      </c>
      <c r="Y738" s="1347"/>
      <c r="Z738" s="1347"/>
      <c r="AA738" s="1347"/>
      <c r="AB738" s="1348"/>
      <c r="AC738" s="1358"/>
      <c r="AD738" s="1359"/>
      <c r="AE738" s="1359"/>
      <c r="AF738" s="1359"/>
      <c r="AG738" s="1360"/>
      <c r="AH738" s="1342" t="str">
        <f t="shared" si="50"/>
        <v xml:space="preserve"> </v>
      </c>
      <c r="AI738" s="1343"/>
      <c r="AJ738" s="1344"/>
      <c r="AK738" s="1339" t="s">
        <v>299</v>
      </c>
      <c r="AL738" s="1340"/>
      <c r="AM738" s="1340"/>
      <c r="AN738" s="1340"/>
      <c r="AO738" s="1341"/>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0" t="s">
        <v>1581</v>
      </c>
      <c r="C739" s="1521"/>
      <c r="D739" s="1521"/>
      <c r="E739" s="1521"/>
      <c r="F739" s="1522"/>
      <c r="G739" s="1517">
        <f>SUM(G714:J738)</f>
        <v>84</v>
      </c>
      <c r="H739" s="1518"/>
      <c r="I739" s="1518"/>
      <c r="J739" s="1519"/>
      <c r="K739" s="825" t="s">
        <v>1582</v>
      </c>
      <c r="L739" s="5"/>
      <c r="M739" s="5"/>
      <c r="N739" s="39"/>
      <c r="O739" s="1346">
        <f>SUMPRODUCT(G714:G738,O714:O738)</f>
        <v>117250</v>
      </c>
      <c r="P739" s="1347"/>
      <c r="Q739" s="1347"/>
      <c r="R739" s="1347"/>
      <c r="S739" s="1348"/>
      <c r="X739" s="827" t="s">
        <v>1583</v>
      </c>
      <c r="Y739" s="826"/>
      <c r="Z739" s="826"/>
      <c r="AA739" s="826"/>
      <c r="AB739" s="828"/>
      <c r="AC739" s="1523">
        <f>BI682</f>
        <v>0.39999999999999997</v>
      </c>
      <c r="AD739" s="1524"/>
      <c r="AE739" s="1524"/>
      <c r="AF739" s="1524"/>
      <c r="AG739" s="1525"/>
      <c r="AH739" s="1523">
        <f>BI714</f>
        <v>0.3999830470162748</v>
      </c>
      <c r="AI739" s="1524"/>
      <c r="AJ739" s="1525"/>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32" t="s">
        <v>1584</v>
      </c>
      <c r="C740" s="1732"/>
      <c r="D740" s="1732"/>
      <c r="E740" s="1732"/>
      <c r="F740" s="1732"/>
      <c r="G740" s="1732"/>
      <c r="H740" s="1732"/>
      <c r="I740" s="1732"/>
      <c r="J740" s="1732"/>
      <c r="K740" s="1732"/>
      <c r="L740" s="1732"/>
      <c r="M740" s="1732"/>
      <c r="N740" s="1732"/>
      <c r="O740" s="1732"/>
      <c r="P740" s="1732"/>
      <c r="Q740" s="1732"/>
      <c r="R740" s="1732"/>
      <c r="S740" s="1732"/>
      <c r="T740" s="1732"/>
      <c r="U740" s="1732"/>
      <c r="V740" s="1732"/>
      <c r="W740" s="1732"/>
      <c r="X740" s="1732"/>
      <c r="Y740" s="1732"/>
      <c r="Z740" s="1732"/>
      <c r="AA740" s="1732"/>
      <c r="AB740" s="1732"/>
      <c r="AC740" s="1732"/>
      <c r="AD740" s="1732"/>
      <c r="AE740" s="1732"/>
      <c r="AF740" s="1732"/>
      <c r="AG740" s="1732"/>
      <c r="AH740" s="173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32"/>
      <c r="C741" s="1732"/>
      <c r="D741" s="1732"/>
      <c r="E741" s="1732"/>
      <c r="F741" s="1732"/>
      <c r="G741" s="1732"/>
      <c r="H741" s="1732"/>
      <c r="I741" s="1732"/>
      <c r="J741" s="1732"/>
      <c r="K741" s="1732"/>
      <c r="L741" s="1732"/>
      <c r="M741" s="1732"/>
      <c r="N741" s="1732"/>
      <c r="O741" s="1732"/>
      <c r="P741" s="1732"/>
      <c r="Q741" s="1732"/>
      <c r="R741" s="1732"/>
      <c r="S741" s="1732"/>
      <c r="T741" s="1732"/>
      <c r="U741" s="1732"/>
      <c r="V741" s="1732"/>
      <c r="W741" s="1732"/>
      <c r="X741" s="1732"/>
      <c r="Y741" s="1732"/>
      <c r="Z741" s="1732"/>
      <c r="AA741" s="1732"/>
      <c r="AB741" s="1732"/>
      <c r="AC741" s="1732"/>
      <c r="AD741" s="1732"/>
      <c r="AE741" s="1732"/>
      <c r="AF741" s="1732"/>
      <c r="AG741" s="1732"/>
      <c r="AH741" s="173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1585</v>
      </c>
      <c r="D742" s="957"/>
      <c r="E742" s="957"/>
      <c r="F742" s="957"/>
      <c r="G742" s="958"/>
      <c r="H742" s="958"/>
      <c r="I742" s="958"/>
      <c r="J742" s="958"/>
      <c r="K742" s="957"/>
      <c r="L742" s="957"/>
      <c r="M742" s="957"/>
      <c r="N742" s="957"/>
      <c r="O742" s="1362">
        <f>CS623</f>
        <v>147</v>
      </c>
      <c r="P742" s="1362"/>
      <c r="Q742" s="1362"/>
      <c r="R742" s="1362"/>
      <c r="S742" s="890"/>
      <c r="T742" s="890"/>
      <c r="U742" s="85" t="s">
        <v>1586</v>
      </c>
      <c r="V742" s="957"/>
      <c r="W742" s="957"/>
      <c r="X742" s="957"/>
      <c r="Y742" s="958"/>
      <c r="Z742" s="958"/>
      <c r="AA742" s="958"/>
      <c r="AB742" s="958"/>
      <c r="AC742" s="957"/>
      <c r="AD742" s="957"/>
      <c r="AE742" s="957"/>
      <c r="AF742" s="957"/>
      <c r="AG742" s="1628"/>
      <c r="AH742" s="1628"/>
      <c r="AI742" s="1628"/>
      <c r="AJ742" s="1628"/>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1587</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733" t="s">
        <v>299</v>
      </c>
      <c r="AE744" s="1733"/>
      <c r="AF744" s="1733"/>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1588</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1007</v>
      </c>
      <c r="B746" s="49"/>
      <c r="C746" s="50" t="s">
        <v>1589</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1590</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3" t="s">
        <v>1591</v>
      </c>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c r="AA748" s="1223"/>
      <c r="AB748" s="1223"/>
      <c r="AC748" s="1223"/>
      <c r="AD748" s="1223"/>
      <c r="AE748" s="1223"/>
      <c r="AF748" s="1223"/>
      <c r="AG748" s="1223"/>
      <c r="AH748" s="1223"/>
      <c r="AI748" s="1223"/>
      <c r="AJ748" s="1223"/>
      <c r="AK748" s="1223"/>
      <c r="AL748" s="1223"/>
      <c r="AM748" s="1223"/>
      <c r="AN748" s="1223"/>
      <c r="AO748" s="1223"/>
      <c r="AP748" s="1223"/>
      <c r="AQ748" s="1223"/>
      <c r="AR748" s="1223"/>
      <c r="AT748"/>
      <c r="AU748"/>
      <c r="AV748"/>
      <c r="AW748"/>
      <c r="AX748"/>
      <c r="AY748"/>
    </row>
    <row r="749" spans="1:16383" s="3" customFormat="1" ht="12.95" customHeight="1">
      <c r="B749" s="957"/>
      <c r="C749" s="1223"/>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c r="AA749" s="1223"/>
      <c r="AB749" s="1223"/>
      <c r="AC749" s="1223"/>
      <c r="AD749" s="1223"/>
      <c r="AE749" s="1223"/>
      <c r="AF749" s="1223"/>
      <c r="AG749" s="1223"/>
      <c r="AH749" s="1223"/>
      <c r="AI749" s="1223"/>
      <c r="AJ749" s="1223"/>
      <c r="AK749" s="1223"/>
      <c r="AL749" s="1223"/>
      <c r="AM749" s="1223"/>
      <c r="AN749" s="1223"/>
      <c r="AO749" s="1223"/>
      <c r="AP749" s="1223"/>
      <c r="AQ749" s="1223"/>
      <c r="AR749" s="1223"/>
      <c r="AT749"/>
      <c r="AU749"/>
      <c r="AV749"/>
      <c r="AW749"/>
      <c r="AX749"/>
      <c r="AY749"/>
    </row>
    <row r="750" spans="1:16383" s="3" customFormat="1" ht="12.95" customHeight="1">
      <c r="B750" s="957"/>
      <c r="C750" s="1223"/>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c r="AA750" s="1223"/>
      <c r="AB750" s="1223"/>
      <c r="AC750" s="1223"/>
      <c r="AD750" s="1223"/>
      <c r="AE750" s="1223"/>
      <c r="AF750" s="1223"/>
      <c r="AG750" s="1223"/>
      <c r="AH750" s="1223"/>
      <c r="AI750" s="1223"/>
      <c r="AJ750" s="1223"/>
      <c r="AK750" s="1223"/>
      <c r="AL750" s="1223"/>
      <c r="AM750" s="1223"/>
      <c r="AN750" s="1223"/>
      <c r="AO750" s="1223"/>
      <c r="AP750" s="1223"/>
      <c r="AQ750" s="1223"/>
      <c r="AR750" s="1223"/>
      <c r="AT750"/>
      <c r="AU750"/>
      <c r="AV750"/>
      <c r="AW750"/>
      <c r="AX750"/>
      <c r="AY750"/>
    </row>
    <row r="751" spans="1:16383" s="3" customFormat="1" ht="12.95" customHeight="1">
      <c r="B751" s="957"/>
      <c r="C751" s="1223" t="s">
        <v>1592</v>
      </c>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c r="AA751" s="1223"/>
      <c r="AB751" s="1223"/>
      <c r="AC751" s="1223"/>
      <c r="AD751" s="1223"/>
      <c r="AE751" s="1223"/>
      <c r="AF751" s="1223"/>
      <c r="AG751" s="1223"/>
      <c r="AH751" s="1223"/>
      <c r="AI751" s="1223"/>
      <c r="AJ751" s="1223"/>
      <c r="AK751" s="1223"/>
      <c r="AL751" s="1223"/>
      <c r="AM751" s="1223"/>
      <c r="AN751" s="1223"/>
      <c r="AO751" s="1223"/>
      <c r="AP751" s="1223"/>
      <c r="AQ751" s="1223"/>
      <c r="AR751" s="1223"/>
      <c r="AT751"/>
      <c r="AU751"/>
      <c r="AV751"/>
      <c r="AW751"/>
      <c r="AX751"/>
      <c r="AY751"/>
    </row>
    <row r="752" spans="1:16383" s="3" customFormat="1" ht="12.95" customHeight="1">
      <c r="B752" s="957"/>
      <c r="C752" s="1223"/>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c r="AA752" s="1223"/>
      <c r="AB752" s="1223"/>
      <c r="AC752" s="1223"/>
      <c r="AD752" s="1223"/>
      <c r="AE752" s="1223"/>
      <c r="AF752" s="1223"/>
      <c r="AG752" s="1223"/>
      <c r="AH752" s="1223"/>
      <c r="AI752" s="1223"/>
      <c r="AJ752" s="1223"/>
      <c r="AK752" s="1223"/>
      <c r="AL752" s="1223"/>
      <c r="AM752" s="1223"/>
      <c r="AN752" s="1223"/>
      <c r="AO752" s="1223"/>
      <c r="AP752" s="1223"/>
      <c r="AQ752" s="1223"/>
      <c r="AR752" s="1223"/>
      <c r="AT752"/>
      <c r="AU752"/>
      <c r="AV752"/>
      <c r="AW752"/>
      <c r="AX752"/>
      <c r="AY752"/>
    </row>
    <row r="753" spans="1:110" s="3" customFormat="1" ht="12.95" customHeight="1">
      <c r="B753" s="957"/>
      <c r="C753" s="1223"/>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c r="AA753" s="1223"/>
      <c r="AB753" s="1223"/>
      <c r="AC753" s="1223"/>
      <c r="AD753" s="1223"/>
      <c r="AE753" s="1223"/>
      <c r="AF753" s="1223"/>
      <c r="AG753" s="1223"/>
      <c r="AH753" s="1223"/>
      <c r="AI753" s="1223"/>
      <c r="AJ753" s="1223"/>
      <c r="AK753" s="1223"/>
      <c r="AL753" s="1223"/>
      <c r="AM753" s="1223"/>
      <c r="AN753" s="1223"/>
      <c r="AO753" s="1223"/>
      <c r="AP753" s="1223"/>
      <c r="AQ753" s="1223"/>
      <c r="AR753" s="1223"/>
      <c r="AT753"/>
      <c r="AU753"/>
      <c r="AV753"/>
      <c r="AW753"/>
      <c r="AX753"/>
      <c r="AY753"/>
    </row>
    <row r="754" spans="1:110" ht="12.95" customHeight="1">
      <c r="J754" s="1349" t="s">
        <v>1572</v>
      </c>
      <c r="K754" s="1350"/>
      <c r="L754" s="1350"/>
      <c r="M754" s="1350"/>
      <c r="N754" s="1351"/>
      <c r="O754" s="1616" t="s">
        <v>1573</v>
      </c>
      <c r="P754" s="1616"/>
      <c r="Q754" s="1616"/>
      <c r="R754" s="1616"/>
      <c r="S754" s="1616"/>
      <c r="T754" s="1568" t="s">
        <v>1574</v>
      </c>
      <c r="U754" s="1569"/>
      <c r="V754" s="1569"/>
      <c r="W754" s="1570"/>
      <c r="X754" s="1349" t="s">
        <v>1575</v>
      </c>
      <c r="Y754" s="1350"/>
      <c r="Z754" s="1350"/>
      <c r="AA754" s="1350"/>
      <c r="AB754" s="1351"/>
      <c r="AC754" s="1349" t="s">
        <v>1593</v>
      </c>
      <c r="AD754" s="1350"/>
      <c r="AE754" s="1350"/>
      <c r="AF754" s="1350"/>
      <c r="AG754" s="1351"/>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52"/>
      <c r="K755" s="1353"/>
      <c r="L755" s="1353"/>
      <c r="M755" s="1353"/>
      <c r="N755" s="1354"/>
      <c r="O755" s="1616"/>
      <c r="P755" s="1616"/>
      <c r="Q755" s="1616"/>
      <c r="R755" s="1616"/>
      <c r="S755" s="1616"/>
      <c r="T755" s="1571"/>
      <c r="U755" s="1572"/>
      <c r="V755" s="1572"/>
      <c r="W755" s="1573"/>
      <c r="X755" s="1352"/>
      <c r="Y755" s="1353"/>
      <c r="Z755" s="1353"/>
      <c r="AA755" s="1353"/>
      <c r="AB755" s="1354"/>
      <c r="AC755" s="1352"/>
      <c r="AD755" s="1353"/>
      <c r="AE755" s="1353"/>
      <c r="AF755" s="1353"/>
      <c r="AG755" s="1354"/>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52"/>
      <c r="K756" s="1353"/>
      <c r="L756" s="1353"/>
      <c r="M756" s="1353"/>
      <c r="N756" s="1354"/>
      <c r="O756" s="1616"/>
      <c r="P756" s="1616"/>
      <c r="Q756" s="1616"/>
      <c r="R756" s="1616"/>
      <c r="S756" s="1616"/>
      <c r="T756" s="1571"/>
      <c r="U756" s="1572"/>
      <c r="V756" s="1572"/>
      <c r="W756" s="1573"/>
      <c r="X756" s="1352"/>
      <c r="Y756" s="1353"/>
      <c r="Z756" s="1353"/>
      <c r="AA756" s="1353"/>
      <c r="AB756" s="1354"/>
      <c r="AC756" s="1352"/>
      <c r="AD756" s="1353"/>
      <c r="AE756" s="1353"/>
      <c r="AF756" s="1353"/>
      <c r="AG756" s="1354"/>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55"/>
      <c r="K757" s="1356"/>
      <c r="L757" s="1356"/>
      <c r="M757" s="1356"/>
      <c r="N757" s="1357"/>
      <c r="O757" s="1616"/>
      <c r="P757" s="1616"/>
      <c r="Q757" s="1616"/>
      <c r="R757" s="1616"/>
      <c r="S757" s="1616"/>
      <c r="T757" s="1664"/>
      <c r="U757" s="1665"/>
      <c r="V757" s="1665"/>
      <c r="W757" s="1666"/>
      <c r="X757" s="1355"/>
      <c r="Y757" s="1356"/>
      <c r="Z757" s="1356"/>
      <c r="AA757" s="1356"/>
      <c r="AB757" s="1357"/>
      <c r="AC757" s="1355"/>
      <c r="AD757" s="1356"/>
      <c r="AE757" s="1356"/>
      <c r="AF757" s="1356"/>
      <c r="AG757" s="1357"/>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9" t="s">
        <v>1517</v>
      </c>
      <c r="K758" s="1340"/>
      <c r="L758" s="1340"/>
      <c r="M758" s="1340"/>
      <c r="N758" s="1341"/>
      <c r="O758" s="1563">
        <v>1</v>
      </c>
      <c r="P758" s="1563"/>
      <c r="Q758" s="1563"/>
      <c r="R758" s="1563"/>
      <c r="S758" s="1563"/>
      <c r="T758" s="1511">
        <v>1000</v>
      </c>
      <c r="U758" s="1512"/>
      <c r="V758" s="1512"/>
      <c r="W758" s="1513"/>
      <c r="X758" s="1505"/>
      <c r="Y758" s="1506"/>
      <c r="Z758" s="1506"/>
      <c r="AA758" s="1506"/>
      <c r="AB758" s="1507"/>
      <c r="AC758" s="1346">
        <f>X758*O758</f>
        <v>0</v>
      </c>
      <c r="AD758" s="1347"/>
      <c r="AE758" s="1347"/>
      <c r="AF758" s="1347"/>
      <c r="AG758" s="1348"/>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9"/>
      <c r="K759" s="1340"/>
      <c r="L759" s="1340"/>
      <c r="M759" s="1340"/>
      <c r="N759" s="1341"/>
      <c r="O759" s="1563"/>
      <c r="P759" s="1563"/>
      <c r="Q759" s="1563"/>
      <c r="R759" s="1563"/>
      <c r="S759" s="1563"/>
      <c r="T759" s="1511"/>
      <c r="U759" s="1512"/>
      <c r="V759" s="1512"/>
      <c r="W759" s="1513"/>
      <c r="X759" s="1505"/>
      <c r="Y759" s="1506"/>
      <c r="Z759" s="1506"/>
      <c r="AA759" s="1506"/>
      <c r="AB759" s="1507"/>
      <c r="AC759" s="1346">
        <f>X759*O759</f>
        <v>0</v>
      </c>
      <c r="AD759" s="1347"/>
      <c r="AE759" s="1347"/>
      <c r="AF759" s="1347"/>
      <c r="AG759" s="1348"/>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9"/>
      <c r="K760" s="1340"/>
      <c r="L760" s="1340"/>
      <c r="M760" s="1340"/>
      <c r="N760" s="1341"/>
      <c r="O760" s="1563"/>
      <c r="P760" s="1563"/>
      <c r="Q760" s="1563"/>
      <c r="R760" s="1563"/>
      <c r="S760" s="1563"/>
      <c r="T760" s="1511"/>
      <c r="U760" s="1512"/>
      <c r="V760" s="1512"/>
      <c r="W760" s="1513"/>
      <c r="X760" s="1505"/>
      <c r="Y760" s="1506"/>
      <c r="Z760" s="1506"/>
      <c r="AA760" s="1506"/>
      <c r="AB760" s="1507"/>
      <c r="AC760" s="1346">
        <f>X760*O760</f>
        <v>0</v>
      </c>
      <c r="AD760" s="1347"/>
      <c r="AE760" s="1347"/>
      <c r="AF760" s="1347"/>
      <c r="AG760" s="1348"/>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9"/>
      <c r="K761" s="1340"/>
      <c r="L761" s="1340"/>
      <c r="M761" s="1340"/>
      <c r="N761" s="1341"/>
      <c r="O761" s="1563"/>
      <c r="P761" s="1563"/>
      <c r="Q761" s="1563"/>
      <c r="R761" s="1563"/>
      <c r="S761" s="1563"/>
      <c r="T761" s="1511"/>
      <c r="U761" s="1512"/>
      <c r="V761" s="1512"/>
      <c r="W761" s="1513"/>
      <c r="X761" s="1505"/>
      <c r="Y761" s="1506"/>
      <c r="Z761" s="1506"/>
      <c r="AA761" s="1506"/>
      <c r="AB761" s="1507"/>
      <c r="AC761" s="1346">
        <f>X761*O761</f>
        <v>0</v>
      </c>
      <c r="AD761" s="1347"/>
      <c r="AE761" s="1347"/>
      <c r="AF761" s="1347"/>
      <c r="AG761" s="1348"/>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0" t="s">
        <v>1581</v>
      </c>
      <c r="K762" s="1521"/>
      <c r="L762" s="1521"/>
      <c r="M762" s="1521"/>
      <c r="N762" s="1522"/>
      <c r="O762" s="1366">
        <f>SUM(O758:S761)</f>
        <v>1</v>
      </c>
      <c r="P762" s="1367"/>
      <c r="Q762" s="1367"/>
      <c r="R762" s="1367"/>
      <c r="S762" s="1368"/>
      <c r="X762" s="1520" t="s">
        <v>1582</v>
      </c>
      <c r="Y762" s="1521"/>
      <c r="Z762" s="1521"/>
      <c r="AA762" s="1521"/>
      <c r="AB762" s="1522"/>
      <c r="AC762" s="1346">
        <f>SUM(AC758:AG761)</f>
        <v>0</v>
      </c>
      <c r="AD762" s="1347"/>
      <c r="AE762" s="1347"/>
      <c r="AF762" s="1347"/>
      <c r="AG762" s="1348"/>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73" t="s">
        <v>837</v>
      </c>
      <c r="K764" s="1673"/>
      <c r="L764" s="49"/>
      <c r="M764" s="85" t="s">
        <v>1594</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1595</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1083</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9" t="s">
        <v>1572</v>
      </c>
      <c r="K768" s="1350"/>
      <c r="L768" s="1350"/>
      <c r="M768" s="1350"/>
      <c r="N768" s="1351"/>
      <c r="O768" s="1616" t="s">
        <v>1573</v>
      </c>
      <c r="P768" s="1616"/>
      <c r="Q768" s="1616"/>
      <c r="R768" s="1616"/>
      <c r="S768" s="1616"/>
      <c r="T768" s="1568" t="s">
        <v>1574</v>
      </c>
      <c r="U768" s="1569"/>
      <c r="V768" s="1569"/>
      <c r="W768" s="1570"/>
      <c r="X768" s="1349" t="s">
        <v>1575</v>
      </c>
      <c r="Y768" s="1350"/>
      <c r="Z768" s="1350"/>
      <c r="AA768" s="1350"/>
      <c r="AB768" s="1351"/>
      <c r="AC768" s="1349" t="s">
        <v>1593</v>
      </c>
      <c r="AD768" s="1350"/>
      <c r="AE768" s="1350"/>
      <c r="AF768" s="1350"/>
      <c r="AG768" s="1351"/>
      <c r="AH768" s="1670" t="s">
        <v>1596</v>
      </c>
      <c r="AI768" s="1671"/>
      <c r="AJ768" s="1671"/>
      <c r="AK768" s="1671"/>
      <c r="AL768" s="167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52"/>
      <c r="K769" s="1353"/>
      <c r="L769" s="1353"/>
      <c r="M769" s="1353"/>
      <c r="N769" s="1354"/>
      <c r="O769" s="1616"/>
      <c r="P769" s="1616"/>
      <c r="Q769" s="1616"/>
      <c r="R769" s="1616"/>
      <c r="S769" s="1616"/>
      <c r="T769" s="1571"/>
      <c r="U769" s="1572"/>
      <c r="V769" s="1572"/>
      <c r="W769" s="1573"/>
      <c r="X769" s="1352"/>
      <c r="Y769" s="1353"/>
      <c r="Z769" s="1353"/>
      <c r="AA769" s="1353"/>
      <c r="AB769" s="1354"/>
      <c r="AC769" s="1352"/>
      <c r="AD769" s="1353"/>
      <c r="AE769" s="1353"/>
      <c r="AF769" s="1353"/>
      <c r="AG769" s="1354"/>
      <c r="AH769" s="1670"/>
      <c r="AI769" s="1671"/>
      <c r="AJ769" s="1671"/>
      <c r="AK769" s="1671"/>
      <c r="AL769" s="167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52"/>
      <c r="K770" s="1353"/>
      <c r="L770" s="1353"/>
      <c r="M770" s="1353"/>
      <c r="N770" s="1354"/>
      <c r="O770" s="1616"/>
      <c r="P770" s="1616"/>
      <c r="Q770" s="1616"/>
      <c r="R770" s="1616"/>
      <c r="S770" s="1616"/>
      <c r="T770" s="1571"/>
      <c r="U770" s="1572"/>
      <c r="V770" s="1572"/>
      <c r="W770" s="1573"/>
      <c r="X770" s="1352"/>
      <c r="Y770" s="1353"/>
      <c r="Z770" s="1353"/>
      <c r="AA770" s="1353"/>
      <c r="AB770" s="1354"/>
      <c r="AC770" s="1352"/>
      <c r="AD770" s="1353"/>
      <c r="AE770" s="1353"/>
      <c r="AF770" s="1353"/>
      <c r="AG770" s="1354"/>
      <c r="AH770" s="1670"/>
      <c r="AI770" s="1671"/>
      <c r="AJ770" s="1671"/>
      <c r="AK770" s="1671"/>
      <c r="AL770" s="167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55"/>
      <c r="K771" s="1356"/>
      <c r="L771" s="1356"/>
      <c r="M771" s="1356"/>
      <c r="N771" s="1357"/>
      <c r="O771" s="1616"/>
      <c r="P771" s="1616"/>
      <c r="Q771" s="1616"/>
      <c r="R771" s="1616"/>
      <c r="S771" s="1616"/>
      <c r="T771" s="1664"/>
      <c r="U771" s="1665"/>
      <c r="V771" s="1665"/>
      <c r="W771" s="1666"/>
      <c r="X771" s="1355"/>
      <c r="Y771" s="1356"/>
      <c r="Z771" s="1356"/>
      <c r="AA771" s="1356"/>
      <c r="AB771" s="1357"/>
      <c r="AC771" s="1355"/>
      <c r="AD771" s="1356"/>
      <c r="AE771" s="1356"/>
      <c r="AF771" s="1356"/>
      <c r="AG771" s="1357"/>
      <c r="AH771" s="1670"/>
      <c r="AI771" s="1671"/>
      <c r="AJ771" s="1671"/>
      <c r="AK771" s="1671"/>
      <c r="AL771" s="167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9"/>
      <c r="K772" s="1340"/>
      <c r="L772" s="1340"/>
      <c r="M772" s="1340"/>
      <c r="N772" s="1341"/>
      <c r="O772" s="1563"/>
      <c r="P772" s="1563"/>
      <c r="Q772" s="1563"/>
      <c r="R772" s="1563"/>
      <c r="S772" s="1563"/>
      <c r="T772" s="1511"/>
      <c r="U772" s="1512"/>
      <c r="V772" s="1512"/>
      <c r="W772" s="1513"/>
      <c r="X772" s="1505"/>
      <c r="Y772" s="1506"/>
      <c r="Z772" s="1506"/>
      <c r="AA772" s="1506"/>
      <c r="AB772" s="1507"/>
      <c r="AC772" s="1346">
        <f t="shared" ref="AC772:AC781" si="51">X772*O772</f>
        <v>0</v>
      </c>
      <c r="AD772" s="1347"/>
      <c r="AE772" s="1347"/>
      <c r="AF772" s="1347"/>
      <c r="AG772" s="1348"/>
      <c r="AH772" s="1564"/>
      <c r="AI772" s="1565"/>
      <c r="AJ772" s="1565"/>
      <c r="AK772" s="1565"/>
      <c r="AL772" s="156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9"/>
      <c r="K773" s="1340"/>
      <c r="L773" s="1340"/>
      <c r="M773" s="1340"/>
      <c r="N773" s="1341"/>
      <c r="O773" s="1563"/>
      <c r="P773" s="1563"/>
      <c r="Q773" s="1563"/>
      <c r="R773" s="1563"/>
      <c r="S773" s="1563"/>
      <c r="T773" s="1511"/>
      <c r="U773" s="1512"/>
      <c r="V773" s="1512"/>
      <c r="W773" s="1513"/>
      <c r="X773" s="1505"/>
      <c r="Y773" s="1506"/>
      <c r="Z773" s="1506"/>
      <c r="AA773" s="1506"/>
      <c r="AB773" s="1507"/>
      <c r="AC773" s="1346">
        <f t="shared" si="51"/>
        <v>0</v>
      </c>
      <c r="AD773" s="1347"/>
      <c r="AE773" s="1347"/>
      <c r="AF773" s="1347"/>
      <c r="AG773" s="1348"/>
      <c r="AH773" s="1564"/>
      <c r="AI773" s="1565"/>
      <c r="AJ773" s="1565"/>
      <c r="AK773" s="1565"/>
      <c r="AL773" s="156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9"/>
      <c r="K774" s="1340"/>
      <c r="L774" s="1340"/>
      <c r="M774" s="1340"/>
      <c r="N774" s="1341"/>
      <c r="O774" s="1563"/>
      <c r="P774" s="1563"/>
      <c r="Q774" s="1563"/>
      <c r="R774" s="1563"/>
      <c r="S774" s="1563"/>
      <c r="T774" s="1511"/>
      <c r="U774" s="1512"/>
      <c r="V774" s="1512"/>
      <c r="W774" s="1513"/>
      <c r="X774" s="1505"/>
      <c r="Y774" s="1506"/>
      <c r="Z774" s="1506"/>
      <c r="AA774" s="1506"/>
      <c r="AB774" s="1507"/>
      <c r="AC774" s="1346">
        <f t="shared" si="51"/>
        <v>0</v>
      </c>
      <c r="AD774" s="1347"/>
      <c r="AE774" s="1347"/>
      <c r="AF774" s="1347"/>
      <c r="AG774" s="1348"/>
      <c r="AH774" s="1564"/>
      <c r="AI774" s="1565"/>
      <c r="AJ774" s="1565"/>
      <c r="AK774" s="1565"/>
      <c r="AL774" s="156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9"/>
      <c r="K775" s="1340"/>
      <c r="L775" s="1340"/>
      <c r="M775" s="1340"/>
      <c r="N775" s="1341"/>
      <c r="O775" s="1563"/>
      <c r="P775" s="1563"/>
      <c r="Q775" s="1563"/>
      <c r="R775" s="1563"/>
      <c r="S775" s="1563"/>
      <c r="T775" s="1511"/>
      <c r="U775" s="1512"/>
      <c r="V775" s="1512"/>
      <c r="W775" s="1513"/>
      <c r="X775" s="1505"/>
      <c r="Y775" s="1506"/>
      <c r="Z775" s="1506"/>
      <c r="AA775" s="1506"/>
      <c r="AB775" s="1507"/>
      <c r="AC775" s="1346">
        <f t="shared" si="51"/>
        <v>0</v>
      </c>
      <c r="AD775" s="1347"/>
      <c r="AE775" s="1347"/>
      <c r="AF775" s="1347"/>
      <c r="AG775" s="1348"/>
      <c r="AH775" s="1564"/>
      <c r="AI775" s="1565"/>
      <c r="AJ775" s="1565"/>
      <c r="AK775" s="1565"/>
      <c r="AL775" s="156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9"/>
      <c r="K776" s="1340"/>
      <c r="L776" s="1340"/>
      <c r="M776" s="1340"/>
      <c r="N776" s="1341"/>
      <c r="O776" s="1563"/>
      <c r="P776" s="1563"/>
      <c r="Q776" s="1563"/>
      <c r="R776" s="1563"/>
      <c r="S776" s="1563"/>
      <c r="T776" s="1511"/>
      <c r="U776" s="1512"/>
      <c r="V776" s="1512"/>
      <c r="W776" s="1513"/>
      <c r="X776" s="1505"/>
      <c r="Y776" s="1506"/>
      <c r="Z776" s="1506"/>
      <c r="AA776" s="1506"/>
      <c r="AB776" s="1507"/>
      <c r="AC776" s="1346">
        <f t="shared" si="51"/>
        <v>0</v>
      </c>
      <c r="AD776" s="1347"/>
      <c r="AE776" s="1347"/>
      <c r="AF776" s="1347"/>
      <c r="AG776" s="1348"/>
      <c r="AH776" s="1564"/>
      <c r="AI776" s="1565"/>
      <c r="AJ776" s="1565"/>
      <c r="AK776" s="1565"/>
      <c r="AL776" s="156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9"/>
      <c r="K777" s="1340"/>
      <c r="L777" s="1340"/>
      <c r="M777" s="1340"/>
      <c r="N777" s="1341"/>
      <c r="O777" s="1563"/>
      <c r="P777" s="1563"/>
      <c r="Q777" s="1563"/>
      <c r="R777" s="1563"/>
      <c r="S777" s="1563"/>
      <c r="T777" s="1511"/>
      <c r="U777" s="1512"/>
      <c r="V777" s="1512"/>
      <c r="W777" s="1513"/>
      <c r="X777" s="1505"/>
      <c r="Y777" s="1506"/>
      <c r="Z777" s="1506"/>
      <c r="AA777" s="1506"/>
      <c r="AB777" s="1507"/>
      <c r="AC777" s="1346">
        <f t="shared" si="51"/>
        <v>0</v>
      </c>
      <c r="AD777" s="1347"/>
      <c r="AE777" s="1347"/>
      <c r="AF777" s="1347"/>
      <c r="AG777" s="1348"/>
      <c r="AH777" s="1564"/>
      <c r="AI777" s="1565"/>
      <c r="AJ777" s="1565"/>
      <c r="AK777" s="1565"/>
      <c r="AL777" s="156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9"/>
      <c r="K778" s="1340"/>
      <c r="L778" s="1340"/>
      <c r="M778" s="1340"/>
      <c r="N778" s="1341"/>
      <c r="O778" s="1563"/>
      <c r="P778" s="1563"/>
      <c r="Q778" s="1563"/>
      <c r="R778" s="1563"/>
      <c r="S778" s="1563"/>
      <c r="T778" s="1511"/>
      <c r="U778" s="1512"/>
      <c r="V778" s="1512"/>
      <c r="W778" s="1513"/>
      <c r="X778" s="1505"/>
      <c r="Y778" s="1506"/>
      <c r="Z778" s="1506"/>
      <c r="AA778" s="1506"/>
      <c r="AB778" s="1507"/>
      <c r="AC778" s="1346">
        <f t="shared" si="51"/>
        <v>0</v>
      </c>
      <c r="AD778" s="1347"/>
      <c r="AE778" s="1347"/>
      <c r="AF778" s="1347"/>
      <c r="AG778" s="1348"/>
      <c r="AH778" s="1564"/>
      <c r="AI778" s="1565"/>
      <c r="AJ778" s="1565"/>
      <c r="AK778" s="1565"/>
      <c r="AL778" s="156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9"/>
      <c r="K779" s="1340"/>
      <c r="L779" s="1340"/>
      <c r="M779" s="1340"/>
      <c r="N779" s="1341"/>
      <c r="O779" s="1563"/>
      <c r="P779" s="1563"/>
      <c r="Q779" s="1563"/>
      <c r="R779" s="1563"/>
      <c r="S779" s="1563"/>
      <c r="T779" s="1511"/>
      <c r="U779" s="1512"/>
      <c r="V779" s="1512"/>
      <c r="W779" s="1513"/>
      <c r="X779" s="1505"/>
      <c r="Y779" s="1506"/>
      <c r="Z779" s="1506"/>
      <c r="AA779" s="1506"/>
      <c r="AB779" s="1507"/>
      <c r="AC779" s="1346">
        <f t="shared" si="51"/>
        <v>0</v>
      </c>
      <c r="AD779" s="1347"/>
      <c r="AE779" s="1347"/>
      <c r="AF779" s="1347"/>
      <c r="AG779" s="1348"/>
      <c r="AH779" s="1564"/>
      <c r="AI779" s="1565"/>
      <c r="AJ779" s="1565"/>
      <c r="AK779" s="1565"/>
      <c r="AL779" s="156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9"/>
      <c r="K780" s="1340"/>
      <c r="L780" s="1340"/>
      <c r="M780" s="1340"/>
      <c r="N780" s="1341"/>
      <c r="O780" s="1563"/>
      <c r="P780" s="1563"/>
      <c r="Q780" s="1563"/>
      <c r="R780" s="1563"/>
      <c r="S780" s="1563"/>
      <c r="T780" s="1511"/>
      <c r="U780" s="1512"/>
      <c r="V780" s="1512"/>
      <c r="W780" s="1513"/>
      <c r="X780" s="1505"/>
      <c r="Y780" s="1506"/>
      <c r="Z780" s="1506"/>
      <c r="AA780" s="1506"/>
      <c r="AB780" s="1507"/>
      <c r="AC780" s="1346">
        <f t="shared" si="51"/>
        <v>0</v>
      </c>
      <c r="AD780" s="1347"/>
      <c r="AE780" s="1347"/>
      <c r="AF780" s="1347"/>
      <c r="AG780" s="1348"/>
      <c r="AH780" s="1564"/>
      <c r="AI780" s="1565"/>
      <c r="AJ780" s="1565"/>
      <c r="AK780" s="1565"/>
      <c r="AL780" s="156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9"/>
      <c r="K781" s="1340"/>
      <c r="L781" s="1340"/>
      <c r="M781" s="1340"/>
      <c r="N781" s="1341"/>
      <c r="O781" s="1563"/>
      <c r="P781" s="1563"/>
      <c r="Q781" s="1563"/>
      <c r="R781" s="1563"/>
      <c r="S781" s="1563"/>
      <c r="T781" s="1511"/>
      <c r="U781" s="1512"/>
      <c r="V781" s="1512"/>
      <c r="W781" s="1513"/>
      <c r="X781" s="1505"/>
      <c r="Y781" s="1506"/>
      <c r="Z781" s="1506"/>
      <c r="AA781" s="1506"/>
      <c r="AB781" s="1507"/>
      <c r="AC781" s="1346">
        <f t="shared" si="51"/>
        <v>0</v>
      </c>
      <c r="AD781" s="1347"/>
      <c r="AE781" s="1347"/>
      <c r="AF781" s="1347"/>
      <c r="AG781" s="1348"/>
      <c r="AH781" s="1564"/>
      <c r="AI781" s="1565"/>
      <c r="AJ781" s="1565"/>
      <c r="AK781" s="1565"/>
      <c r="AL781" s="156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0" t="s">
        <v>1581</v>
      </c>
      <c r="K782" s="1521"/>
      <c r="L782" s="1521"/>
      <c r="M782" s="1521"/>
      <c r="N782" s="1522"/>
      <c r="O782" s="1362">
        <f>SUM(O772:S781)</f>
        <v>0</v>
      </c>
      <c r="P782" s="1362"/>
      <c r="Q782" s="1362"/>
      <c r="R782" s="1362"/>
      <c r="S782" s="1362"/>
      <c r="X782" s="825" t="s">
        <v>1582</v>
      </c>
      <c r="Y782" s="11"/>
      <c r="Z782" s="11"/>
      <c r="AA782" s="11"/>
      <c r="AB782" s="832"/>
      <c r="AC782" s="1346">
        <f>SUM(AC772:AG781)</f>
        <v>0</v>
      </c>
      <c r="AD782" s="1347"/>
      <c r="AE782" s="1347"/>
      <c r="AF782" s="1347"/>
      <c r="AG782" s="134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1597</v>
      </c>
      <c r="Y784" s="1617">
        <f>O739+AC762+AC782</f>
        <v>117250</v>
      </c>
      <c r="Z784" s="1617"/>
      <c r="AA784" s="1617"/>
      <c r="AB784" s="1617"/>
      <c r="AC784" s="16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1598</v>
      </c>
      <c r="Y785" s="1617">
        <f>(O739+AC762+AC782)*12</f>
        <v>1407000</v>
      </c>
      <c r="Z785" s="1617"/>
      <c r="AA785" s="1617"/>
      <c r="AB785" s="1617"/>
      <c r="AC785" s="1617"/>
      <c r="AZ785" s="3"/>
      <c r="BA785" s="14" t="s">
        <v>1599</v>
      </c>
      <c r="BB785" s="14"/>
      <c r="BC785" s="14"/>
      <c r="BD785" s="14"/>
      <c r="BE785" s="14"/>
      <c r="BF785" s="14"/>
      <c r="BG785" s="14"/>
      <c r="BH785" s="14"/>
      <c r="BI785" s="14"/>
      <c r="BJ785" s="14"/>
      <c r="BK785" s="14"/>
      <c r="BL785" s="14"/>
      <c r="BM785" s="14"/>
      <c r="BN785" s="1614" t="s">
        <v>1600</v>
      </c>
      <c r="BO785" s="1615"/>
      <c r="BP785" s="3"/>
      <c r="BQ785" s="3"/>
      <c r="BR785" s="3"/>
      <c r="BS785" s="14" t="s">
        <v>1601</v>
      </c>
      <c r="BT785" s="14"/>
      <c r="BU785" s="14"/>
      <c r="BV785" s="14"/>
      <c r="BW785" s="14"/>
      <c r="BX785" s="14"/>
      <c r="BY785" s="14"/>
      <c r="BZ785" s="14"/>
      <c r="CA785" s="14"/>
      <c r="CB785" s="1611" t="str">
        <f>T189</f>
        <v>Santa Clara</v>
      </c>
      <c r="CC785" s="1612"/>
      <c r="CD785" s="1612"/>
      <c r="CE785" s="1612"/>
      <c r="CF785" s="1612"/>
      <c r="CG785" s="1612"/>
      <c r="CH785" s="161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1102</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1600</v>
      </c>
      <c r="BP787" s="28"/>
      <c r="BQ787" s="28"/>
      <c r="BR787" s="28"/>
      <c r="BS787" s="28"/>
      <c r="BT787" s="28"/>
    </row>
    <row r="788" spans="1:110" s="14" customFormat="1" ht="12.95" customHeight="1">
      <c r="A788" s="2"/>
      <c r="B788" s="2"/>
      <c r="C788" s="2" t="s">
        <v>1602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1603</v>
      </c>
      <c r="BO788" s="27" t="s">
        <v>1604</v>
      </c>
      <c r="BP788" s="28"/>
      <c r="BQ788" s="28"/>
      <c r="BR788" s="28"/>
      <c r="BS788" s="28"/>
      <c r="BT788" s="28"/>
      <c r="BV788" s="27" t="s">
        <v>1605</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1606</v>
      </c>
      <c r="I790" s="5"/>
      <c r="J790" s="5"/>
      <c r="K790" s="5"/>
      <c r="L790" s="5"/>
      <c r="M790" s="5"/>
      <c r="N790" s="5"/>
      <c r="O790" s="5"/>
      <c r="P790" s="5"/>
      <c r="Q790" s="5"/>
      <c r="R790" s="5"/>
      <c r="S790" s="5"/>
      <c r="T790" s="5"/>
      <c r="U790" s="5"/>
      <c r="V790" s="5"/>
      <c r="W790" s="5"/>
      <c r="X790" s="5"/>
      <c r="Y790" s="5"/>
      <c r="Z790" s="1528">
        <v>39</v>
      </c>
      <c r="AA790" s="1529"/>
      <c r="AB790" s="1529"/>
      <c r="AC790" s="1529"/>
      <c r="AD790" s="1529"/>
      <c r="AE790" s="1530"/>
      <c r="AF790"/>
      <c r="AG790"/>
      <c r="AH790"/>
      <c r="AI790"/>
      <c r="AJ790"/>
      <c r="AK790"/>
      <c r="AL790"/>
      <c r="AM790"/>
      <c r="AN790"/>
      <c r="AO790"/>
      <c r="AP790"/>
      <c r="AQ790"/>
      <c r="AR790"/>
      <c r="AS790"/>
      <c r="AT790"/>
      <c r="AU790"/>
      <c r="AV790"/>
      <c r="AW790"/>
      <c r="AX790"/>
      <c r="AY790"/>
      <c r="BN790" s="58" t="s">
        <v>1600</v>
      </c>
      <c r="BO790" s="27"/>
      <c r="BP790" s="28"/>
      <c r="BQ790" s="28"/>
      <c r="BR790" s="28"/>
      <c r="BS790" s="28"/>
      <c r="BT790" s="28"/>
      <c r="BV790" s="27"/>
    </row>
    <row r="791" spans="1:110" s="14" customFormat="1" ht="12.95" customHeight="1">
      <c r="A791"/>
      <c r="B791"/>
      <c r="C791"/>
      <c r="D791"/>
      <c r="E791"/>
      <c r="F791"/>
      <c r="G791"/>
      <c r="H791" s="38" t="s">
        <v>1607</v>
      </c>
      <c r="I791" s="5"/>
      <c r="J791" s="5"/>
      <c r="K791" s="5"/>
      <c r="L791" s="5"/>
      <c r="M791" s="5"/>
      <c r="N791" s="5"/>
      <c r="O791" s="5"/>
      <c r="P791" s="5"/>
      <c r="Q791" s="5"/>
      <c r="R791" s="5"/>
      <c r="S791" s="5"/>
      <c r="T791" s="5"/>
      <c r="U791" s="5"/>
      <c r="V791" s="5"/>
      <c r="W791" s="5"/>
      <c r="X791" s="5"/>
      <c r="Y791" s="5"/>
      <c r="Z791" s="1663">
        <v>20</v>
      </c>
      <c r="AA791" s="1529"/>
      <c r="AB791" s="1529"/>
      <c r="AC791" s="1529"/>
      <c r="AD791" s="1529"/>
      <c r="AE791" s="1530"/>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1608</v>
      </c>
      <c r="I792" s="5"/>
      <c r="J792" s="5"/>
      <c r="K792" s="5"/>
      <c r="L792" s="5"/>
      <c r="M792" s="5"/>
      <c r="N792" s="5"/>
      <c r="O792" s="5"/>
      <c r="P792" s="5"/>
      <c r="Q792" s="5"/>
      <c r="R792" s="5"/>
      <c r="S792" s="5"/>
      <c r="T792" s="5"/>
      <c r="U792" s="5"/>
      <c r="V792" s="5"/>
      <c r="W792" s="5"/>
      <c r="X792" s="5"/>
      <c r="Y792" s="5"/>
      <c r="Z792" s="1672">
        <v>53328</v>
      </c>
      <c r="AA792" s="1620"/>
      <c r="AB792" s="1620"/>
      <c r="AC792" s="1620"/>
      <c r="AD792" s="1620"/>
      <c r="AE792" s="1621"/>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1609</v>
      </c>
      <c r="Z793" s="1583">
        <f>'Subsidy Contract Calculation'!J30</f>
        <v>781536</v>
      </c>
      <c r="AA793" s="1584"/>
      <c r="AB793" s="1584"/>
      <c r="AC793" s="1584"/>
      <c r="AD793" s="1584"/>
      <c r="AE793" s="1585"/>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1514</v>
      </c>
      <c r="BQ794" s="1167" t="s">
        <v>1515</v>
      </c>
      <c r="BR794" s="1167" t="s">
        <v>1516</v>
      </c>
      <c r="BS794" s="1167" t="s">
        <v>1517</v>
      </c>
      <c r="BT794" s="1167" t="s">
        <v>1518</v>
      </c>
      <c r="BW794" s="1166" t="s">
        <v>1514</v>
      </c>
      <c r="BX794" s="1167" t="s">
        <v>1515</v>
      </c>
      <c r="BY794" s="1167" t="s">
        <v>1516</v>
      </c>
      <c r="BZ794" s="1167" t="s">
        <v>1517</v>
      </c>
      <c r="CA794" s="1167" t="s">
        <v>1518</v>
      </c>
    </row>
    <row r="795" spans="1:110" s="4" customFormat="1" ht="12.95" customHeight="1">
      <c r="A795" s="2" t="s">
        <v>1114</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928</v>
      </c>
      <c r="BP795" s="247">
        <v>473390</v>
      </c>
      <c r="BQ795" s="247">
        <v>545814</v>
      </c>
      <c r="BR795" s="247">
        <v>658400</v>
      </c>
      <c r="BS795" s="247">
        <v>842752</v>
      </c>
      <c r="BT795" s="247">
        <v>938878</v>
      </c>
      <c r="BU795" s="14"/>
      <c r="BV795" s="140" t="s">
        <v>928</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931</v>
      </c>
      <c r="BP796" s="245">
        <v>352022</v>
      </c>
      <c r="BQ796" s="245">
        <v>405878</v>
      </c>
      <c r="BR796" s="245">
        <v>489600</v>
      </c>
      <c r="BS796" s="245">
        <v>626688</v>
      </c>
      <c r="BT796" s="245">
        <v>698170</v>
      </c>
      <c r="BU796" s="14"/>
      <c r="BV796" s="140" t="s">
        <v>931</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1610</v>
      </c>
      <c r="I797" s="5"/>
      <c r="J797" s="5"/>
      <c r="K797" s="5"/>
      <c r="L797" s="5"/>
      <c r="M797" s="5"/>
      <c r="N797" s="5"/>
      <c r="O797" s="5"/>
      <c r="P797" s="5"/>
      <c r="Q797" s="5"/>
      <c r="R797" s="5"/>
      <c r="S797" s="5"/>
      <c r="T797" s="5"/>
      <c r="U797" s="5"/>
      <c r="V797" s="5"/>
      <c r="W797" s="5"/>
      <c r="X797" s="5"/>
      <c r="Y797" s="5"/>
      <c r="Z797" s="1576">
        <v>10200</v>
      </c>
      <c r="AA797" s="1515"/>
      <c r="AB797" s="1515"/>
      <c r="AC797" s="1515"/>
      <c r="AD797" s="1515"/>
      <c r="AE797" s="1526"/>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936</v>
      </c>
      <c r="BP797" s="247">
        <v>352022</v>
      </c>
      <c r="BQ797" s="247">
        <v>405878</v>
      </c>
      <c r="BR797" s="247">
        <v>489600</v>
      </c>
      <c r="BS797" s="247">
        <v>626688</v>
      </c>
      <c r="BT797" s="247">
        <v>698170</v>
      </c>
      <c r="BU797" s="14"/>
      <c r="BV797" s="140" t="s">
        <v>936</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1611</v>
      </c>
      <c r="I798" s="5"/>
      <c r="J798" s="5"/>
      <c r="K798" s="5"/>
      <c r="L798" s="5"/>
      <c r="M798" s="5"/>
      <c r="N798" s="5"/>
      <c r="O798" s="5"/>
      <c r="P798" s="5"/>
      <c r="Q798" s="5"/>
      <c r="R798" s="5"/>
      <c r="S798" s="5"/>
      <c r="T798" s="5"/>
      <c r="U798" s="5"/>
      <c r="V798" s="5"/>
      <c r="W798" s="5"/>
      <c r="X798" s="5"/>
      <c r="Y798" s="5"/>
      <c r="Z798" s="1514" t="s">
        <v>1612</v>
      </c>
      <c r="AA798" s="1515"/>
      <c r="AB798" s="1515"/>
      <c r="AC798" s="1515"/>
      <c r="AD798" s="1515"/>
      <c r="AE798" s="1526"/>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940</v>
      </c>
      <c r="BP798" s="245">
        <v>319236</v>
      </c>
      <c r="BQ798" s="245">
        <v>368076</v>
      </c>
      <c r="BR798" s="245">
        <v>444000</v>
      </c>
      <c r="BS798" s="245">
        <v>568320</v>
      </c>
      <c r="BT798" s="245">
        <v>633144</v>
      </c>
      <c r="BU798" s="14"/>
      <c r="BV798" s="140" t="s">
        <v>940</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1613</v>
      </c>
      <c r="I799" s="5"/>
      <c r="J799" s="5"/>
      <c r="K799" s="5"/>
      <c r="L799" s="5"/>
      <c r="M799" s="5"/>
      <c r="N799" s="5"/>
      <c r="O799" s="5"/>
      <c r="P799" s="5"/>
      <c r="Q799" s="5"/>
      <c r="R799" s="5"/>
      <c r="S799" s="5"/>
      <c r="T799" s="5"/>
      <c r="U799" s="5"/>
      <c r="V799" s="5"/>
      <c r="W799" s="5"/>
      <c r="X799" s="5"/>
      <c r="Y799" s="5"/>
      <c r="Z799" s="1514" t="s">
        <v>1612</v>
      </c>
      <c r="AA799" s="1515"/>
      <c r="AB799" s="1515"/>
      <c r="AC799" s="1515"/>
      <c r="AD799" s="1515"/>
      <c r="AE799" s="1526"/>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944</v>
      </c>
      <c r="BP799" s="247">
        <v>352022</v>
      </c>
      <c r="BQ799" s="247">
        <v>405878</v>
      </c>
      <c r="BR799" s="247">
        <v>489600</v>
      </c>
      <c r="BS799" s="247">
        <v>626688</v>
      </c>
      <c r="BT799" s="247">
        <v>698170</v>
      </c>
      <c r="BU799" s="14"/>
      <c r="BV799" s="140" t="s">
        <v>944</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1614</v>
      </c>
      <c r="I800" s="5"/>
      <c r="J800" s="5"/>
      <c r="K800" s="5"/>
      <c r="L800" s="5"/>
      <c r="M800" s="5"/>
      <c r="N800" s="5"/>
      <c r="O800" s="5"/>
      <c r="P800" s="1669" t="s">
        <v>1615</v>
      </c>
      <c r="Q800" s="1481"/>
      <c r="R800" s="1481"/>
      <c r="S800" s="1481"/>
      <c r="T800" s="1481"/>
      <c r="U800" s="1481"/>
      <c r="V800" s="1481"/>
      <c r="W800" s="1481"/>
      <c r="X800" s="1481"/>
      <c r="Y800" s="1482"/>
      <c r="Z800" s="1576">
        <v>1500</v>
      </c>
      <c r="AA800" s="1515"/>
      <c r="AB800" s="1515"/>
      <c r="AC800" s="1515"/>
      <c r="AD800" s="1515"/>
      <c r="AE800" s="1526"/>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947</v>
      </c>
      <c r="BP800" s="245">
        <v>352022</v>
      </c>
      <c r="BQ800" s="245">
        <v>405878</v>
      </c>
      <c r="BR800" s="245">
        <v>489600</v>
      </c>
      <c r="BS800" s="245">
        <v>626688</v>
      </c>
      <c r="BT800" s="245">
        <v>698170</v>
      </c>
      <c r="BU800" s="14"/>
      <c r="BV800" s="140" t="s">
        <v>947</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1616</v>
      </c>
      <c r="Z801" s="1583">
        <f>SUM(Z797:AE800)</f>
        <v>11700</v>
      </c>
      <c r="AA801" s="1584"/>
      <c r="AB801" s="1584"/>
      <c r="AC801" s="1584"/>
      <c r="AD801" s="1584"/>
      <c r="AE801" s="1585"/>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951</v>
      </c>
      <c r="BP801" s="247">
        <v>473390</v>
      </c>
      <c r="BQ801" s="247">
        <v>545814</v>
      </c>
      <c r="BR801" s="247">
        <v>658400</v>
      </c>
      <c r="BS801" s="247">
        <v>842752</v>
      </c>
      <c r="BT801" s="247">
        <v>938878</v>
      </c>
      <c r="BU801" s="14"/>
      <c r="BV801" s="140" t="s">
        <v>951</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1617</v>
      </c>
      <c r="Z802" s="1583">
        <f>Z801+Y785+Z793</f>
        <v>2200236</v>
      </c>
      <c r="AA802" s="1584"/>
      <c r="AB802" s="1584"/>
      <c r="AC802" s="1584"/>
      <c r="AD802" s="1584"/>
      <c r="AE802" s="1585"/>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954</v>
      </c>
      <c r="BP802" s="245">
        <v>352022</v>
      </c>
      <c r="BQ802" s="245">
        <v>405878</v>
      </c>
      <c r="BR802" s="245">
        <v>489600</v>
      </c>
      <c r="BS802" s="245">
        <v>626688</v>
      </c>
      <c r="BT802" s="245">
        <v>698170</v>
      </c>
      <c r="BU802" s="14"/>
      <c r="BV802" s="140" t="s">
        <v>954</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956</v>
      </c>
      <c r="BP803" s="247">
        <v>331890</v>
      </c>
      <c r="BQ803" s="247">
        <v>382666</v>
      </c>
      <c r="BR803" s="247">
        <v>461600</v>
      </c>
      <c r="BS803" s="247">
        <v>590848</v>
      </c>
      <c r="BT803" s="247">
        <v>658242</v>
      </c>
      <c r="BU803" s="14"/>
      <c r="BV803" s="140" t="s">
        <v>956</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1137</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958</v>
      </c>
      <c r="BP804" s="245">
        <v>307732</v>
      </c>
      <c r="BQ804" s="245">
        <v>354812</v>
      </c>
      <c r="BR804" s="245">
        <v>428000</v>
      </c>
      <c r="BS804" s="245">
        <v>547840</v>
      </c>
      <c r="BT804" s="245">
        <v>610328</v>
      </c>
      <c r="BU804" s="14"/>
      <c r="BV804" s="140" t="s">
        <v>958</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1618</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960</v>
      </c>
      <c r="BP805" s="247">
        <v>352022</v>
      </c>
      <c r="BQ805" s="247">
        <v>405878</v>
      </c>
      <c r="BR805" s="247">
        <v>489600</v>
      </c>
      <c r="BS805" s="247">
        <v>626688</v>
      </c>
      <c r="BT805" s="247">
        <v>698170</v>
      </c>
      <c r="BU805" s="14"/>
      <c r="BV805" s="140" t="s">
        <v>960</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962</v>
      </c>
      <c r="BP806" s="245">
        <v>352022</v>
      </c>
      <c r="BQ806" s="245">
        <v>405878</v>
      </c>
      <c r="BR806" s="245">
        <v>489600</v>
      </c>
      <c r="BS806" s="245">
        <v>626688</v>
      </c>
      <c r="BT806" s="245">
        <v>698170</v>
      </c>
      <c r="BU806" s="14"/>
      <c r="BV806" s="140" t="s">
        <v>962</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6" t="s">
        <v>1619</v>
      </c>
      <c r="N807" s="1466"/>
      <c r="O807" s="1466"/>
      <c r="P807" s="1685"/>
      <c r="Q807" s="1527" t="s">
        <v>1620</v>
      </c>
      <c r="R807" s="1527"/>
      <c r="S807" s="1527"/>
      <c r="T807" s="1527"/>
      <c r="U807" s="1527" t="s">
        <v>1621</v>
      </c>
      <c r="V807" s="1527"/>
      <c r="W807" s="1527"/>
      <c r="X807" s="1527"/>
      <c r="Y807" s="1527" t="s">
        <v>1622</v>
      </c>
      <c r="Z807" s="1527"/>
      <c r="AA807" s="1527"/>
      <c r="AB807" s="1527"/>
      <c r="AC807" s="1527" t="s">
        <v>1623</v>
      </c>
      <c r="AD807" s="1527"/>
      <c r="AE807" s="1527"/>
      <c r="AF807" s="1527"/>
      <c r="AG807" s="1662" t="s">
        <v>1624</v>
      </c>
      <c r="AH807" s="1662"/>
      <c r="AI807" s="1662"/>
      <c r="AJ807" s="1662"/>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965</v>
      </c>
      <c r="BP807" s="247">
        <v>314634</v>
      </c>
      <c r="BQ807" s="247">
        <v>362770</v>
      </c>
      <c r="BR807" s="247">
        <v>437600</v>
      </c>
      <c r="BS807" s="247">
        <v>560128</v>
      </c>
      <c r="BT807" s="247">
        <v>624018</v>
      </c>
      <c r="BU807" s="14"/>
      <c r="BV807" s="140" t="s">
        <v>965</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70"/>
      <c r="N808" s="1470"/>
      <c r="O808" s="1470"/>
      <c r="P808" s="1651"/>
      <c r="Q808" s="1527"/>
      <c r="R808" s="1527"/>
      <c r="S808" s="1527"/>
      <c r="T808" s="1527"/>
      <c r="U808" s="1527"/>
      <c r="V808" s="1527"/>
      <c r="W808" s="1527"/>
      <c r="X808" s="1527"/>
      <c r="Y808" s="1527"/>
      <c r="Z808" s="1527"/>
      <c r="AA808" s="1527"/>
      <c r="AB808" s="1527"/>
      <c r="AC808" s="1527"/>
      <c r="AD808" s="1527"/>
      <c r="AE808" s="1527"/>
      <c r="AF808" s="1527"/>
      <c r="AG808" s="1662"/>
      <c r="AH808" s="1662"/>
      <c r="AI808" s="1662"/>
      <c r="AJ808" s="1662"/>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967</v>
      </c>
      <c r="BP808" s="245">
        <v>352022</v>
      </c>
      <c r="BQ808" s="245">
        <v>405878</v>
      </c>
      <c r="BR808" s="245">
        <v>489600</v>
      </c>
      <c r="BS808" s="245">
        <v>626688</v>
      </c>
      <c r="BT808" s="245">
        <v>698170</v>
      </c>
      <c r="BU808" s="14"/>
      <c r="BV808" s="140" t="s">
        <v>967</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24" t="s">
        <v>1625</v>
      </c>
      <c r="D809" s="1306"/>
      <c r="E809" s="1306"/>
      <c r="F809" s="1306"/>
      <c r="G809" s="1306"/>
      <c r="H809" s="1306"/>
      <c r="I809" s="41"/>
      <c r="J809" s="41"/>
      <c r="K809" s="41"/>
      <c r="L809" s="42"/>
      <c r="M809" s="1576">
        <v>13</v>
      </c>
      <c r="N809" s="1515"/>
      <c r="O809" s="1515"/>
      <c r="P809" s="1516"/>
      <c r="Q809" s="1580">
        <v>15</v>
      </c>
      <c r="R809" s="1515"/>
      <c r="S809" s="1515"/>
      <c r="T809" s="1516"/>
      <c r="U809" s="1580">
        <v>19</v>
      </c>
      <c r="V809" s="1515"/>
      <c r="W809" s="1515"/>
      <c r="X809" s="1516"/>
      <c r="Y809" s="1580">
        <v>22</v>
      </c>
      <c r="Z809" s="1515"/>
      <c r="AA809" s="1515"/>
      <c r="AB809" s="1516"/>
      <c r="AC809" s="1515" t="s">
        <v>1612</v>
      </c>
      <c r="AD809" s="1515"/>
      <c r="AE809" s="1515"/>
      <c r="AF809" s="1526"/>
      <c r="AG809" s="1515" t="s">
        <v>1612</v>
      </c>
      <c r="AH809" s="1515"/>
      <c r="AI809" s="1515"/>
      <c r="AJ809" s="1526"/>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969</v>
      </c>
      <c r="BP809" s="247">
        <v>307732</v>
      </c>
      <c r="BQ809" s="247">
        <v>354812</v>
      </c>
      <c r="BR809" s="247">
        <v>428000</v>
      </c>
      <c r="BS809" s="247">
        <v>547840</v>
      </c>
      <c r="BT809" s="247">
        <v>610328</v>
      </c>
      <c r="BU809" s="14"/>
      <c r="BV809" s="140" t="s">
        <v>969</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8" t="s">
        <v>1626</v>
      </c>
      <c r="D810" s="1532"/>
      <c r="E810" s="1532"/>
      <c r="F810" s="1532"/>
      <c r="G810" s="1532"/>
      <c r="H810" s="1532"/>
      <c r="I810" s="5"/>
      <c r="J810" s="5"/>
      <c r="K810" s="5"/>
      <c r="L810" s="39"/>
      <c r="M810" s="1514" t="s">
        <v>1612</v>
      </c>
      <c r="N810" s="1515"/>
      <c r="O810" s="1515"/>
      <c r="P810" s="1516"/>
      <c r="Q810" s="1515" t="s">
        <v>1612</v>
      </c>
      <c r="R810" s="1515"/>
      <c r="S810" s="1515"/>
      <c r="T810" s="1516"/>
      <c r="U810" s="1515" t="s">
        <v>1612</v>
      </c>
      <c r="V810" s="1515"/>
      <c r="W810" s="1515"/>
      <c r="X810" s="1516"/>
      <c r="Y810" s="1515" t="s">
        <v>1612</v>
      </c>
      <c r="Z810" s="1515"/>
      <c r="AA810" s="1515"/>
      <c r="AB810" s="1516"/>
      <c r="AC810" s="1515" t="s">
        <v>1612</v>
      </c>
      <c r="AD810" s="1515"/>
      <c r="AE810" s="1515"/>
      <c r="AF810" s="1526"/>
      <c r="AG810" s="1515" t="s">
        <v>1612</v>
      </c>
      <c r="AH810" s="1515"/>
      <c r="AI810" s="1515"/>
      <c r="AJ810" s="1526"/>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972</v>
      </c>
      <c r="BP810" s="245">
        <v>307732</v>
      </c>
      <c r="BQ810" s="245">
        <v>354812</v>
      </c>
      <c r="BR810" s="245">
        <v>428000</v>
      </c>
      <c r="BS810" s="245">
        <v>547840</v>
      </c>
      <c r="BT810" s="245">
        <v>610328</v>
      </c>
      <c r="BU810" s="14"/>
      <c r="BV810" s="140" t="s">
        <v>972</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8" t="s">
        <v>1627</v>
      </c>
      <c r="D811" s="1532"/>
      <c r="E811" s="1532"/>
      <c r="F811" s="1532"/>
      <c r="G811" s="1532"/>
      <c r="H811" s="1532"/>
      <c r="I811" s="53"/>
      <c r="J811" s="53"/>
      <c r="K811" s="53"/>
      <c r="L811" s="54"/>
      <c r="M811" s="1576">
        <v>6</v>
      </c>
      <c r="N811" s="1515"/>
      <c r="O811" s="1515"/>
      <c r="P811" s="1516"/>
      <c r="Q811" s="1580">
        <v>7</v>
      </c>
      <c r="R811" s="1515"/>
      <c r="S811" s="1515"/>
      <c r="T811" s="1516"/>
      <c r="U811" s="1580">
        <v>11</v>
      </c>
      <c r="V811" s="1515"/>
      <c r="W811" s="1515"/>
      <c r="X811" s="1516"/>
      <c r="Y811" s="1580">
        <v>14</v>
      </c>
      <c r="Z811" s="1515"/>
      <c r="AA811" s="1515"/>
      <c r="AB811" s="1516"/>
      <c r="AC811" s="1515" t="s">
        <v>1612</v>
      </c>
      <c r="AD811" s="1515"/>
      <c r="AE811" s="1515"/>
      <c r="AF811" s="1526"/>
      <c r="AG811" s="1515" t="s">
        <v>1612</v>
      </c>
      <c r="AH811" s="1515"/>
      <c r="AI811" s="1515"/>
      <c r="AJ811" s="1526"/>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976</v>
      </c>
      <c r="BP811" s="247">
        <v>352022</v>
      </c>
      <c r="BQ811" s="247">
        <v>405878</v>
      </c>
      <c r="BR811" s="247">
        <v>489600</v>
      </c>
      <c r="BS811" s="247">
        <v>626688</v>
      </c>
      <c r="BT811" s="247">
        <v>698170</v>
      </c>
      <c r="BU811" s="14"/>
      <c r="BV811" s="140" t="s">
        <v>976</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8" t="s">
        <v>1628</v>
      </c>
      <c r="D812" s="1532"/>
      <c r="E812" s="1532"/>
      <c r="F812" s="1532"/>
      <c r="G812" s="1532"/>
      <c r="H812" s="1532"/>
      <c r="I812" s="53"/>
      <c r="J812" s="53"/>
      <c r="K812" s="53"/>
      <c r="L812" s="54"/>
      <c r="M812" s="1514" t="s">
        <v>1612</v>
      </c>
      <c r="N812" s="1515"/>
      <c r="O812" s="1515"/>
      <c r="P812" s="1516"/>
      <c r="Q812" s="1515" t="s">
        <v>1612</v>
      </c>
      <c r="R812" s="1515"/>
      <c r="S812" s="1515"/>
      <c r="T812" s="1516"/>
      <c r="U812" s="1515" t="s">
        <v>1612</v>
      </c>
      <c r="V812" s="1515"/>
      <c r="W812" s="1515"/>
      <c r="X812" s="1516"/>
      <c r="Y812" s="1515" t="s">
        <v>1612</v>
      </c>
      <c r="Z812" s="1515"/>
      <c r="AA812" s="1515"/>
      <c r="AB812" s="1516"/>
      <c r="AC812" s="1515" t="s">
        <v>1612</v>
      </c>
      <c r="AD812" s="1515"/>
      <c r="AE812" s="1515"/>
      <c r="AF812" s="1526"/>
      <c r="AG812" s="1515" t="s">
        <v>1612</v>
      </c>
      <c r="AH812" s="1515"/>
      <c r="AI812" s="1515"/>
      <c r="AJ812" s="1526"/>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980</v>
      </c>
      <c r="BP812" s="245">
        <v>352022</v>
      </c>
      <c r="BQ812" s="245">
        <v>405878</v>
      </c>
      <c r="BR812" s="245">
        <v>489600</v>
      </c>
      <c r="BS812" s="245">
        <v>626688</v>
      </c>
      <c r="BT812" s="245">
        <v>698170</v>
      </c>
      <c r="BU812" s="14"/>
      <c r="BV812" s="140" t="s">
        <v>980</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8" t="s">
        <v>1629</v>
      </c>
      <c r="D813" s="1532"/>
      <c r="E813" s="1532"/>
      <c r="F813" s="1532"/>
      <c r="G813" s="1532"/>
      <c r="H813" s="1532"/>
      <c r="I813" s="53"/>
      <c r="J813" s="53"/>
      <c r="K813" s="53"/>
      <c r="L813" s="54"/>
      <c r="M813" s="1576">
        <v>23</v>
      </c>
      <c r="N813" s="1515"/>
      <c r="O813" s="1515"/>
      <c r="P813" s="1516"/>
      <c r="Q813" s="1580">
        <v>27</v>
      </c>
      <c r="R813" s="1515"/>
      <c r="S813" s="1515"/>
      <c r="T813" s="1516"/>
      <c r="U813" s="1580">
        <v>38</v>
      </c>
      <c r="V813" s="1515"/>
      <c r="W813" s="1515"/>
      <c r="X813" s="1516"/>
      <c r="Y813" s="1580">
        <v>49</v>
      </c>
      <c r="Z813" s="1515"/>
      <c r="AA813" s="1515"/>
      <c r="AB813" s="1516"/>
      <c r="AC813" s="1515" t="s">
        <v>1612</v>
      </c>
      <c r="AD813" s="1515"/>
      <c r="AE813" s="1515"/>
      <c r="AF813" s="1526"/>
      <c r="AG813" s="1515" t="s">
        <v>1612</v>
      </c>
      <c r="AH813" s="1515"/>
      <c r="AI813" s="1515"/>
      <c r="AJ813" s="1526"/>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983</v>
      </c>
      <c r="BP813" s="247">
        <v>437727</v>
      </c>
      <c r="BQ813" s="247">
        <v>504695</v>
      </c>
      <c r="BR813" s="247">
        <v>608800</v>
      </c>
      <c r="BS813" s="247">
        <v>779264</v>
      </c>
      <c r="BT813" s="247">
        <v>868149</v>
      </c>
      <c r="BU813" s="14"/>
      <c r="BV813" s="140" t="s">
        <v>983</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31" t="s">
        <v>1630</v>
      </c>
      <c r="D814" s="1532"/>
      <c r="E814" s="1532"/>
      <c r="F814" s="1532"/>
      <c r="G814" s="1532"/>
      <c r="H814" s="1532"/>
      <c r="I814" s="53"/>
      <c r="J814" s="53"/>
      <c r="K814" s="53"/>
      <c r="L814" s="54"/>
      <c r="M814" s="1514" t="s">
        <v>1612</v>
      </c>
      <c r="N814" s="1515"/>
      <c r="O814" s="1515"/>
      <c r="P814" s="1516"/>
      <c r="Q814" s="1515" t="s">
        <v>1612</v>
      </c>
      <c r="R814" s="1515"/>
      <c r="S814" s="1515"/>
      <c r="T814" s="1516"/>
      <c r="U814" s="1515" t="s">
        <v>1612</v>
      </c>
      <c r="V814" s="1515"/>
      <c r="W814" s="1515"/>
      <c r="X814" s="1516"/>
      <c r="Y814" s="1515" t="s">
        <v>1612</v>
      </c>
      <c r="Z814" s="1515"/>
      <c r="AA814" s="1515"/>
      <c r="AB814" s="1516"/>
      <c r="AC814" s="1515" t="s">
        <v>1612</v>
      </c>
      <c r="AD814" s="1515"/>
      <c r="AE814" s="1515"/>
      <c r="AF814" s="1526"/>
      <c r="AG814" s="1515" t="s">
        <v>1612</v>
      </c>
      <c r="AH814" s="1515"/>
      <c r="AI814" s="1515"/>
      <c r="AJ814" s="1526"/>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989</v>
      </c>
      <c r="BP814" s="245">
        <v>307732</v>
      </c>
      <c r="BQ814" s="245">
        <v>354812</v>
      </c>
      <c r="BR814" s="245">
        <v>428000</v>
      </c>
      <c r="BS814" s="245">
        <v>547840</v>
      </c>
      <c r="BT814" s="245">
        <v>610328</v>
      </c>
      <c r="BU814" s="14"/>
      <c r="BV814" s="140" t="s">
        <v>989</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1631</v>
      </c>
      <c r="D815" s="53"/>
      <c r="E815" s="53"/>
      <c r="F815" s="1480" t="s">
        <v>1421</v>
      </c>
      <c r="G815" s="1481"/>
      <c r="H815" s="1481"/>
      <c r="I815" s="1481"/>
      <c r="J815" s="1481"/>
      <c r="K815" s="1481"/>
      <c r="L815" s="1481"/>
      <c r="M815" s="1514"/>
      <c r="N815" s="1515"/>
      <c r="O815" s="1515"/>
      <c r="P815" s="1516"/>
      <c r="Q815" s="1515"/>
      <c r="R815" s="1515"/>
      <c r="S815" s="1515"/>
      <c r="T815" s="1516"/>
      <c r="U815" s="1515"/>
      <c r="V815" s="1515"/>
      <c r="W815" s="1515"/>
      <c r="X815" s="1516"/>
      <c r="Y815" s="1515"/>
      <c r="Z815" s="1515"/>
      <c r="AA815" s="1515"/>
      <c r="AB815" s="1516"/>
      <c r="AC815" s="1515"/>
      <c r="AD815" s="1515"/>
      <c r="AE815" s="1515"/>
      <c r="AF815" s="1526"/>
      <c r="AG815" s="1515"/>
      <c r="AH815" s="1515"/>
      <c r="AI815" s="1515"/>
      <c r="AJ815" s="1526"/>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992</v>
      </c>
      <c r="BP815" s="247">
        <v>384234</v>
      </c>
      <c r="BQ815" s="247">
        <v>443018</v>
      </c>
      <c r="BR815" s="247">
        <v>534400</v>
      </c>
      <c r="BS815" s="247">
        <v>684032</v>
      </c>
      <c r="BT815" s="247">
        <v>762054</v>
      </c>
      <c r="BU815" s="14"/>
      <c r="BV815" s="140" t="s">
        <v>992</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20" t="s">
        <v>1582</v>
      </c>
      <c r="D816" s="1521"/>
      <c r="E816" s="1521"/>
      <c r="F816" s="1521"/>
      <c r="G816" s="1521"/>
      <c r="H816" s="1521"/>
      <c r="I816" s="1521"/>
      <c r="J816" s="1521"/>
      <c r="K816" s="1521"/>
      <c r="L816" s="1522"/>
      <c r="M816" s="1652">
        <f>SUM(M809:P815)</f>
        <v>42</v>
      </c>
      <c r="N816" s="1652"/>
      <c r="O816" s="1652"/>
      <c r="P816" s="1652"/>
      <c r="Q816" s="1652">
        <f>SUM(Q809:T815)</f>
        <v>49</v>
      </c>
      <c r="R816" s="1652"/>
      <c r="S816" s="1652"/>
      <c r="T816" s="1652"/>
      <c r="U816" s="1652">
        <f>SUM(U809:X815)</f>
        <v>68</v>
      </c>
      <c r="V816" s="1652"/>
      <c r="W816" s="1652"/>
      <c r="X816" s="1652"/>
      <c r="Y816" s="1652">
        <f>SUM(Y809:AB815)</f>
        <v>85</v>
      </c>
      <c r="Z816" s="1652"/>
      <c r="AA816" s="1652"/>
      <c r="AB816" s="1652"/>
      <c r="AC816" s="1652">
        <f>SUM(AC809:AF815)</f>
        <v>0</v>
      </c>
      <c r="AD816" s="1652"/>
      <c r="AE816" s="1652"/>
      <c r="AF816" s="1652"/>
      <c r="AG816" s="1652">
        <f>SUM(AG809:AJ815)</f>
        <v>0</v>
      </c>
      <c r="AH816" s="1652"/>
      <c r="AI816" s="1652"/>
      <c r="AJ816" s="165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995</v>
      </c>
      <c r="BP816" s="245">
        <v>352022</v>
      </c>
      <c r="BQ816" s="245">
        <v>405878</v>
      </c>
      <c r="BR816" s="245">
        <v>489600</v>
      </c>
      <c r="BS816" s="245">
        <v>626688</v>
      </c>
      <c r="BT816" s="245">
        <v>698170</v>
      </c>
      <c r="BU816" s="14"/>
      <c r="BV816" s="140" t="s">
        <v>995</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1632</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997</v>
      </c>
      <c r="BP817" s="247">
        <v>352022</v>
      </c>
      <c r="BQ817" s="247">
        <v>405878</v>
      </c>
      <c r="BR817" s="247">
        <v>489600</v>
      </c>
      <c r="BS817" s="247">
        <v>626688</v>
      </c>
      <c r="BT817" s="247">
        <v>698170</v>
      </c>
      <c r="BU817" s="14"/>
      <c r="BV817" s="140" t="s">
        <v>997</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1633</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1000</v>
      </c>
      <c r="BP818" s="245">
        <v>307732</v>
      </c>
      <c r="BQ818" s="245">
        <v>354812</v>
      </c>
      <c r="BR818" s="245">
        <v>428000</v>
      </c>
      <c r="BS818" s="245">
        <v>547840</v>
      </c>
      <c r="BT818" s="245">
        <v>610328</v>
      </c>
      <c r="BU818" s="14"/>
      <c r="BV818" s="140" t="s">
        <v>1000</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1003</v>
      </c>
      <c r="BP819" s="247">
        <v>352022</v>
      </c>
      <c r="BQ819" s="247">
        <v>405878</v>
      </c>
      <c r="BR819" s="247">
        <v>489600</v>
      </c>
      <c r="BS819" s="247">
        <v>626688</v>
      </c>
      <c r="BT819" s="247">
        <v>698170</v>
      </c>
      <c r="BU819" s="14"/>
      <c r="BV819" s="140" t="s">
        <v>1003</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1634</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1005</v>
      </c>
      <c r="BP820" s="245">
        <v>352022</v>
      </c>
      <c r="BQ820" s="245">
        <v>405878</v>
      </c>
      <c r="BR820" s="245">
        <v>489600</v>
      </c>
      <c r="BS820" s="245">
        <v>626688</v>
      </c>
      <c r="BT820" s="245">
        <v>698170</v>
      </c>
      <c r="BU820" s="14"/>
      <c r="BV820" s="140" t="s">
        <v>1005</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1636" t="s">
        <v>1717</v>
      </c>
      <c r="D821" s="1637"/>
      <c r="E821" s="1637"/>
      <c r="F821" s="1637"/>
      <c r="G821" s="1637"/>
      <c r="H821" s="1637"/>
      <c r="I821" s="1637"/>
      <c r="J821" s="1637"/>
      <c r="K821" s="1637"/>
      <c r="L821" s="1637"/>
      <c r="M821" s="1637"/>
      <c r="N821" s="1637"/>
      <c r="O821" s="1637"/>
      <c r="P821" s="1637"/>
      <c r="Q821" s="1637"/>
      <c r="R821" s="1637"/>
      <c r="S821" s="1637"/>
      <c r="T821" s="1637"/>
      <c r="U821" s="1637"/>
      <c r="V821" s="1637"/>
      <c r="W821" s="1637"/>
      <c r="X821" s="1637"/>
      <c r="Y821" s="1637"/>
      <c r="Z821" s="1637"/>
      <c r="AA821" s="1637"/>
      <c r="AB821" s="1637"/>
      <c r="AC821" s="1637"/>
      <c r="AD821" s="1637"/>
      <c r="AE821" s="1637"/>
      <c r="AF821" s="1637"/>
      <c r="AG821" s="1637"/>
      <c r="AH821" s="1637"/>
      <c r="AI821" s="1637"/>
      <c r="AJ821" s="163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1008</v>
      </c>
      <c r="BP821" s="247">
        <v>387110</v>
      </c>
      <c r="BQ821" s="247">
        <v>446334</v>
      </c>
      <c r="BR821" s="247">
        <v>538400</v>
      </c>
      <c r="BS821" s="247">
        <v>689152</v>
      </c>
      <c r="BT821" s="247">
        <v>767758</v>
      </c>
      <c r="BU821" s="14"/>
      <c r="BV821" s="140" t="s">
        <v>1008</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1635</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1012</v>
      </c>
      <c r="BP822" s="245">
        <v>384234</v>
      </c>
      <c r="BQ822" s="245">
        <v>443018</v>
      </c>
      <c r="BR822" s="245">
        <v>534400</v>
      </c>
      <c r="BS822" s="245">
        <v>684032</v>
      </c>
      <c r="BT822" s="245">
        <v>762054</v>
      </c>
      <c r="BU822" s="14"/>
      <c r="BV822" s="140" t="s">
        <v>1012</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1017</v>
      </c>
      <c r="BP823" s="247">
        <v>352022</v>
      </c>
      <c r="BQ823" s="247">
        <v>405878</v>
      </c>
      <c r="BR823" s="247">
        <v>489600</v>
      </c>
      <c r="BS823" s="247">
        <v>626688</v>
      </c>
      <c r="BT823" s="247">
        <v>698170</v>
      </c>
      <c r="BV823" s="140" t="s">
        <v>1017</v>
      </c>
      <c r="BW823" s="247">
        <v>352022</v>
      </c>
      <c r="BX823" s="247">
        <v>405878</v>
      </c>
      <c r="BY823" s="247">
        <v>489600</v>
      </c>
      <c r="BZ823" s="247">
        <v>626688</v>
      </c>
      <c r="CA823" s="247">
        <v>698170</v>
      </c>
    </row>
    <row r="824" spans="1:110" s="14" customFormat="1" ht="12.95" customHeight="1">
      <c r="A824" s="2" t="s">
        <v>1196</v>
      </c>
      <c r="B824"/>
      <c r="C824" s="2" t="s">
        <v>1636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1020</v>
      </c>
      <c r="BP824" s="245">
        <v>396888</v>
      </c>
      <c r="BQ824" s="245">
        <v>457608</v>
      </c>
      <c r="BR824" s="245">
        <v>552000</v>
      </c>
      <c r="BS824" s="245">
        <v>706560</v>
      </c>
      <c r="BT824" s="245">
        <v>787152</v>
      </c>
      <c r="BV824" s="140" t="s">
        <v>1020</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1022</v>
      </c>
      <c r="BP825" s="247">
        <v>331890</v>
      </c>
      <c r="BQ825" s="247">
        <v>382666</v>
      </c>
      <c r="BR825" s="247">
        <v>461600</v>
      </c>
      <c r="BS825" s="247">
        <v>590848</v>
      </c>
      <c r="BT825" s="247">
        <v>658242</v>
      </c>
      <c r="BV825" s="140" t="s">
        <v>1022</v>
      </c>
      <c r="BW825" s="247">
        <v>331890</v>
      </c>
      <c r="BX825" s="247">
        <v>382666</v>
      </c>
      <c r="BY825" s="247">
        <v>461600</v>
      </c>
      <c r="BZ825" s="247">
        <v>590848</v>
      </c>
      <c r="CA825" s="247">
        <v>658242</v>
      </c>
    </row>
    <row r="826" spans="1:110" s="14" customFormat="1" ht="12.95" customHeight="1">
      <c r="A826"/>
      <c r="B826"/>
      <c r="C826" s="2" t="s">
        <v>1637</v>
      </c>
      <c r="D826"/>
      <c r="E826"/>
      <c r="F826"/>
      <c r="G826"/>
      <c r="H826"/>
      <c r="I826"/>
      <c r="J826" s="38" t="s">
        <v>1638</v>
      </c>
      <c r="K826" s="5"/>
      <c r="L826" s="5"/>
      <c r="M826" s="5"/>
      <c r="N826" s="5"/>
      <c r="O826" s="5"/>
      <c r="P826" s="5"/>
      <c r="Q826" s="5"/>
      <c r="R826" s="5"/>
      <c r="S826" s="5"/>
      <c r="T826" s="5"/>
      <c r="U826" s="5"/>
      <c r="V826" s="39"/>
      <c r="W826" s="1374">
        <v>4250</v>
      </c>
      <c r="X826" s="1374"/>
      <c r="Y826" s="1374"/>
      <c r="Z826" s="1374"/>
      <c r="AA826" s="1374"/>
      <c r="AB826" s="1374"/>
      <c r="AC826" s="1374"/>
      <c r="AD826"/>
      <c r="AE826"/>
      <c r="AF826"/>
      <c r="AG826"/>
      <c r="AH826"/>
      <c r="AI826"/>
      <c r="AJ826"/>
      <c r="AK826"/>
      <c r="AL826"/>
      <c r="AM826"/>
      <c r="AN826"/>
      <c r="AO826"/>
      <c r="AP826"/>
      <c r="AQ826"/>
      <c r="AR826"/>
      <c r="AS826"/>
      <c r="AT826"/>
      <c r="AU826"/>
      <c r="AV826"/>
      <c r="AW826"/>
      <c r="AX826"/>
      <c r="AY826"/>
      <c r="AZ826" s="26"/>
      <c r="BA826" s="26"/>
      <c r="BO826" s="140" t="s">
        <v>1024</v>
      </c>
      <c r="BP826" s="245">
        <v>352022</v>
      </c>
      <c r="BQ826" s="245">
        <v>405878</v>
      </c>
      <c r="BR826" s="245">
        <v>489600</v>
      </c>
      <c r="BS826" s="245">
        <v>626688</v>
      </c>
      <c r="BT826" s="245">
        <v>698170</v>
      </c>
      <c r="BV826" s="140" t="s">
        <v>1024</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1639</v>
      </c>
      <c r="K827" s="5"/>
      <c r="L827" s="5"/>
      <c r="M827" s="5"/>
      <c r="N827" s="5"/>
      <c r="O827" s="5"/>
      <c r="P827" s="5"/>
      <c r="Q827" s="5"/>
      <c r="R827" s="5"/>
      <c r="S827" s="5"/>
      <c r="T827" s="5"/>
      <c r="U827" s="5"/>
      <c r="V827" s="39"/>
      <c r="W827" s="1374">
        <v>0</v>
      </c>
      <c r="X827" s="1374"/>
      <c r="Y827" s="1374"/>
      <c r="Z827" s="1374"/>
      <c r="AA827" s="1374"/>
      <c r="AB827" s="1374"/>
      <c r="AC827" s="1374"/>
      <c r="AD827"/>
      <c r="AE827"/>
      <c r="AF827"/>
      <c r="AG827"/>
      <c r="AH827"/>
      <c r="AI827"/>
      <c r="AJ827"/>
      <c r="AK827"/>
      <c r="AL827"/>
      <c r="AM827"/>
      <c r="AN827"/>
      <c r="AO827"/>
      <c r="AP827"/>
      <c r="AQ827"/>
      <c r="AR827"/>
      <c r="AS827"/>
      <c r="AT827"/>
      <c r="AU827"/>
      <c r="AV827"/>
      <c r="AW827"/>
      <c r="AX827"/>
      <c r="AY827"/>
      <c r="BO827" s="140" t="s">
        <v>1029</v>
      </c>
      <c r="BP827" s="247">
        <v>314634</v>
      </c>
      <c r="BQ827" s="247">
        <v>362770</v>
      </c>
      <c r="BR827" s="247">
        <v>437600</v>
      </c>
      <c r="BS827" s="247">
        <v>560128</v>
      </c>
      <c r="BT827" s="247">
        <v>624018</v>
      </c>
      <c r="BV827" s="140" t="s">
        <v>1029</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1640</v>
      </c>
      <c r="K828" s="5"/>
      <c r="L828" s="5"/>
      <c r="M828" s="5"/>
      <c r="N828" s="5"/>
      <c r="O828" s="5"/>
      <c r="P828" s="5"/>
      <c r="Q828" s="5"/>
      <c r="R828" s="5"/>
      <c r="S828" s="5"/>
      <c r="T828" s="5"/>
      <c r="U828" s="5"/>
      <c r="V828" s="39"/>
      <c r="W828" s="1374">
        <v>26917</v>
      </c>
      <c r="X828" s="1374"/>
      <c r="Y828" s="1374"/>
      <c r="Z828" s="1374"/>
      <c r="AA828" s="1374"/>
      <c r="AB828" s="1374"/>
      <c r="AC828" s="1374"/>
      <c r="AD828"/>
      <c r="AE828"/>
      <c r="AF828"/>
      <c r="AG828"/>
      <c r="AH828"/>
      <c r="AI828"/>
      <c r="AJ828"/>
      <c r="AK828"/>
      <c r="AL828"/>
      <c r="AM828"/>
      <c r="AN828"/>
      <c r="AO828"/>
      <c r="AP828"/>
      <c r="AQ828"/>
      <c r="AR828"/>
      <c r="AS828"/>
      <c r="AT828"/>
      <c r="AU828"/>
      <c r="AV828"/>
      <c r="AW828"/>
      <c r="AX828"/>
      <c r="AY828"/>
      <c r="BO828" s="140" t="s">
        <v>1034</v>
      </c>
      <c r="BP828" s="245">
        <v>331890</v>
      </c>
      <c r="BQ828" s="245">
        <v>382666</v>
      </c>
      <c r="BR828" s="245">
        <v>461600</v>
      </c>
      <c r="BS828" s="245">
        <v>590848</v>
      </c>
      <c r="BT828" s="245">
        <v>658242</v>
      </c>
      <c r="BV828" s="140" t="s">
        <v>1034</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1641</v>
      </c>
      <c r="K829" s="5"/>
      <c r="L829" s="5"/>
      <c r="M829" s="5"/>
      <c r="N829" s="5"/>
      <c r="O829" s="5"/>
      <c r="P829" s="5"/>
      <c r="Q829" s="5"/>
      <c r="R829" s="5"/>
      <c r="S829" s="5"/>
      <c r="T829" s="5"/>
      <c r="U829" s="5"/>
      <c r="V829" s="39"/>
      <c r="W829" s="1374">
        <v>13260</v>
      </c>
      <c r="X829" s="1374"/>
      <c r="Y829" s="1374"/>
      <c r="Z829" s="1374"/>
      <c r="AA829" s="1374"/>
      <c r="AB829" s="1374"/>
      <c r="AC829" s="1374"/>
      <c r="AD829"/>
      <c r="AE829"/>
      <c r="AF829"/>
      <c r="AG829"/>
      <c r="AH829"/>
      <c r="AI829"/>
      <c r="AJ829"/>
      <c r="AK829"/>
      <c r="AL829"/>
      <c r="AM829"/>
      <c r="AN829"/>
      <c r="AO829"/>
      <c r="AP829"/>
      <c r="AQ829"/>
      <c r="AR829"/>
      <c r="AS829"/>
      <c r="AT829"/>
      <c r="AU829"/>
      <c r="AV829"/>
      <c r="AW829"/>
      <c r="AX829"/>
      <c r="AY829"/>
      <c r="BO829" s="140" t="s">
        <v>1039</v>
      </c>
      <c r="BP829" s="247">
        <v>352022</v>
      </c>
      <c r="BQ829" s="247">
        <v>405878</v>
      </c>
      <c r="BR829" s="247">
        <v>489600</v>
      </c>
      <c r="BS829" s="247">
        <v>626688</v>
      </c>
      <c r="BT829" s="247">
        <v>698170</v>
      </c>
      <c r="BV829" s="140" t="s">
        <v>1039</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80" t="s">
        <v>1642</v>
      </c>
      <c r="N830" s="1481"/>
      <c r="O830" s="1481"/>
      <c r="P830" s="1481"/>
      <c r="Q830" s="1481"/>
      <c r="R830" s="1481"/>
      <c r="S830" s="1481"/>
      <c r="T830" s="1481"/>
      <c r="U830" s="1481"/>
      <c r="V830" s="1482"/>
      <c r="W830" s="1374">
        <v>34000</v>
      </c>
      <c r="X830" s="1374"/>
      <c r="Y830" s="1374"/>
      <c r="Z830" s="1374"/>
      <c r="AA830" s="1374"/>
      <c r="AB830" s="1374"/>
      <c r="AC830" s="1374"/>
      <c r="AD830"/>
      <c r="AE830"/>
      <c r="AF830"/>
      <c r="AG830"/>
      <c r="AH830"/>
      <c r="AI830"/>
      <c r="AJ830"/>
      <c r="AK830"/>
      <c r="AL830"/>
      <c r="AM830"/>
      <c r="AN830"/>
      <c r="AO830"/>
      <c r="AP830"/>
      <c r="AQ830"/>
      <c r="AR830"/>
      <c r="AS830"/>
      <c r="AT830"/>
      <c r="AU830"/>
      <c r="AV830"/>
      <c r="AW830"/>
      <c r="AX830"/>
      <c r="AY830"/>
      <c r="BI830" s="1575">
        <f>ROUNDDOWN(BC918*2,2)</f>
        <v>0</v>
      </c>
      <c r="BJ830" s="1575"/>
      <c r="BK830" s="1575"/>
      <c r="BL830" s="1575"/>
      <c r="BO830" s="140" t="s">
        <v>1043</v>
      </c>
      <c r="BP830" s="245">
        <v>314634</v>
      </c>
      <c r="BQ830" s="245">
        <v>362770</v>
      </c>
      <c r="BR830" s="245">
        <v>437600</v>
      </c>
      <c r="BS830" s="245">
        <v>560128</v>
      </c>
      <c r="BT830" s="245">
        <v>624018</v>
      </c>
      <c r="BV830" s="140" t="s">
        <v>1043</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1643</v>
      </c>
      <c r="W831" s="1583">
        <f>SUM(W826:AC830)</f>
        <v>78427</v>
      </c>
      <c r="X831" s="1584"/>
      <c r="Y831" s="1584"/>
      <c r="Z831" s="1584"/>
      <c r="AA831" s="1584"/>
      <c r="AB831" s="1584"/>
      <c r="AC831" s="1585"/>
      <c r="AD831"/>
      <c r="AE831"/>
      <c r="AF831"/>
      <c r="AG831"/>
      <c r="AH831"/>
      <c r="AI831"/>
      <c r="AJ831"/>
      <c r="AK831"/>
      <c r="AL831"/>
      <c r="AM831"/>
      <c r="AN831"/>
      <c r="AO831"/>
      <c r="AP831"/>
      <c r="AQ831"/>
      <c r="AR831"/>
      <c r="AS831"/>
      <c r="AT831"/>
      <c r="AU831"/>
      <c r="AV831"/>
      <c r="AW831"/>
      <c r="AX831"/>
      <c r="AY831"/>
      <c r="AZ831" s="26"/>
      <c r="BA831" s="26"/>
      <c r="BO831" s="140" t="s">
        <v>1049</v>
      </c>
      <c r="BP831" s="247">
        <v>353173</v>
      </c>
      <c r="BQ831" s="247">
        <v>407205</v>
      </c>
      <c r="BR831" s="247">
        <v>491200</v>
      </c>
      <c r="BS831" s="247">
        <v>628736</v>
      </c>
      <c r="BT831" s="247">
        <v>700451</v>
      </c>
      <c r="BV831" s="140" t="s">
        <v>1049</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1054</v>
      </c>
      <c r="BP832" s="245">
        <v>689665</v>
      </c>
      <c r="BQ832" s="245">
        <v>795177</v>
      </c>
      <c r="BR832" s="245">
        <v>959200</v>
      </c>
      <c r="BS832" s="245">
        <v>1227776</v>
      </c>
      <c r="BT832" s="245">
        <v>1367819</v>
      </c>
      <c r="BV832" s="140" t="s">
        <v>1054</v>
      </c>
      <c r="BW832" s="245">
        <v>689665</v>
      </c>
      <c r="BX832" s="245">
        <v>795177</v>
      </c>
      <c r="BY832" s="245">
        <v>959200</v>
      </c>
      <c r="BZ832" s="245">
        <v>1227776</v>
      </c>
      <c r="CA832" s="245">
        <v>1367819</v>
      </c>
    </row>
    <row r="833" spans="1:110" s="14" customFormat="1" ht="12.95" customHeight="1">
      <c r="A833"/>
      <c r="B833"/>
      <c r="C833" s="2" t="s">
        <v>1644</v>
      </c>
      <c r="D833"/>
      <c r="E833"/>
      <c r="F833"/>
      <c r="G833"/>
      <c r="H833"/>
      <c r="I833"/>
      <c r="J833" s="1520" t="s">
        <v>1645</v>
      </c>
      <c r="K833" s="1521"/>
      <c r="L833" s="1521"/>
      <c r="M833" s="1521"/>
      <c r="N833" s="1521"/>
      <c r="O833" s="1521"/>
      <c r="P833" s="1521"/>
      <c r="Q833" s="1521"/>
      <c r="R833" s="1521"/>
      <c r="S833" s="1521"/>
      <c r="T833" s="1521"/>
      <c r="U833" s="1521"/>
      <c r="V833" s="1522"/>
      <c r="W833" s="1371">
        <v>61200</v>
      </c>
      <c r="X833" s="1372"/>
      <c r="Y833" s="1372"/>
      <c r="Z833" s="1372"/>
      <c r="AA833" s="1372"/>
      <c r="AB833" s="1372"/>
      <c r="AC833" s="1373"/>
      <c r="AD833" s="458"/>
      <c r="AE833"/>
      <c r="AF833"/>
      <c r="AG833"/>
      <c r="AH833"/>
      <c r="AI833"/>
      <c r="AJ833"/>
      <c r="AK833"/>
      <c r="AL833"/>
      <c r="AM833"/>
      <c r="AN833"/>
      <c r="AO833"/>
      <c r="AP833"/>
      <c r="AQ833"/>
      <c r="AR833"/>
      <c r="AS833"/>
      <c r="AT833"/>
      <c r="AU833"/>
      <c r="AV833"/>
      <c r="AW833"/>
      <c r="AX833"/>
      <c r="AY833"/>
      <c r="AZ833" s="26"/>
      <c r="BA833" s="26"/>
      <c r="BO833" s="140" t="s">
        <v>1059</v>
      </c>
      <c r="BP833" s="247">
        <v>307732</v>
      </c>
      <c r="BQ833" s="247">
        <v>354812</v>
      </c>
      <c r="BR833" s="247">
        <v>428000</v>
      </c>
      <c r="BS833" s="247">
        <v>547840</v>
      </c>
      <c r="BT833" s="247">
        <v>610328</v>
      </c>
      <c r="BV833" s="140" t="s">
        <v>1059</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1063</v>
      </c>
      <c r="BP834" s="245">
        <v>387110</v>
      </c>
      <c r="BQ834" s="245">
        <v>446334</v>
      </c>
      <c r="BR834" s="245">
        <v>538400</v>
      </c>
      <c r="BS834" s="245">
        <v>689152</v>
      </c>
      <c r="BT834" s="245">
        <v>767758</v>
      </c>
      <c r="BV834" s="140" t="s">
        <v>1063</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1646</v>
      </c>
      <c r="K835" s="5"/>
      <c r="L835" s="5"/>
      <c r="M835" s="5"/>
      <c r="N835" s="5"/>
      <c r="O835" s="5"/>
      <c r="P835" s="5"/>
      <c r="Q835" s="5"/>
      <c r="R835" s="5"/>
      <c r="S835" s="5"/>
      <c r="T835" s="5"/>
      <c r="U835" s="5"/>
      <c r="V835" s="39"/>
      <c r="W835" s="1645">
        <v>0</v>
      </c>
      <c r="X835" s="1645"/>
      <c r="Y835" s="1645"/>
      <c r="Z835" s="1645"/>
      <c r="AA835" s="1645"/>
      <c r="AB835" s="1645"/>
      <c r="AC835" s="1645"/>
      <c r="AD835"/>
      <c r="AE835"/>
      <c r="AF835"/>
      <c r="AG835"/>
      <c r="AH835"/>
      <c r="AI835"/>
      <c r="AJ835"/>
      <c r="AK835"/>
      <c r="AL835"/>
      <c r="AM835"/>
      <c r="AN835"/>
      <c r="AO835"/>
      <c r="AP835"/>
      <c r="AQ835"/>
      <c r="AR835"/>
      <c r="AS835"/>
      <c r="AT835"/>
      <c r="AU835"/>
      <c r="AV835"/>
      <c r="AW835"/>
      <c r="AX835"/>
      <c r="AY835"/>
      <c r="AZ835" s="26">
        <f>IF(AJ994&gt;1,0.05,0)</f>
        <v>0.05</v>
      </c>
      <c r="BA835" s="26"/>
      <c r="BO835" s="140" t="s">
        <v>1066</v>
      </c>
      <c r="BP835" s="246">
        <v>532060</v>
      </c>
      <c r="BQ835" s="246">
        <v>613460</v>
      </c>
      <c r="BR835" s="247">
        <v>740000</v>
      </c>
      <c r="BS835" s="246">
        <v>947200</v>
      </c>
      <c r="BT835" s="246">
        <v>1055240</v>
      </c>
      <c r="BV835" s="140" t="s">
        <v>1066</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1647</v>
      </c>
      <c r="K836" s="5"/>
      <c r="L836" s="5"/>
      <c r="M836" s="5"/>
      <c r="N836" s="5"/>
      <c r="O836" s="5"/>
      <c r="P836" s="5"/>
      <c r="Q836" s="5"/>
      <c r="R836" s="5"/>
      <c r="S836" s="5"/>
      <c r="T836" s="5"/>
      <c r="U836" s="5"/>
      <c r="V836" s="39"/>
      <c r="W836" s="1645">
        <v>0</v>
      </c>
      <c r="X836" s="1645"/>
      <c r="Y836" s="1645"/>
      <c r="Z836" s="1645"/>
      <c r="AA836" s="1645"/>
      <c r="AB836" s="1645"/>
      <c r="AC836" s="1645"/>
      <c r="AD836"/>
      <c r="AE836"/>
      <c r="AF836"/>
      <c r="AG836"/>
      <c r="AH836"/>
      <c r="AI836"/>
      <c r="AJ836"/>
      <c r="AK836"/>
      <c r="AL836"/>
      <c r="AM836"/>
      <c r="AN836"/>
      <c r="AO836"/>
      <c r="AP836"/>
      <c r="AQ836"/>
      <c r="AR836"/>
      <c r="AS836"/>
      <c r="AT836"/>
      <c r="AU836"/>
      <c r="AV836"/>
      <c r="AW836"/>
      <c r="AX836"/>
      <c r="AY836"/>
      <c r="AZ836" s="26"/>
      <c r="BA836" s="26"/>
      <c r="BO836" s="140" t="s">
        <v>1070</v>
      </c>
      <c r="BP836" s="245">
        <v>387110</v>
      </c>
      <c r="BQ836" s="245">
        <v>446334</v>
      </c>
      <c r="BR836" s="245">
        <v>538400</v>
      </c>
      <c r="BS836" s="245">
        <v>689152</v>
      </c>
      <c r="BT836" s="245">
        <v>767758</v>
      </c>
      <c r="BV836" s="140" t="s">
        <v>1070</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1629</v>
      </c>
      <c r="K837" s="5"/>
      <c r="L837" s="5"/>
      <c r="M837" s="5"/>
      <c r="N837" s="5"/>
      <c r="O837" s="5"/>
      <c r="P837" s="5"/>
      <c r="Q837" s="5"/>
      <c r="R837" s="5"/>
      <c r="S837" s="5"/>
      <c r="T837" s="5"/>
      <c r="U837" s="5"/>
      <c r="V837" s="39"/>
      <c r="W837" s="1645">
        <v>34000</v>
      </c>
      <c r="X837" s="1645"/>
      <c r="Y837" s="1645"/>
      <c r="Z837" s="1645"/>
      <c r="AA837" s="1645"/>
      <c r="AB837" s="1645"/>
      <c r="AC837" s="1645"/>
      <c r="AD837"/>
      <c r="AE837"/>
      <c r="AF837"/>
      <c r="AG837"/>
      <c r="AH837"/>
      <c r="AI837"/>
      <c r="AJ837"/>
      <c r="AK837"/>
      <c r="AL837"/>
      <c r="AM837"/>
      <c r="AN837"/>
      <c r="AO837"/>
      <c r="AP837"/>
      <c r="AQ837"/>
      <c r="AR837"/>
      <c r="AS837"/>
      <c r="AT837"/>
      <c r="AU837"/>
      <c r="AV837"/>
      <c r="AW837"/>
      <c r="AX837"/>
      <c r="AY837"/>
      <c r="AZ837" s="26"/>
      <c r="BA837" s="26"/>
      <c r="BG837" s="1589"/>
      <c r="BH837" s="1589"/>
      <c r="BI837" s="1589"/>
      <c r="BJ837" s="1589"/>
      <c r="BK837" s="1589"/>
      <c r="BL837" s="1589"/>
      <c r="BO837" s="140" t="s">
        <v>1074</v>
      </c>
      <c r="BP837" s="246">
        <v>532060</v>
      </c>
      <c r="BQ837" s="246">
        <v>613460</v>
      </c>
      <c r="BR837" s="246">
        <v>740000</v>
      </c>
      <c r="BS837" s="246">
        <v>947200</v>
      </c>
      <c r="BT837" s="246">
        <v>1055240</v>
      </c>
      <c r="BV837" s="140" t="s">
        <v>1074</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1648</v>
      </c>
      <c r="K838" s="5"/>
      <c r="L838" s="5"/>
      <c r="M838" s="5"/>
      <c r="N838" s="5"/>
      <c r="O838" s="5"/>
      <c r="P838" s="5"/>
      <c r="Q838" s="5"/>
      <c r="R838" s="5"/>
      <c r="S838" s="5"/>
      <c r="T838" s="5"/>
      <c r="U838" s="5"/>
      <c r="V838" s="39"/>
      <c r="W838" s="1645">
        <v>97852</v>
      </c>
      <c r="X838" s="1645"/>
      <c r="Y838" s="1645"/>
      <c r="Z838" s="1645"/>
      <c r="AA838" s="1645"/>
      <c r="AB838" s="1645"/>
      <c r="AC838" s="164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1078</v>
      </c>
      <c r="BP838" s="245">
        <v>387110</v>
      </c>
      <c r="BQ838" s="245">
        <v>446334</v>
      </c>
      <c r="BR838" s="245">
        <v>538400</v>
      </c>
      <c r="BS838" s="245">
        <v>689152</v>
      </c>
      <c r="BT838" s="245">
        <v>767758</v>
      </c>
      <c r="BV838" s="140" t="s">
        <v>1078</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1649</v>
      </c>
      <c r="W839" s="1660">
        <f>SUM(W835:AC838)</f>
        <v>131852</v>
      </c>
      <c r="X839" s="1660"/>
      <c r="Y839" s="1660"/>
      <c r="Z839" s="1660"/>
      <c r="AA839" s="1660"/>
      <c r="AB839" s="1660"/>
      <c r="AC839" s="1660"/>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1081</v>
      </c>
      <c r="BP839" s="247">
        <v>319236</v>
      </c>
      <c r="BQ839" s="247">
        <v>368076</v>
      </c>
      <c r="BR839" s="247">
        <v>444000</v>
      </c>
      <c r="BS839" s="247">
        <v>568320</v>
      </c>
      <c r="BT839" s="247">
        <v>633144</v>
      </c>
      <c r="BV839" s="140" t="s">
        <v>1081</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6">
        <f>SUM(AZ807:AZ835)</f>
        <v>7.5000000000000011E-2</v>
      </c>
      <c r="BA840" s="1656"/>
      <c r="BO840" s="140" t="s">
        <v>1086</v>
      </c>
      <c r="BP840" s="245">
        <v>352022</v>
      </c>
      <c r="BQ840" s="245">
        <v>405878</v>
      </c>
      <c r="BR840" s="245">
        <v>489600</v>
      </c>
      <c r="BS840" s="245">
        <v>626688</v>
      </c>
      <c r="BT840" s="245">
        <v>698170</v>
      </c>
      <c r="BV840" s="140" t="s">
        <v>1086</v>
      </c>
      <c r="BW840" s="245">
        <v>352022</v>
      </c>
      <c r="BX840" s="245">
        <v>405878</v>
      </c>
      <c r="BY840" s="245">
        <v>489600</v>
      </c>
      <c r="BZ840" s="245">
        <v>626688</v>
      </c>
      <c r="CA840" s="245">
        <v>698170</v>
      </c>
    </row>
    <row r="841" spans="1:110" s="14" customFormat="1" ht="12.95" customHeight="1">
      <c r="A841"/>
      <c r="B841"/>
      <c r="C841" s="2" t="s">
        <v>1650</v>
      </c>
      <c r="D841"/>
      <c r="E841"/>
      <c r="F841"/>
      <c r="G841"/>
      <c r="H841"/>
      <c r="I841"/>
      <c r="J841" s="38" t="s">
        <v>1651</v>
      </c>
      <c r="K841" s="5"/>
      <c r="L841" s="5"/>
      <c r="M841" s="5"/>
      <c r="N841" s="5"/>
      <c r="O841" s="5"/>
      <c r="P841" s="5"/>
      <c r="Q841" s="5"/>
      <c r="R841" s="5"/>
      <c r="S841" s="5"/>
      <c r="T841" s="5"/>
      <c r="U841" s="5"/>
      <c r="V841" s="39"/>
      <c r="W841" s="1586">
        <v>122000</v>
      </c>
      <c r="X841" s="1587"/>
      <c r="Y841" s="1587"/>
      <c r="Z841" s="1587"/>
      <c r="AA841" s="1587"/>
      <c r="AB841" s="1587"/>
      <c r="AC841" s="1588"/>
      <c r="AD841" s="453"/>
      <c r="AE841"/>
      <c r="AF841"/>
      <c r="AG841"/>
      <c r="AH841"/>
      <c r="AI841"/>
      <c r="AJ841"/>
      <c r="AK841"/>
      <c r="AL841"/>
      <c r="AM841"/>
      <c r="AN841"/>
      <c r="AO841"/>
      <c r="AP841"/>
      <c r="AQ841"/>
      <c r="AR841"/>
      <c r="AS841"/>
      <c r="AT841"/>
      <c r="AU841"/>
      <c r="AV841"/>
      <c r="AW841"/>
      <c r="AX841"/>
      <c r="AY841"/>
      <c r="AZ841" s="26"/>
      <c r="BA841" s="26"/>
      <c r="BO841" s="140" t="s">
        <v>1091</v>
      </c>
      <c r="BP841" s="247">
        <v>352022</v>
      </c>
      <c r="BQ841" s="247">
        <v>405878</v>
      </c>
      <c r="BR841" s="247">
        <v>489600</v>
      </c>
      <c r="BS841" s="247">
        <v>626688</v>
      </c>
      <c r="BT841" s="247">
        <v>698170</v>
      </c>
      <c r="BV841" s="140" t="s">
        <v>1091</v>
      </c>
      <c r="BW841" s="247">
        <v>352022</v>
      </c>
      <c r="BX841" s="247">
        <v>405878</v>
      </c>
      <c r="BY841" s="247">
        <v>489600</v>
      </c>
      <c r="BZ841" s="247">
        <v>626688</v>
      </c>
      <c r="CA841" s="247">
        <v>698170</v>
      </c>
    </row>
    <row r="842" spans="1:110" s="14" customFormat="1" ht="12.95" customHeight="1">
      <c r="A842"/>
      <c r="B842"/>
      <c r="C842" s="2" t="s">
        <v>1652</v>
      </c>
      <c r="D842"/>
      <c r="E842"/>
      <c r="F842"/>
      <c r="G842"/>
      <c r="H842"/>
      <c r="I842"/>
      <c r="J842" s="88" t="s">
        <v>1653</v>
      </c>
      <c r="K842" s="5"/>
      <c r="L842" s="5"/>
      <c r="M842" s="5"/>
      <c r="N842" s="5"/>
      <c r="O842" s="5"/>
      <c r="P842" s="5"/>
      <c r="Q842" s="5"/>
      <c r="R842" s="5"/>
      <c r="S842" s="5"/>
      <c r="T842" s="1643"/>
      <c r="U842" s="1312"/>
      <c r="V842" s="164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1097</v>
      </c>
      <c r="BP842" s="245">
        <v>384234</v>
      </c>
      <c r="BQ842" s="245">
        <v>443018</v>
      </c>
      <c r="BR842" s="245">
        <v>534400</v>
      </c>
      <c r="BS842" s="245">
        <v>684032</v>
      </c>
      <c r="BT842" s="245">
        <v>762054</v>
      </c>
      <c r="BV842" s="140" t="s">
        <v>1097</v>
      </c>
      <c r="BW842" s="245">
        <v>384234</v>
      </c>
      <c r="BX842" s="245">
        <v>443018</v>
      </c>
      <c r="BY842" s="245">
        <v>534400</v>
      </c>
      <c r="BZ842" s="245">
        <v>684032</v>
      </c>
      <c r="CA842" s="245">
        <v>762054</v>
      </c>
    </row>
    <row r="843" spans="1:110" ht="12.95" customHeight="1">
      <c r="C843" s="2"/>
      <c r="J843" s="38" t="s">
        <v>1654</v>
      </c>
      <c r="K843" s="5"/>
      <c r="L843" s="5"/>
      <c r="M843" s="5"/>
      <c r="N843" s="5"/>
      <c r="O843" s="5"/>
      <c r="P843" s="5"/>
      <c r="Q843" s="5"/>
      <c r="R843" s="5"/>
      <c r="S843" s="5"/>
      <c r="T843" s="5"/>
      <c r="U843" s="5"/>
      <c r="V843" s="39"/>
      <c r="W843" s="1586">
        <v>0</v>
      </c>
      <c r="X843" s="1587"/>
      <c r="Y843" s="1587"/>
      <c r="Z843" s="1587"/>
      <c r="AA843" s="1587"/>
      <c r="AB843" s="1587"/>
      <c r="AC843" s="1588"/>
      <c r="AD843" s="458"/>
      <c r="AZ843" s="3"/>
      <c r="BA843" s="3"/>
      <c r="BB843" s="3"/>
      <c r="BC843" s="3"/>
      <c r="BD843" s="3"/>
      <c r="BE843" s="3"/>
      <c r="BF843" s="3"/>
      <c r="BG843" s="3"/>
      <c r="BH843" s="3"/>
      <c r="BI843" s="3"/>
      <c r="BJ843" s="3"/>
      <c r="BK843" s="3"/>
      <c r="BL843" s="3"/>
      <c r="BM843" s="3"/>
      <c r="BN843" s="3"/>
      <c r="BO843" s="140" t="s">
        <v>1100</v>
      </c>
      <c r="BP843" s="247">
        <v>384234</v>
      </c>
      <c r="BQ843" s="247">
        <v>443018</v>
      </c>
      <c r="BR843" s="247">
        <v>534400</v>
      </c>
      <c r="BS843" s="247">
        <v>684032</v>
      </c>
      <c r="BT843" s="247">
        <v>762054</v>
      </c>
      <c r="BU843" s="14"/>
      <c r="BV843" s="140" t="s">
        <v>1100</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1655</v>
      </c>
      <c r="K844" s="5"/>
      <c r="L844" s="5"/>
      <c r="M844" s="5"/>
      <c r="N844" s="5"/>
      <c r="O844" s="5"/>
      <c r="P844" s="5"/>
      <c r="Q844" s="5"/>
      <c r="R844" s="5"/>
      <c r="S844" s="5"/>
      <c r="T844" s="1643"/>
      <c r="U844" s="1312"/>
      <c r="V844" s="164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1105</v>
      </c>
      <c r="BP844" s="245">
        <v>307732</v>
      </c>
      <c r="BQ844" s="245">
        <v>354812</v>
      </c>
      <c r="BR844" s="245">
        <v>428000</v>
      </c>
      <c r="BS844" s="245">
        <v>547840</v>
      </c>
      <c r="BT844" s="245">
        <v>610328</v>
      </c>
      <c r="BU844" s="14"/>
      <c r="BV844" s="140" t="s">
        <v>1105</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80" t="s">
        <v>1656</v>
      </c>
      <c r="N845" s="1481"/>
      <c r="O845" s="1481"/>
      <c r="P845" s="1481"/>
      <c r="Q845" s="1481"/>
      <c r="R845" s="1481"/>
      <c r="S845" s="1481"/>
      <c r="T845" s="1481"/>
      <c r="U845" s="1481"/>
      <c r="V845" s="1482"/>
      <c r="W845" s="1586">
        <v>48800</v>
      </c>
      <c r="X845" s="1587"/>
      <c r="Y845" s="1587"/>
      <c r="Z845" s="1587"/>
      <c r="AA845" s="1587"/>
      <c r="AB845" s="1587"/>
      <c r="AC845" s="1588"/>
      <c r="AD845" s="453"/>
      <c r="AZ845" s="3"/>
      <c r="BA845" s="3"/>
      <c r="BB845" s="3"/>
      <c r="BC845" s="3"/>
      <c r="BD845" s="3"/>
      <c r="BE845" s="3"/>
      <c r="BF845" s="3"/>
      <c r="BG845" s="3"/>
      <c r="BH845" s="3"/>
      <c r="BI845" s="3"/>
      <c r="BJ845" s="3"/>
      <c r="BK845" s="3"/>
      <c r="BL845" s="3"/>
      <c r="BM845" s="3"/>
      <c r="BN845" s="3"/>
      <c r="BO845" s="140" t="s">
        <v>1109</v>
      </c>
      <c r="BP845" s="247">
        <v>331890</v>
      </c>
      <c r="BQ845" s="247">
        <v>382666</v>
      </c>
      <c r="BR845" s="247">
        <v>461600</v>
      </c>
      <c r="BS845" s="247">
        <v>590848</v>
      </c>
      <c r="BT845" s="247">
        <v>658242</v>
      </c>
      <c r="BU845" s="14"/>
      <c r="BV845" s="140" t="s">
        <v>1109</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1657</v>
      </c>
      <c r="W846" s="1657">
        <f>SUM(W841:AC845)</f>
        <v>170800</v>
      </c>
      <c r="X846" s="1658"/>
      <c r="Y846" s="1658"/>
      <c r="Z846" s="1658"/>
      <c r="AA846" s="1658"/>
      <c r="AB846" s="1658"/>
      <c r="AC846" s="1659"/>
      <c r="AD846" s="458"/>
      <c r="AZ846" s="3"/>
      <c r="BA846" s="3"/>
      <c r="BB846" s="3"/>
      <c r="BC846" s="3"/>
      <c r="BD846" s="3"/>
      <c r="BE846" s="3"/>
      <c r="BF846" s="3"/>
      <c r="BG846" s="3"/>
      <c r="BH846" s="3"/>
      <c r="BI846" s="3"/>
      <c r="BJ846" s="3"/>
      <c r="BK846" s="3"/>
      <c r="BL846" s="3"/>
      <c r="BM846" s="3"/>
      <c r="BN846" s="3"/>
      <c r="BO846" s="140" t="s">
        <v>1112</v>
      </c>
      <c r="BP846" s="245">
        <v>352022</v>
      </c>
      <c r="BQ846" s="245">
        <v>405878</v>
      </c>
      <c r="BR846" s="245">
        <v>489600</v>
      </c>
      <c r="BS846" s="245">
        <v>626688</v>
      </c>
      <c r="BT846" s="245">
        <v>698170</v>
      </c>
      <c r="BU846" s="14"/>
      <c r="BV846" s="140" t="s">
        <v>1112</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1658</v>
      </c>
      <c r="W847" s="1586">
        <v>75083</v>
      </c>
      <c r="X847" s="1587"/>
      <c r="Y847" s="1587"/>
      <c r="Z847" s="1587"/>
      <c r="AA847" s="1587"/>
      <c r="AB847" s="1587"/>
      <c r="AC847" s="1588"/>
      <c r="AZ847" s="3"/>
      <c r="BA847" s="3"/>
      <c r="BB847" s="3"/>
      <c r="BC847" s="3"/>
      <c r="BD847" s="3"/>
      <c r="BE847" s="3"/>
      <c r="BF847" s="3"/>
      <c r="BG847" s="3"/>
      <c r="BH847" s="3"/>
      <c r="BI847" s="3"/>
      <c r="BJ847" s="3"/>
      <c r="BK847" s="3"/>
      <c r="BL847" s="3"/>
      <c r="BM847" s="3"/>
      <c r="BN847" s="3"/>
      <c r="BO847" s="140" t="s">
        <v>1117</v>
      </c>
      <c r="BP847" s="247">
        <v>352022</v>
      </c>
      <c r="BQ847" s="247">
        <v>405878</v>
      </c>
      <c r="BR847" s="247">
        <v>489600</v>
      </c>
      <c r="BS847" s="247">
        <v>626688</v>
      </c>
      <c r="BT847" s="247">
        <v>698170</v>
      </c>
      <c r="BU847" s="14"/>
      <c r="BV847" s="140" t="s">
        <v>1117</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1119</v>
      </c>
      <c r="BP848" s="245">
        <v>307732</v>
      </c>
      <c r="BQ848" s="245">
        <v>354812</v>
      </c>
      <c r="BR848" s="245">
        <v>428000</v>
      </c>
      <c r="BS848" s="245">
        <v>547840</v>
      </c>
      <c r="BT848" s="245">
        <v>610328</v>
      </c>
      <c r="BU848" s="14"/>
      <c r="BV848" s="140" t="s">
        <v>1119</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1659</v>
      </c>
      <c r="K849" s="5"/>
      <c r="L849" s="5"/>
      <c r="M849" s="5"/>
      <c r="N849" s="5"/>
      <c r="O849" s="5"/>
      <c r="P849" s="5"/>
      <c r="Q849" s="5"/>
      <c r="R849" s="5"/>
      <c r="S849" s="5"/>
      <c r="T849" s="5"/>
      <c r="U849" s="5"/>
      <c r="V849" s="39"/>
      <c r="W849" s="1374">
        <v>85000</v>
      </c>
      <c r="X849" s="1374"/>
      <c r="Y849" s="1374"/>
      <c r="Z849" s="1374"/>
      <c r="AA849" s="1374"/>
      <c r="AB849" s="1374"/>
      <c r="AC849" s="1374"/>
      <c r="AZ849" s="3"/>
      <c r="BA849" s="3"/>
      <c r="BB849" s="3"/>
      <c r="BC849" s="3"/>
      <c r="BD849" s="3"/>
      <c r="BE849" s="3"/>
      <c r="BF849" s="3"/>
      <c r="BG849" s="3"/>
      <c r="BH849" s="3"/>
      <c r="BI849" s="3"/>
      <c r="BJ849" s="3"/>
      <c r="BK849" s="3"/>
      <c r="BL849" s="3"/>
      <c r="BM849" s="3"/>
      <c r="BN849" s="3"/>
      <c r="BO849" s="140" t="s">
        <v>1122</v>
      </c>
      <c r="BP849" s="247">
        <v>352022</v>
      </c>
      <c r="BQ849" s="247">
        <v>405878</v>
      </c>
      <c r="BR849" s="247">
        <v>489600</v>
      </c>
      <c r="BS849" s="247">
        <v>626688</v>
      </c>
      <c r="BT849" s="247">
        <v>698170</v>
      </c>
      <c r="BU849" s="14"/>
      <c r="BV849" s="140" t="s">
        <v>1122</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1660</v>
      </c>
      <c r="K850" s="5"/>
      <c r="L850" s="5"/>
      <c r="M850" s="5"/>
      <c r="N850" s="5"/>
      <c r="O850" s="5"/>
      <c r="P850" s="5"/>
      <c r="Q850" s="5"/>
      <c r="R850" s="5"/>
      <c r="S850" s="5"/>
      <c r="T850" s="5"/>
      <c r="U850" s="5"/>
      <c r="V850" s="39"/>
      <c r="W850" s="1374">
        <v>17000</v>
      </c>
      <c r="X850" s="1374"/>
      <c r="Y850" s="1374"/>
      <c r="Z850" s="1374"/>
      <c r="AA850" s="1374"/>
      <c r="AB850" s="1374"/>
      <c r="AC850" s="1374"/>
      <c r="AZ850" s="3"/>
      <c r="BA850" s="3"/>
      <c r="BB850" s="3"/>
      <c r="BC850" s="3"/>
      <c r="BD850" s="3"/>
      <c r="BE850" s="3"/>
      <c r="BF850" s="3"/>
      <c r="BG850" s="3"/>
      <c r="BH850" s="3"/>
      <c r="BI850" s="3"/>
      <c r="BJ850" s="3"/>
      <c r="BK850" s="3"/>
      <c r="BL850" s="3"/>
      <c r="BM850" s="3"/>
      <c r="BN850" s="3"/>
      <c r="BO850" s="140" t="s">
        <v>1125</v>
      </c>
      <c r="BP850" s="245">
        <v>387110</v>
      </c>
      <c r="BQ850" s="245">
        <v>446334</v>
      </c>
      <c r="BR850" s="245">
        <v>538400</v>
      </c>
      <c r="BS850" s="245">
        <v>689152</v>
      </c>
      <c r="BT850" s="245">
        <v>767758</v>
      </c>
      <c r="BU850" s="14"/>
      <c r="BV850" s="140" t="s">
        <v>1125</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1661</v>
      </c>
      <c r="K851" s="5"/>
      <c r="L851" s="5"/>
      <c r="M851" s="5"/>
      <c r="N851" s="5"/>
      <c r="O851" s="5"/>
      <c r="P851" s="5"/>
      <c r="Q851" s="5"/>
      <c r="R851" s="5"/>
      <c r="S851" s="5"/>
      <c r="T851" s="5"/>
      <c r="U851" s="5"/>
      <c r="V851" s="39"/>
      <c r="W851" s="1374">
        <v>59037</v>
      </c>
      <c r="X851" s="1374"/>
      <c r="Y851" s="1374"/>
      <c r="Z851" s="1374"/>
      <c r="AA851" s="1374"/>
      <c r="AB851" s="1374"/>
      <c r="AC851" s="1374"/>
      <c r="AZ851" s="3"/>
      <c r="BA851" s="3"/>
      <c r="BB851" s="3"/>
      <c r="BC851" s="3"/>
      <c r="BD851" s="3"/>
      <c r="BE851" s="3"/>
      <c r="BF851" s="3"/>
      <c r="BG851" s="3"/>
      <c r="BH851" s="3"/>
      <c r="BI851" s="3"/>
      <c r="BJ851" s="3"/>
      <c r="BK851" s="3"/>
      <c r="BL851" s="3"/>
      <c r="BM851" s="3"/>
      <c r="BN851" s="3"/>
      <c r="BO851" s="140" t="s">
        <v>1128</v>
      </c>
      <c r="BP851" s="247">
        <v>331890</v>
      </c>
      <c r="BQ851" s="247">
        <v>382666</v>
      </c>
      <c r="BR851" s="247">
        <v>461600</v>
      </c>
      <c r="BS851" s="247">
        <v>590848</v>
      </c>
      <c r="BT851" s="247">
        <v>658242</v>
      </c>
      <c r="BU851" s="14"/>
      <c r="BV851" s="140" t="s">
        <v>1128</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1662</v>
      </c>
      <c r="K852" s="5"/>
      <c r="L852" s="5"/>
      <c r="M852" s="5"/>
      <c r="N852" s="5"/>
      <c r="O852" s="5"/>
      <c r="P852" s="5"/>
      <c r="Q852" s="5"/>
      <c r="R852" s="5"/>
      <c r="S852" s="5"/>
      <c r="T852" s="5"/>
      <c r="U852" s="5"/>
      <c r="V852" s="39"/>
      <c r="W852" s="1374">
        <v>77917</v>
      </c>
      <c r="X852" s="1374"/>
      <c r="Y852" s="1374"/>
      <c r="Z852" s="1374"/>
      <c r="AA852" s="1374"/>
      <c r="AB852" s="1374"/>
      <c r="AC852" s="1374"/>
      <c r="AZ852" s="3"/>
      <c r="BA852" s="3"/>
      <c r="BB852" s="3"/>
      <c r="BC852" s="3"/>
      <c r="BD852" s="3"/>
      <c r="BE852" s="3"/>
      <c r="BF852" s="3"/>
      <c r="BG852" s="3"/>
      <c r="BH852" s="3"/>
      <c r="BI852" s="3"/>
      <c r="BJ852" s="3"/>
      <c r="BK852" s="3"/>
      <c r="BL852" s="3"/>
      <c r="BM852" s="3"/>
      <c r="BN852" s="3"/>
      <c r="BO852" s="140" t="s">
        <v>1132</v>
      </c>
      <c r="BP852" s="245">
        <v>331890</v>
      </c>
      <c r="BQ852" s="245">
        <v>382666</v>
      </c>
      <c r="BR852" s="245">
        <v>461600</v>
      </c>
      <c r="BS852" s="245">
        <v>590848</v>
      </c>
      <c r="BT852" s="245">
        <v>658242</v>
      </c>
      <c r="BU852" s="14"/>
      <c r="BV852" s="140" t="s">
        <v>1132</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1663</v>
      </c>
      <c r="K853" s="5"/>
      <c r="L853" s="5"/>
      <c r="M853" s="5"/>
      <c r="N853" s="5"/>
      <c r="O853" s="5"/>
      <c r="P853" s="5"/>
      <c r="Q853" s="5"/>
      <c r="R853" s="5"/>
      <c r="S853" s="5"/>
      <c r="T853" s="5"/>
      <c r="U853" s="5"/>
      <c r="V853" s="39"/>
      <c r="W853" s="1374">
        <v>0</v>
      </c>
      <c r="X853" s="1374"/>
      <c r="Y853" s="1374"/>
      <c r="Z853" s="1374"/>
      <c r="AA853" s="1374"/>
      <c r="AB853" s="1374"/>
      <c r="AC853" s="1374"/>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1664</v>
      </c>
      <c r="K854" s="5"/>
      <c r="L854" s="5"/>
      <c r="M854" s="5"/>
      <c r="N854" s="5"/>
      <c r="O854" s="5"/>
      <c r="P854" s="5"/>
      <c r="Q854" s="5"/>
      <c r="R854" s="5"/>
      <c r="S854" s="5"/>
      <c r="T854" s="5"/>
      <c r="U854" s="5"/>
      <c r="V854" s="39"/>
      <c r="W854" s="1374">
        <v>0</v>
      </c>
      <c r="X854" s="1374"/>
      <c r="Y854" s="1374"/>
      <c r="Z854" s="1374"/>
      <c r="AA854" s="1374"/>
      <c r="AB854" s="1374"/>
      <c r="AC854" s="1374"/>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80" t="s">
        <v>1421</v>
      </c>
      <c r="N855" s="1481"/>
      <c r="O855" s="1481"/>
      <c r="P855" s="1481"/>
      <c r="Q855" s="1481"/>
      <c r="R855" s="1481"/>
      <c r="S855" s="1481"/>
      <c r="T855" s="1481"/>
      <c r="U855" s="1481"/>
      <c r="V855" s="1482"/>
      <c r="W855" s="1374"/>
      <c r="X855" s="1374"/>
      <c r="Y855" s="1374"/>
      <c r="Z855" s="1374"/>
      <c r="AA855" s="1374"/>
      <c r="AB855" s="1374"/>
      <c r="AC855" s="1374"/>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1665</v>
      </c>
      <c r="W856" s="1617">
        <f>SUM(W849:AC855)</f>
        <v>238954</v>
      </c>
      <c r="X856" s="1617"/>
      <c r="Y856" s="1617"/>
      <c r="Z856" s="1617"/>
      <c r="AA856" s="1617"/>
      <c r="AB856" s="1617"/>
      <c r="AC856" s="1617"/>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1666</v>
      </c>
      <c r="J858" s="38" t="s">
        <v>232</v>
      </c>
      <c r="K858" s="5"/>
      <c r="L858" s="5"/>
      <c r="M858" s="1480" t="s">
        <v>1421</v>
      </c>
      <c r="N858" s="1481"/>
      <c r="O858" s="1481"/>
      <c r="P858" s="1481"/>
      <c r="Q858" s="1481"/>
      <c r="R858" s="1481"/>
      <c r="S858" s="1481"/>
      <c r="T858" s="1481"/>
      <c r="U858" s="1481"/>
      <c r="V858" s="1482"/>
      <c r="W858" s="1371"/>
      <c r="X858" s="1372"/>
      <c r="Y858" s="1372"/>
      <c r="Z858" s="1372"/>
      <c r="AA858" s="1372"/>
      <c r="AB858" s="1372"/>
      <c r="AC858" s="1373"/>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1667</v>
      </c>
      <c r="J859" s="38" t="s">
        <v>232</v>
      </c>
      <c r="K859" s="5"/>
      <c r="L859" s="5"/>
      <c r="M859" s="1480" t="s">
        <v>1668</v>
      </c>
      <c r="N859" s="1481"/>
      <c r="O859" s="1481"/>
      <c r="P859" s="1481"/>
      <c r="Q859" s="1481"/>
      <c r="R859" s="1481"/>
      <c r="S859" s="1481"/>
      <c r="T859" s="1481"/>
      <c r="U859" s="1481"/>
      <c r="V859" s="1482"/>
      <c r="W859" s="1371">
        <v>7000</v>
      </c>
      <c r="X859" s="1372"/>
      <c r="Y859" s="1372"/>
      <c r="Z859" s="1372"/>
      <c r="AA859" s="1372"/>
      <c r="AB859" s="1372"/>
      <c r="AC859" s="1373"/>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80" t="s">
        <v>1421</v>
      </c>
      <c r="N860" s="1481"/>
      <c r="O860" s="1481"/>
      <c r="P860" s="1481"/>
      <c r="Q860" s="1481"/>
      <c r="R860" s="1481"/>
      <c r="S860" s="1481"/>
      <c r="T860" s="1481"/>
      <c r="U860" s="1481"/>
      <c r="V860" s="1482"/>
      <c r="W860" s="1371"/>
      <c r="X860" s="1372"/>
      <c r="Y860" s="1372"/>
      <c r="Z860" s="1372"/>
      <c r="AA860" s="1372"/>
      <c r="AB860" s="1372"/>
      <c r="AC860" s="1373"/>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80" t="s">
        <v>1421</v>
      </c>
      <c r="N861" s="1481"/>
      <c r="O861" s="1481"/>
      <c r="P861" s="1481"/>
      <c r="Q861" s="1481"/>
      <c r="R861" s="1481"/>
      <c r="S861" s="1481"/>
      <c r="T861" s="1481"/>
      <c r="U861" s="1481"/>
      <c r="V861" s="1482"/>
      <c r="W861" s="1371"/>
      <c r="X861" s="1372"/>
      <c r="Y861" s="1372"/>
      <c r="Z861" s="1372"/>
      <c r="AA861" s="1372"/>
      <c r="AB861" s="1372"/>
      <c r="AC861" s="1373"/>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80" t="s">
        <v>1421</v>
      </c>
      <c r="N862" s="1481"/>
      <c r="O862" s="1481"/>
      <c r="P862" s="1481"/>
      <c r="Q862" s="1481"/>
      <c r="R862" s="1481"/>
      <c r="S862" s="1481"/>
      <c r="T862" s="1481"/>
      <c r="U862" s="1481"/>
      <c r="V862" s="1482"/>
      <c r="W862" s="1371"/>
      <c r="X862" s="1372"/>
      <c r="Y862" s="1372"/>
      <c r="Z862" s="1372"/>
      <c r="AA862" s="1372"/>
      <c r="AB862" s="1372"/>
      <c r="AC862" s="1373"/>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1669</v>
      </c>
      <c r="W863" s="1583">
        <f>SUM(W858:AC862)</f>
        <v>7000</v>
      </c>
      <c r="X863" s="1584"/>
      <c r="Y863" s="1584"/>
      <c r="Z863" s="1584"/>
      <c r="AA863" s="1584"/>
      <c r="AB863" s="1584"/>
      <c r="AC863" s="1585"/>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1670</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1671</v>
      </c>
      <c r="AC867" s="1584">
        <f>W831+W839+W846+W847+W856+W863+W833</f>
        <v>763316</v>
      </c>
      <c r="AD867" s="1584"/>
      <c r="AE867" s="1584"/>
      <c r="AF867" s="1584"/>
      <c r="AG867" s="1584"/>
      <c r="AH867" s="1585"/>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1672</v>
      </c>
      <c r="AC868" s="1641">
        <f>O782+O762+G739</f>
        <v>85</v>
      </c>
      <c r="AD868" s="1641"/>
      <c r="AE868" s="1641"/>
      <c r="AF868" s="1641"/>
      <c r="AG868" s="1641"/>
      <c r="AH868" s="164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39" t="s">
        <v>1673</v>
      </c>
      <c r="F869" s="1639"/>
      <c r="G869" s="1639"/>
      <c r="H869" s="1639"/>
      <c r="I869" s="1639"/>
      <c r="J869" s="1639"/>
      <c r="K869" s="1639"/>
      <c r="L869" s="1639"/>
      <c r="M869" s="1639"/>
      <c r="N869" s="1639"/>
      <c r="O869" s="1639"/>
      <c r="P869" s="1639"/>
      <c r="Q869" s="1639"/>
      <c r="R869" s="1639"/>
      <c r="S869" s="1639"/>
      <c r="T869" s="1639"/>
      <c r="U869" s="1639"/>
      <c r="V869" s="1639"/>
      <c r="W869" s="1639"/>
      <c r="X869" s="1639"/>
      <c r="Y869" s="1639"/>
      <c r="Z869" s="1639"/>
      <c r="AA869" s="1639"/>
      <c r="AB869" s="1640"/>
      <c r="AC869" s="1617">
        <f>IF(ISERROR((ROUNDDOWN(AC867/AC868,0))),0,(ROUNDDOWN(AC867/AC868,0)))</f>
        <v>8980</v>
      </c>
      <c r="AD869" s="1617"/>
      <c r="AE869" s="1617"/>
      <c r="AF869" s="1617"/>
      <c r="AG869" s="1617"/>
      <c r="AH869" s="1617"/>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1674</v>
      </c>
      <c r="AC870" s="1667">
        <f>'Sources and Uses Budget'!B75</f>
        <v>941372</v>
      </c>
      <c r="AD870" s="1668"/>
      <c r="AE870" s="1668"/>
      <c r="AF870" s="1668"/>
      <c r="AG870" s="1668"/>
      <c r="AH870" s="1668"/>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1675</v>
      </c>
      <c r="AC871" s="1373"/>
      <c r="AD871" s="1374"/>
      <c r="AE871" s="1374"/>
      <c r="AF871" s="1374"/>
      <c r="AG871" s="1374"/>
      <c r="AH871" s="1374"/>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1676</v>
      </c>
      <c r="AC872" s="1372">
        <v>48300</v>
      </c>
      <c r="AD872" s="1372"/>
      <c r="AE872" s="1372"/>
      <c r="AF872" s="1372"/>
      <c r="AG872" s="1372"/>
      <c r="AH872" s="137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1677</v>
      </c>
      <c r="AC873" s="1372">
        <v>25500</v>
      </c>
      <c r="AD873" s="1372"/>
      <c r="AE873" s="1372"/>
      <c r="AF873" s="1372"/>
      <c r="AG873" s="1372"/>
      <c r="AH873" s="137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1678</v>
      </c>
      <c r="AC874" s="1328">
        <v>0</v>
      </c>
      <c r="AD874" s="1329"/>
      <c r="AE874" s="1329"/>
      <c r="AF874" s="1329"/>
      <c r="AG874" s="1329"/>
      <c r="AH874" s="1330"/>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1679</v>
      </c>
      <c r="AC875" s="1372">
        <v>4000</v>
      </c>
      <c r="AD875" s="1372"/>
      <c r="AE875" s="1372"/>
      <c r="AF875" s="1372"/>
      <c r="AG875" s="1372"/>
      <c r="AH875" s="137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1680</v>
      </c>
      <c r="AC876" s="1372"/>
      <c r="AD876" s="1372"/>
      <c r="AE876" s="1372"/>
      <c r="AF876" s="1372"/>
      <c r="AG876" s="1372"/>
      <c r="AH876" s="137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53" t="s">
        <v>1681</v>
      </c>
      <c r="D877" s="1654"/>
      <c r="E877" s="1654"/>
      <c r="F877" s="1654"/>
      <c r="G877" s="1654"/>
      <c r="H877" s="1654"/>
      <c r="I877" s="1654"/>
      <c r="J877" s="1654"/>
      <c r="K877" s="1654"/>
      <c r="L877" s="1654"/>
      <c r="M877" s="1654"/>
      <c r="N877" s="1654"/>
      <c r="O877" s="1654"/>
      <c r="P877" s="1654"/>
      <c r="Q877" s="1654"/>
      <c r="R877" s="1654"/>
      <c r="S877" s="1654"/>
      <c r="T877" s="1654"/>
      <c r="U877" s="1654"/>
      <c r="V877" s="1654"/>
      <c r="W877" s="1654"/>
      <c r="X877" s="1654"/>
      <c r="Y877" s="1654"/>
      <c r="Z877" s="1654"/>
      <c r="AA877" s="1654"/>
      <c r="AB877" s="1655"/>
      <c r="AC877" s="1374"/>
      <c r="AD877" s="1374"/>
      <c r="AE877" s="1374"/>
      <c r="AF877" s="1374"/>
      <c r="AG877" s="1374"/>
      <c r="AH877" s="137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53" t="s">
        <v>1682</v>
      </c>
      <c r="D878" s="1654"/>
      <c r="E878" s="1654"/>
      <c r="F878" s="1654"/>
      <c r="G878" s="1654"/>
      <c r="H878" s="1654"/>
      <c r="I878" s="1654"/>
      <c r="J878" s="1654"/>
      <c r="K878" s="1654"/>
      <c r="L878" s="1654"/>
      <c r="M878" s="1654"/>
      <c r="N878" s="1654"/>
      <c r="O878" s="1654"/>
      <c r="P878" s="1654"/>
      <c r="Q878" s="1654"/>
      <c r="R878" s="1654"/>
      <c r="S878" s="1654"/>
      <c r="T878" s="1654"/>
      <c r="U878" s="1654"/>
      <c r="V878" s="1654"/>
      <c r="W878" s="1654"/>
      <c r="X878" s="1654"/>
      <c r="Y878" s="1654"/>
      <c r="Z878" s="1654"/>
      <c r="AA878" s="1654"/>
      <c r="AB878" s="1655"/>
      <c r="AC878" s="1374">
        <v>25500</v>
      </c>
      <c r="AD878" s="1374"/>
      <c r="AE878" s="1374"/>
      <c r="AF878" s="1374"/>
      <c r="AG878" s="1374"/>
      <c r="AH878" s="137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1377</v>
      </c>
      <c r="C880" s="2" t="s">
        <v>1683</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1684</v>
      </c>
      <c r="I882" s="5"/>
      <c r="J882" s="5"/>
      <c r="K882" s="5"/>
      <c r="L882" s="5"/>
      <c r="M882" s="5"/>
      <c r="N882" s="5"/>
      <c r="O882" s="5"/>
      <c r="P882" s="5"/>
      <c r="Q882" s="5"/>
      <c r="R882" s="5"/>
      <c r="S882" s="5"/>
      <c r="T882" s="5"/>
      <c r="U882" s="5"/>
      <c r="V882" s="5"/>
      <c r="W882" s="5"/>
      <c r="X882" s="5"/>
      <c r="Y882" s="39"/>
      <c r="Z882" s="1371"/>
      <c r="AA882" s="1372"/>
      <c r="AB882" s="1372"/>
      <c r="AC882" s="1372"/>
      <c r="AD882" s="1372"/>
      <c r="AE882" s="1373"/>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1685</v>
      </c>
      <c r="I883" s="5"/>
      <c r="J883" s="5"/>
      <c r="K883" s="5"/>
      <c r="L883" s="5"/>
      <c r="M883" s="5"/>
      <c r="N883" s="5"/>
      <c r="O883" s="5"/>
      <c r="P883" s="5"/>
      <c r="Q883" s="5"/>
      <c r="R883" s="5"/>
      <c r="S883" s="5"/>
      <c r="T883" s="5"/>
      <c r="U883" s="5"/>
      <c r="V883" s="5"/>
      <c r="W883" s="5"/>
      <c r="X883" s="5"/>
      <c r="Y883" s="5"/>
      <c r="Z883" s="1371"/>
      <c r="AA883" s="1372"/>
      <c r="AB883" s="1372"/>
      <c r="AC883" s="1372"/>
      <c r="AD883" s="1372"/>
      <c r="AE883" s="137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1686</v>
      </c>
      <c r="I884" s="5"/>
      <c r="J884" s="5"/>
      <c r="K884" s="5"/>
      <c r="L884" s="5"/>
      <c r="M884" s="5"/>
      <c r="N884" s="5"/>
      <c r="O884" s="5"/>
      <c r="P884" s="5"/>
      <c r="Q884" s="5"/>
      <c r="R884" s="5"/>
      <c r="S884" s="5"/>
      <c r="T884" s="5"/>
      <c r="U884" s="5"/>
      <c r="V884" s="5"/>
      <c r="W884" s="5"/>
      <c r="X884" s="5"/>
      <c r="Y884" s="5"/>
      <c r="Z884" s="1371"/>
      <c r="AA884" s="1372"/>
      <c r="AB884" s="1372"/>
      <c r="AC884" s="1372"/>
      <c r="AD884" s="1372"/>
      <c r="AE884" s="137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1687</v>
      </c>
      <c r="Z885" s="1583">
        <f>Z882-(Z883+Z884)</f>
        <v>0</v>
      </c>
      <c r="AA885" s="1584"/>
      <c r="AB885" s="1584"/>
      <c r="AC885" s="1584"/>
      <c r="AD885" s="1584"/>
      <c r="AE885" s="1585"/>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1688</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46"/>
      <c r="BE887" s="164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1689</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46"/>
      <c r="BE888" s="164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1690</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9"/>
      <c r="BE889" s="1589"/>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1691</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9"/>
      <c r="BE890" s="1589"/>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9"/>
      <c r="BE891" s="1589"/>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46"/>
      <c r="BE892" s="1589"/>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81" t="s">
        <v>1692</v>
      </c>
      <c r="B893" s="1581"/>
      <c r="C893" s="1581"/>
      <c r="D893" s="1581"/>
      <c r="E893" s="1581"/>
      <c r="F893" s="1581"/>
      <c r="G893" s="1581"/>
      <c r="H893" s="1581"/>
      <c r="I893" s="1581"/>
      <c r="J893" s="1581"/>
      <c r="K893" s="1581"/>
      <c r="L893" s="1581"/>
      <c r="M893" s="1581"/>
      <c r="N893" s="1581"/>
      <c r="O893" s="1581"/>
      <c r="P893" s="1581"/>
      <c r="Q893" s="1581"/>
      <c r="R893" s="1581"/>
      <c r="S893" s="1581"/>
      <c r="T893" s="1581"/>
      <c r="U893" s="1581"/>
      <c r="V893" s="1581"/>
      <c r="W893" s="1581"/>
      <c r="X893" s="1581"/>
      <c r="Y893" s="1581"/>
      <c r="Z893" s="1581"/>
      <c r="AA893" s="1581"/>
      <c r="AB893" s="1581"/>
      <c r="AC893" s="1581"/>
      <c r="AD893" s="1581"/>
      <c r="AE893" s="1581"/>
      <c r="AF893" s="1581"/>
      <c r="AG893" s="1581"/>
      <c r="AH893" s="1581"/>
      <c r="AI893" s="1581"/>
      <c r="AJ893" s="1581"/>
      <c r="AK893" s="1581"/>
      <c r="AL893" s="1581"/>
      <c r="AM893" s="71"/>
      <c r="AN893" s="71"/>
      <c r="AO893" s="71"/>
      <c r="AP893" s="71"/>
      <c r="AQ893" s="71"/>
      <c r="AR893" s="71"/>
      <c r="AS893" s="71"/>
      <c r="AT893" s="71"/>
      <c r="AU893" s="71"/>
      <c r="AV893" s="71"/>
      <c r="AW893" s="71"/>
      <c r="AX893" s="71"/>
      <c r="AY893" s="71"/>
      <c r="AZ893" s="3"/>
      <c r="BB893" s="26"/>
      <c r="BC893" s="742"/>
      <c r="BD893" s="1661"/>
      <c r="BE893" s="1661"/>
      <c r="BF893" s="1661"/>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82"/>
      <c r="B894" s="1582"/>
      <c r="C894" s="1582"/>
      <c r="D894" s="1582"/>
      <c r="E894" s="1582"/>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2"/>
      <c r="AC894" s="1582"/>
      <c r="AD894" s="1582"/>
      <c r="AE894" s="1582"/>
      <c r="AF894" s="1582"/>
      <c r="AG894" s="1582"/>
      <c r="AH894" s="1582"/>
      <c r="AI894" s="1582"/>
      <c r="AJ894" s="1582"/>
      <c r="AK894" s="1582"/>
      <c r="AL894" s="1582"/>
      <c r="AM894" s="71"/>
      <c r="AN894" s="71"/>
      <c r="AO894" s="71"/>
      <c r="AP894" s="71"/>
      <c r="AQ894" s="71"/>
      <c r="AR894" s="71"/>
      <c r="AS894" s="71"/>
      <c r="AT894" s="71"/>
      <c r="AU894" s="71"/>
      <c r="AV894" s="71"/>
      <c r="AW894" s="71"/>
      <c r="AX894" s="71"/>
      <c r="AY894" s="71"/>
      <c r="AZ894" s="3"/>
      <c r="BB894" s="26"/>
      <c r="BC894" s="742"/>
      <c r="BD894" s="1575"/>
      <c r="BE894" s="1575"/>
      <c r="BF894" s="1575"/>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9"/>
      <c r="BE895" s="1589"/>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971</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46"/>
      <c r="BE896" s="1589"/>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6" t="s">
        <v>1693</v>
      </c>
      <c r="G898" s="1487"/>
      <c r="H898" s="1487"/>
      <c r="I898" s="1487"/>
      <c r="J898" s="1487"/>
      <c r="K898" s="1487"/>
      <c r="L898" s="1487"/>
      <c r="M898" s="1487"/>
      <c r="N898" s="1487"/>
      <c r="O898" s="1487"/>
      <c r="P898" s="1487"/>
      <c r="Q898" s="1487"/>
      <c r="R898" s="1487"/>
      <c r="S898" s="1487"/>
      <c r="T898" s="1488"/>
      <c r="U898" s="1465" t="s">
        <v>1694</v>
      </c>
      <c r="V898" s="1466"/>
      <c r="W898" s="1466"/>
      <c r="X898" s="1466"/>
      <c r="Y898" s="1466"/>
      <c r="Z898" s="1466"/>
      <c r="AA898" s="36"/>
      <c r="AB898" s="232"/>
      <c r="AC898" s="232"/>
      <c r="AD898" s="232"/>
      <c r="AE898" s="232"/>
      <c r="AF898" s="1169"/>
      <c r="AZ898" s="3"/>
      <c r="BA898" s="3"/>
      <c r="BB898" s="26"/>
      <c r="BC898" s="26"/>
      <c r="BD898" s="1646"/>
      <c r="BE898" s="1589"/>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7" t="s">
        <v>1695</v>
      </c>
      <c r="G899" s="1468"/>
      <c r="H899" s="1468"/>
      <c r="I899" s="1468"/>
      <c r="J899" s="1468"/>
      <c r="K899" s="1468"/>
      <c r="L899" s="1468"/>
      <c r="M899" s="1468"/>
      <c r="N899" s="1468"/>
      <c r="O899" s="1468"/>
      <c r="P899" s="1468"/>
      <c r="Q899" s="1468"/>
      <c r="R899" s="1468"/>
      <c r="S899" s="1468"/>
      <c r="T899" s="1650"/>
      <c r="U899" s="1467"/>
      <c r="V899" s="1468"/>
      <c r="W899" s="1468"/>
      <c r="X899" s="1468"/>
      <c r="Y899" s="1468"/>
      <c r="Z899" s="1468"/>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9"/>
      <c r="G900" s="1470"/>
      <c r="H900" s="1470"/>
      <c r="I900" s="1470"/>
      <c r="J900" s="1470"/>
      <c r="K900" s="1470"/>
      <c r="L900" s="1470"/>
      <c r="M900" s="1470"/>
      <c r="N900" s="1470"/>
      <c r="O900" s="1470"/>
      <c r="P900" s="1470"/>
      <c r="Q900" s="1470"/>
      <c r="R900" s="1470"/>
      <c r="S900" s="1470"/>
      <c r="T900" s="1651"/>
      <c r="U900" s="1469"/>
      <c r="V900" s="1470"/>
      <c r="W900" s="1470"/>
      <c r="X900" s="1470"/>
      <c r="Y900" s="1470"/>
      <c r="Z900" s="1470"/>
      <c r="AA900" s="820"/>
      <c r="AB900" s="1489" t="s">
        <v>1696</v>
      </c>
      <c r="AC900" s="1489"/>
      <c r="AD900" s="1489"/>
      <c r="AE900" s="1489"/>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1697</v>
      </c>
      <c r="G901" s="41"/>
      <c r="H901" s="41"/>
      <c r="I901" s="41"/>
      <c r="J901" s="41"/>
      <c r="K901" s="41"/>
      <c r="L901" s="41"/>
      <c r="M901" s="41"/>
      <c r="N901" s="41"/>
      <c r="O901" s="41"/>
      <c r="P901" s="41"/>
      <c r="Q901" s="41"/>
      <c r="R901" s="41"/>
      <c r="S901" s="41"/>
      <c r="T901" s="42"/>
      <c r="U901" s="1462" t="s">
        <v>299</v>
      </c>
      <c r="V901" s="1463"/>
      <c r="W901" s="1463"/>
      <c r="X901" s="1463"/>
      <c r="Y901" s="1463"/>
      <c r="Z901" s="1464"/>
      <c r="AA901" s="1474">
        <f>AO623</f>
        <v>14743000</v>
      </c>
      <c r="AB901" s="1475"/>
      <c r="AC901" s="1475"/>
      <c r="AD901" s="1475"/>
      <c r="AE901" s="1475"/>
      <c r="AF901" s="1476"/>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1698</v>
      </c>
      <c r="G902" s="41"/>
      <c r="H902" s="41"/>
      <c r="I902" s="41"/>
      <c r="J902" s="41"/>
      <c r="K902" s="41"/>
      <c r="L902" s="41"/>
      <c r="M902" s="41"/>
      <c r="N902" s="41"/>
      <c r="O902" s="41"/>
      <c r="P902" s="41"/>
      <c r="Q902" s="41"/>
      <c r="R902" s="41"/>
      <c r="S902" s="41"/>
      <c r="T902" s="42"/>
      <c r="U902" s="1462" t="s">
        <v>299</v>
      </c>
      <c r="V902" s="1463"/>
      <c r="W902" s="1463"/>
      <c r="X902" s="1463"/>
      <c r="Y902" s="1463"/>
      <c r="Z902" s="1464"/>
      <c r="AA902" s="1474"/>
      <c r="AB902" s="1475"/>
      <c r="AC902" s="1475"/>
      <c r="AD902" s="1475"/>
      <c r="AE902" s="1475"/>
      <c r="AF902" s="1476"/>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1699</v>
      </c>
      <c r="G903" s="5"/>
      <c r="H903" s="5"/>
      <c r="I903" s="5"/>
      <c r="J903" s="5"/>
      <c r="K903" s="5"/>
      <c r="L903" s="5"/>
      <c r="M903" s="5"/>
      <c r="N903" s="5"/>
      <c r="O903" s="5"/>
      <c r="P903" s="5"/>
      <c r="Q903" s="5"/>
      <c r="R903" s="5"/>
      <c r="S903" s="5"/>
      <c r="T903" s="39"/>
      <c r="U903" s="1462" t="s">
        <v>299</v>
      </c>
      <c r="V903" s="1463"/>
      <c r="W903" s="1463"/>
      <c r="X903" s="1463"/>
      <c r="Y903" s="1463"/>
      <c r="Z903" s="1464"/>
      <c r="AA903" s="1474"/>
      <c r="AB903" s="1475"/>
      <c r="AC903" s="1475"/>
      <c r="AD903" s="1475"/>
      <c r="AE903" s="1475"/>
      <c r="AF903" s="1476"/>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1700</v>
      </c>
      <c r="G904" s="5"/>
      <c r="H904" s="5"/>
      <c r="I904" s="5"/>
      <c r="J904" s="5"/>
      <c r="K904" s="5"/>
      <c r="L904" s="5"/>
      <c r="M904" s="5"/>
      <c r="N904" s="5"/>
      <c r="O904" s="5"/>
      <c r="P904" s="5"/>
      <c r="Q904" s="5"/>
      <c r="R904" s="5"/>
      <c r="S904" s="5"/>
      <c r="T904" s="39"/>
      <c r="U904" s="1462" t="s">
        <v>299</v>
      </c>
      <c r="V904" s="1463"/>
      <c r="W904" s="1463"/>
      <c r="X904" s="1463"/>
      <c r="Y904" s="1463"/>
      <c r="Z904" s="1464"/>
      <c r="AA904" s="1474"/>
      <c r="AB904" s="1475"/>
      <c r="AC904" s="1475"/>
      <c r="AD904" s="1475"/>
      <c r="AE904" s="1475"/>
      <c r="AF904" s="1476"/>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1701</v>
      </c>
      <c r="G905" s="5"/>
      <c r="H905" s="5"/>
      <c r="I905" s="5"/>
      <c r="J905" s="5"/>
      <c r="K905" s="5"/>
      <c r="L905" s="5"/>
      <c r="M905" s="5"/>
      <c r="N905" s="5"/>
      <c r="O905" s="5"/>
      <c r="P905" s="5"/>
      <c r="Q905" s="5"/>
      <c r="R905" s="5"/>
      <c r="S905" s="5"/>
      <c r="T905" s="39"/>
      <c r="U905" s="1462" t="s">
        <v>299</v>
      </c>
      <c r="V905" s="1463"/>
      <c r="W905" s="1463"/>
      <c r="X905" s="1463"/>
      <c r="Y905" s="1463"/>
      <c r="Z905" s="1464"/>
      <c r="AA905" s="1474"/>
      <c r="AB905" s="1475"/>
      <c r="AC905" s="1475"/>
      <c r="AD905" s="1475"/>
      <c r="AE905" s="1475"/>
      <c r="AF905" s="1476"/>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1702</v>
      </c>
      <c r="G906" s="5"/>
      <c r="H906" s="5"/>
      <c r="I906" s="5"/>
      <c r="J906" s="5"/>
      <c r="K906" s="5"/>
      <c r="L906" s="5"/>
      <c r="M906" s="5"/>
      <c r="N906" s="5"/>
      <c r="O906" s="5"/>
      <c r="P906" s="5"/>
      <c r="Q906" s="5"/>
      <c r="R906" s="5"/>
      <c r="S906" s="5"/>
      <c r="T906" s="39"/>
      <c r="U906" s="1462" t="s">
        <v>299</v>
      </c>
      <c r="V906" s="1463"/>
      <c r="W906" s="1463"/>
      <c r="X906" s="1463"/>
      <c r="Y906" s="1463"/>
      <c r="Z906" s="1464"/>
      <c r="AA906" s="1474"/>
      <c r="AB906" s="1475"/>
      <c r="AC906" s="1475"/>
      <c r="AD906" s="1475"/>
      <c r="AE906" s="1475"/>
      <c r="AF906" s="1476"/>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1703</v>
      </c>
      <c r="G907" s="5"/>
      <c r="H907" s="5"/>
      <c r="I907" s="5"/>
      <c r="J907" s="5"/>
      <c r="K907" s="5"/>
      <c r="L907" s="5"/>
      <c r="M907" s="5"/>
      <c r="N907" s="5"/>
      <c r="O907" s="5"/>
      <c r="P907" s="5"/>
      <c r="Q907" s="5"/>
      <c r="R907" s="5"/>
      <c r="S907" s="5"/>
      <c r="T907" s="39"/>
      <c r="U907" s="1462" t="s">
        <v>299</v>
      </c>
      <c r="V907" s="1463"/>
      <c r="W907" s="1463"/>
      <c r="X907" s="1463"/>
      <c r="Y907" s="1463"/>
      <c r="Z907" s="1464"/>
      <c r="AA907" s="1474"/>
      <c r="AB907" s="1475"/>
      <c r="AC907" s="1475"/>
      <c r="AD907" s="1475"/>
      <c r="AE907" s="1475"/>
      <c r="AF907" s="1476"/>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1704</v>
      </c>
      <c r="G908" s="5"/>
      <c r="H908" s="5"/>
      <c r="I908" s="5"/>
      <c r="J908" s="5"/>
      <c r="K908" s="5"/>
      <c r="L908" s="5"/>
      <c r="M908" s="5"/>
      <c r="N908" s="5"/>
      <c r="O908" s="5"/>
      <c r="P908" s="5"/>
      <c r="Q908" s="5"/>
      <c r="R908" s="5"/>
      <c r="S908" s="5"/>
      <c r="T908" s="39"/>
      <c r="U908" s="1462" t="s">
        <v>299</v>
      </c>
      <c r="V908" s="1463"/>
      <c r="W908" s="1463"/>
      <c r="X908" s="1463"/>
      <c r="Y908" s="1463"/>
      <c r="Z908" s="1464"/>
      <c r="AA908" s="1474"/>
      <c r="AB908" s="1475"/>
      <c r="AC908" s="1475"/>
      <c r="AD908" s="1475"/>
      <c r="AE908" s="1475"/>
      <c r="AF908" s="1476"/>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1705</v>
      </c>
      <c r="G909" s="5"/>
      <c r="H909" s="5"/>
      <c r="I909" s="5"/>
      <c r="J909" s="5"/>
      <c r="K909" s="5"/>
      <c r="L909" s="5"/>
      <c r="M909" s="5"/>
      <c r="N909" s="5"/>
      <c r="O909" s="5"/>
      <c r="P909" s="5"/>
      <c r="Q909" s="5"/>
      <c r="R909" s="5"/>
      <c r="S909" s="5"/>
      <c r="T909" s="39"/>
      <c r="U909" s="1462" t="s">
        <v>299</v>
      </c>
      <c r="V909" s="1463"/>
      <c r="W909" s="1463"/>
      <c r="X909" s="1463"/>
      <c r="Y909" s="1463"/>
      <c r="Z909" s="1464"/>
      <c r="AA909" s="1474"/>
      <c r="AB909" s="1475"/>
      <c r="AC909" s="1475"/>
      <c r="AD909" s="1475"/>
      <c r="AE909" s="1475"/>
      <c r="AF909" s="1476"/>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1706</v>
      </c>
      <c r="G910" s="5"/>
      <c r="H910" s="5"/>
      <c r="I910" s="5"/>
      <c r="J910" s="5"/>
      <c r="K910" s="5"/>
      <c r="L910" s="5"/>
      <c r="M910" s="5"/>
      <c r="N910" s="5"/>
      <c r="O910" s="5"/>
      <c r="P910" s="5"/>
      <c r="Q910" s="5"/>
      <c r="R910" s="5"/>
      <c r="S910" s="5"/>
      <c r="T910" s="39"/>
      <c r="U910" s="1462" t="s">
        <v>299</v>
      </c>
      <c r="V910" s="1463"/>
      <c r="W910" s="1463"/>
      <c r="X910" s="1463"/>
      <c r="Y910" s="1463"/>
      <c r="Z910" s="1464"/>
      <c r="AA910" s="1474"/>
      <c r="AB910" s="1475"/>
      <c r="AC910" s="1475"/>
      <c r="AD910" s="1475"/>
      <c r="AE910" s="1475"/>
      <c r="AF910" s="147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1707</v>
      </c>
      <c r="G911" s="5"/>
      <c r="H911" s="5"/>
      <c r="I911" s="5"/>
      <c r="J911" s="5"/>
      <c r="K911" s="5"/>
      <c r="L911" s="5"/>
      <c r="M911" s="5"/>
      <c r="N911" s="5"/>
      <c r="O911" s="5"/>
      <c r="P911" s="5"/>
      <c r="Q911" s="5"/>
      <c r="R911" s="5"/>
      <c r="S911" s="5"/>
      <c r="T911" s="39"/>
      <c r="U911" s="1462" t="s">
        <v>299</v>
      </c>
      <c r="V911" s="1463"/>
      <c r="W911" s="1463"/>
      <c r="X911" s="1463"/>
      <c r="Y911" s="1463"/>
      <c r="Z911" s="1464"/>
      <c r="AA911" s="1474"/>
      <c r="AB911" s="1475"/>
      <c r="AC911" s="1475"/>
      <c r="AD911" s="1475"/>
      <c r="AE911" s="1475"/>
      <c r="AF911" s="1476"/>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1708</v>
      </c>
      <c r="G912" s="5"/>
      <c r="H912" s="5"/>
      <c r="I912" s="5"/>
      <c r="J912" s="5"/>
      <c r="K912" s="5"/>
      <c r="L912" s="5"/>
      <c r="M912" s="5"/>
      <c r="N912" s="5"/>
      <c r="O912" s="5"/>
      <c r="P912" s="5"/>
      <c r="Q912" s="5"/>
      <c r="R912" s="5"/>
      <c r="S912" s="5"/>
      <c r="T912" s="39"/>
      <c r="U912" s="1462" t="s">
        <v>299</v>
      </c>
      <c r="V912" s="1463"/>
      <c r="W912" s="1463"/>
      <c r="X912" s="1463"/>
      <c r="Y912" s="1463"/>
      <c r="Z912" s="1464"/>
      <c r="AA912" s="1474"/>
      <c r="AB912" s="1475"/>
      <c r="AC912" s="1475"/>
      <c r="AD912" s="1475"/>
      <c r="AE912" s="1475"/>
      <c r="AF912" s="1476"/>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1709</v>
      </c>
      <c r="G913" s="5"/>
      <c r="H913" s="5"/>
      <c r="I913" s="5"/>
      <c r="J913" s="5"/>
      <c r="K913" s="5"/>
      <c r="L913" s="5"/>
      <c r="M913" s="5"/>
      <c r="N913" s="5"/>
      <c r="O913" s="5"/>
      <c r="P913" s="5"/>
      <c r="Q913" s="5"/>
      <c r="R913" s="5"/>
      <c r="S913" s="5"/>
      <c r="T913" s="39"/>
      <c r="U913" s="1462" t="s">
        <v>299</v>
      </c>
      <c r="V913" s="1463"/>
      <c r="W913" s="1463"/>
      <c r="X913" s="1463"/>
      <c r="Y913" s="1463"/>
      <c r="Z913" s="1464"/>
      <c r="AA913" s="1474"/>
      <c r="AB913" s="1475"/>
      <c r="AC913" s="1475"/>
      <c r="AD913" s="1475"/>
      <c r="AE913" s="1475"/>
      <c r="AF913" s="147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1710</v>
      </c>
      <c r="G914" s="5"/>
      <c r="H914" s="5"/>
      <c r="I914" s="5"/>
      <c r="J914" s="5"/>
      <c r="K914" s="5"/>
      <c r="L914" s="5"/>
      <c r="M914" s="5"/>
      <c r="N914" s="5"/>
      <c r="O914" s="5"/>
      <c r="P914" s="5"/>
      <c r="Q914" s="5"/>
      <c r="R914" s="5"/>
      <c r="S914" s="5"/>
      <c r="T914" s="39"/>
      <c r="U914" s="1462" t="s">
        <v>299</v>
      </c>
      <c r="V914" s="1463"/>
      <c r="W914" s="1463"/>
      <c r="X914" s="1463"/>
      <c r="Y914" s="1463"/>
      <c r="Z914" s="1464"/>
      <c r="AA914" s="1474"/>
      <c r="AB914" s="1475"/>
      <c r="AC914" s="1475"/>
      <c r="AD914" s="1475"/>
      <c r="AE914" s="1475"/>
      <c r="AF914" s="1476"/>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1711</v>
      </c>
      <c r="G915" s="5"/>
      <c r="H915" s="5"/>
      <c r="I915" s="5"/>
      <c r="J915" s="5"/>
      <c r="K915" s="5"/>
      <c r="L915" s="5"/>
      <c r="M915" s="5"/>
      <c r="N915" s="5"/>
      <c r="O915" s="5"/>
      <c r="P915" s="5"/>
      <c r="Q915" s="5"/>
      <c r="R915" s="5"/>
      <c r="S915" s="5"/>
      <c r="T915" s="39"/>
      <c r="U915" s="1462" t="s">
        <v>299</v>
      </c>
      <c r="V915" s="1463"/>
      <c r="W915" s="1463"/>
      <c r="X915" s="1463"/>
      <c r="Y915" s="1463"/>
      <c r="Z915" s="1464"/>
      <c r="AA915" s="1474"/>
      <c r="AB915" s="1475"/>
      <c r="AC915" s="1475"/>
      <c r="AD915" s="1475"/>
      <c r="AE915" s="1475"/>
      <c r="AF915" s="1476"/>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1712</v>
      </c>
      <c r="G916" s="5"/>
      <c r="H916" s="5"/>
      <c r="I916" s="5"/>
      <c r="J916" s="5"/>
      <c r="K916" s="5"/>
      <c r="L916" s="5"/>
      <c r="M916" s="5"/>
      <c r="N916" s="5"/>
      <c r="O916" s="5"/>
      <c r="P916" s="1462" t="s">
        <v>837</v>
      </c>
      <c r="Q916" s="1463"/>
      <c r="R916" s="1463"/>
      <c r="S916" s="1463"/>
      <c r="T916" s="1464"/>
      <c r="U916" s="1462" t="s">
        <v>299</v>
      </c>
      <c r="V916" s="1463"/>
      <c r="W916" s="1463"/>
      <c r="X916" s="1463"/>
      <c r="Y916" s="1463"/>
      <c r="Z916" s="1464"/>
      <c r="AA916" s="1474"/>
      <c r="AB916" s="1475"/>
      <c r="AC916" s="1475"/>
      <c r="AD916" s="1475"/>
      <c r="AE916" s="1475"/>
      <c r="AF916" s="1476"/>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1156</v>
      </c>
      <c r="G917" s="41"/>
      <c r="H917" s="41"/>
      <c r="I917" s="1480" t="str">
        <f>C624</f>
        <v>City of Mountain View</v>
      </c>
      <c r="J917" s="1481"/>
      <c r="K917" s="1481"/>
      <c r="L917" s="1481"/>
      <c r="M917" s="1481"/>
      <c r="N917" s="1481"/>
      <c r="O917" s="1481"/>
      <c r="P917" s="1481"/>
      <c r="Q917" s="1481"/>
      <c r="R917" s="1481"/>
      <c r="S917" s="1481"/>
      <c r="T917" s="1482"/>
      <c r="U917" s="1462" t="s">
        <v>299</v>
      </c>
      <c r="V917" s="1463"/>
      <c r="W917" s="1463"/>
      <c r="X917" s="1463"/>
      <c r="Y917" s="1463"/>
      <c r="Z917" s="1464"/>
      <c r="AA917" s="1474">
        <f>AO624</f>
        <v>16000000</v>
      </c>
      <c r="AB917" s="1475"/>
      <c r="AC917" s="1475"/>
      <c r="AD917" s="1475"/>
      <c r="AE917" s="1475"/>
      <c r="AF917" s="1476"/>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1713</v>
      </c>
      <c r="G918" s="41"/>
      <c r="H918" s="41"/>
      <c r="I918" s="1480" t="str">
        <f>C625</f>
        <v>County of Santa Clara</v>
      </c>
      <c r="J918" s="1481"/>
      <c r="K918" s="1481"/>
      <c r="L918" s="1481"/>
      <c r="M918" s="1481"/>
      <c r="N918" s="1481"/>
      <c r="O918" s="1481"/>
      <c r="P918" s="1481"/>
      <c r="Q918" s="1481"/>
      <c r="R918" s="1481"/>
      <c r="S918" s="1481"/>
      <c r="T918" s="1482"/>
      <c r="U918" s="1462" t="s">
        <v>299</v>
      </c>
      <c r="V918" s="1463"/>
      <c r="W918" s="1463"/>
      <c r="X918" s="1463"/>
      <c r="Y918" s="1463"/>
      <c r="Z918" s="1464"/>
      <c r="AA918" s="1474">
        <f>AO625</f>
        <v>18000000</v>
      </c>
      <c r="AB918" s="1475"/>
      <c r="AC918" s="1475"/>
      <c r="AD918" s="1475"/>
      <c r="AE918" s="1475"/>
      <c r="AF918" s="1476"/>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80" t="s">
        <v>1421</v>
      </c>
      <c r="J919" s="1481"/>
      <c r="K919" s="1481"/>
      <c r="L919" s="1481"/>
      <c r="M919" s="1481"/>
      <c r="N919" s="1481"/>
      <c r="O919" s="1481"/>
      <c r="P919" s="1481"/>
      <c r="Q919" s="1481"/>
      <c r="R919" s="1481"/>
      <c r="S919" s="1481"/>
      <c r="T919" s="1482"/>
      <c r="U919" s="1462" t="s">
        <v>299</v>
      </c>
      <c r="V919" s="1463"/>
      <c r="W919" s="1463"/>
      <c r="X919" s="1463"/>
      <c r="Y919" s="1463"/>
      <c r="Z919" s="1464"/>
      <c r="AA919" s="1474"/>
      <c r="AB919" s="1475"/>
      <c r="AC919" s="1475"/>
      <c r="AD919" s="1475"/>
      <c r="AE919" s="1475"/>
      <c r="AF919" s="147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80" t="s">
        <v>1421</v>
      </c>
      <c r="J920" s="1481"/>
      <c r="K920" s="1481"/>
      <c r="L920" s="1481"/>
      <c r="M920" s="1481"/>
      <c r="N920" s="1481"/>
      <c r="O920" s="1481"/>
      <c r="P920" s="1481"/>
      <c r="Q920" s="1481"/>
      <c r="R920" s="1481"/>
      <c r="S920" s="1481"/>
      <c r="T920" s="1482"/>
      <c r="U920" s="1462" t="s">
        <v>299</v>
      </c>
      <c r="V920" s="1463"/>
      <c r="W920" s="1463"/>
      <c r="X920" s="1463"/>
      <c r="Y920" s="1463"/>
      <c r="Z920" s="1464"/>
      <c r="AA920" s="1474"/>
      <c r="AB920" s="1475"/>
      <c r="AC920" s="1475"/>
      <c r="AD920" s="1475"/>
      <c r="AE920" s="1475"/>
      <c r="AF920" s="147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1007</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1714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1715</v>
      </c>
      <c r="D925" s="5"/>
      <c r="E925" s="5"/>
      <c r="F925" s="5"/>
      <c r="G925" s="5"/>
      <c r="H925" s="5"/>
      <c r="I925" s="5"/>
      <c r="J925" s="5"/>
      <c r="K925" s="5"/>
      <c r="L925" s="39"/>
      <c r="M925" s="1619">
        <v>45061</v>
      </c>
      <c r="N925" s="1620"/>
      <c r="O925" s="1620"/>
      <c r="P925" s="1620"/>
      <c r="Q925" s="1620"/>
      <c r="R925" s="1620"/>
      <c r="S925" s="1621"/>
      <c r="U925" s="88" t="s">
        <v>1715</v>
      </c>
      <c r="V925" s="5"/>
      <c r="W925" s="5"/>
      <c r="X925" s="5"/>
      <c r="Y925" s="5"/>
      <c r="Z925" s="5"/>
      <c r="AA925" s="5"/>
      <c r="AB925" s="5"/>
      <c r="AC925" s="5"/>
      <c r="AD925" s="39"/>
      <c r="AE925" s="1619">
        <v>45062</v>
      </c>
      <c r="AF925" s="1620"/>
      <c r="AG925" s="1620"/>
      <c r="AH925" s="1620"/>
      <c r="AI925" s="1620"/>
      <c r="AJ925" s="1620"/>
      <c r="AK925" s="162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1716</v>
      </c>
      <c r="D926" s="5"/>
      <c r="E926" s="5"/>
      <c r="F926" s="5"/>
      <c r="G926" s="5"/>
      <c r="H926" s="5"/>
      <c r="I926" s="5"/>
      <c r="J926" s="5"/>
      <c r="K926" s="5"/>
      <c r="L926" s="39"/>
      <c r="M926" s="1566" t="s">
        <v>1717</v>
      </c>
      <c r="N926" s="1305"/>
      <c r="O926" s="1305"/>
      <c r="P926" s="1305"/>
      <c r="Q926" s="1305"/>
      <c r="R926" s="1305"/>
      <c r="S926" s="1567"/>
      <c r="U926" s="88" t="s">
        <v>1716</v>
      </c>
      <c r="V926" s="5"/>
      <c r="W926" s="5"/>
      <c r="X926" s="5"/>
      <c r="Y926" s="5"/>
      <c r="Z926" s="5"/>
      <c r="AA926" s="5"/>
      <c r="AB926" s="5"/>
      <c r="AC926" s="5"/>
      <c r="AD926" s="39"/>
      <c r="AE926" s="1566" t="s">
        <v>1331</v>
      </c>
      <c r="AF926" s="1305"/>
      <c r="AG926" s="1305"/>
      <c r="AH926" s="1305"/>
      <c r="AI926" s="1305"/>
      <c r="AJ926" s="1305"/>
      <c r="AK926" s="156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1718</v>
      </c>
      <c r="D927" s="5"/>
      <c r="E927" s="5"/>
      <c r="J927" s="1647" t="s">
        <v>1719</v>
      </c>
      <c r="K927" s="1648"/>
      <c r="L927" s="1648"/>
      <c r="M927" s="1648"/>
      <c r="N927" s="1648"/>
      <c r="O927" s="1648"/>
      <c r="P927" s="1648"/>
      <c r="Q927" s="1648"/>
      <c r="R927" s="1648"/>
      <c r="S927" s="1649"/>
      <c r="U927" s="88" t="s">
        <v>1718</v>
      </c>
      <c r="V927" s="5"/>
      <c r="W927" s="5"/>
      <c r="AB927" s="1647" t="s">
        <v>294</v>
      </c>
      <c r="AC927" s="1648"/>
      <c r="AD927" s="1648"/>
      <c r="AE927" s="1648"/>
      <c r="AF927" s="1648"/>
      <c r="AG927" s="1648"/>
      <c r="AH927" s="1648"/>
      <c r="AI927" s="1648"/>
      <c r="AJ927" s="1648"/>
      <c r="AK927" s="164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1720</v>
      </c>
      <c r="D928" s="5"/>
      <c r="E928" s="5"/>
      <c r="F928" s="5"/>
      <c r="G928" s="5"/>
      <c r="H928" s="5"/>
      <c r="I928" s="5"/>
      <c r="J928" s="5"/>
      <c r="K928" s="5"/>
      <c r="L928" s="39"/>
      <c r="M928" s="1491">
        <v>0.46400000000000002</v>
      </c>
      <c r="N928" s="1492"/>
      <c r="O928" s="1492"/>
      <c r="P928" s="1492"/>
      <c r="Q928" s="1492"/>
      <c r="R928" s="1492"/>
      <c r="S928" s="1493"/>
      <c r="U928" s="88" t="s">
        <v>1720</v>
      </c>
      <c r="V928" s="5"/>
      <c r="W928" s="5"/>
      <c r="X928" s="5"/>
      <c r="Y928" s="5"/>
      <c r="Z928" s="5"/>
      <c r="AA928" s="5"/>
      <c r="AB928" s="5"/>
      <c r="AC928" s="5"/>
      <c r="AD928" s="39"/>
      <c r="AE928" s="1629">
        <v>0.5</v>
      </c>
      <c r="AF928" s="1492"/>
      <c r="AG928" s="1492"/>
      <c r="AH928" s="1492"/>
      <c r="AI928" s="1492"/>
      <c r="AJ928" s="1492"/>
      <c r="AK928" s="149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1721</v>
      </c>
      <c r="D929" s="5"/>
      <c r="E929" s="5"/>
      <c r="F929" s="5"/>
      <c r="G929" s="5"/>
      <c r="H929" s="5"/>
      <c r="I929" s="5"/>
      <c r="J929" s="5"/>
      <c r="K929" s="5"/>
      <c r="L929" s="39"/>
      <c r="M929" s="1528">
        <v>39</v>
      </c>
      <c r="N929" s="1529"/>
      <c r="O929" s="1529"/>
      <c r="P929" s="1529"/>
      <c r="Q929" s="1529"/>
      <c r="R929" s="1529"/>
      <c r="S929" s="1530"/>
      <c r="U929" s="88" t="s">
        <v>1721</v>
      </c>
      <c r="V929" s="5"/>
      <c r="W929" s="5"/>
      <c r="X929" s="5"/>
      <c r="Y929" s="5"/>
      <c r="Z929" s="5"/>
      <c r="AA929" s="5"/>
      <c r="AB929" s="5"/>
      <c r="AC929" s="5"/>
      <c r="AD929" s="39"/>
      <c r="AE929" s="1528">
        <v>42</v>
      </c>
      <c r="AF929" s="1529"/>
      <c r="AG929" s="1529"/>
      <c r="AH929" s="1529"/>
      <c r="AI929" s="1529"/>
      <c r="AJ929" s="1529"/>
      <c r="AK929" s="1530"/>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1722</v>
      </c>
      <c r="D930" s="5"/>
      <c r="E930" s="5"/>
      <c r="F930" s="5"/>
      <c r="G930" s="5"/>
      <c r="H930" s="5"/>
      <c r="I930" s="5"/>
      <c r="J930" s="5"/>
      <c r="K930" s="5"/>
      <c r="L930" s="39"/>
      <c r="M930" s="1474">
        <f>'Subsidy Contract Calculation'!J30</f>
        <v>781536</v>
      </c>
      <c r="N930" s="1475"/>
      <c r="O930" s="1475"/>
      <c r="P930" s="1475"/>
      <c r="Q930" s="1475"/>
      <c r="R930" s="1475"/>
      <c r="S930" s="1476"/>
      <c r="U930" s="88" t="s">
        <v>1722</v>
      </c>
      <c r="V930" s="5"/>
      <c r="W930" s="5"/>
      <c r="X930" s="5"/>
      <c r="Y930" s="5"/>
      <c r="Z930" s="5"/>
      <c r="AA930" s="5"/>
      <c r="AB930" s="5"/>
      <c r="AC930" s="5"/>
      <c r="AD930" s="39"/>
      <c r="AE930" s="1227" t="s">
        <v>1723</v>
      </c>
      <c r="AF930" s="1475"/>
      <c r="AG930" s="1475"/>
      <c r="AH930" s="1475"/>
      <c r="AI930" s="1475"/>
      <c r="AJ930" s="1475"/>
      <c r="AK930" s="1476"/>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1724</v>
      </c>
      <c r="D931" s="5"/>
      <c r="E931" s="5"/>
      <c r="F931" s="5"/>
      <c r="G931" s="5"/>
      <c r="H931" s="5"/>
      <c r="I931" s="5"/>
      <c r="J931" s="5"/>
      <c r="K931" s="5"/>
      <c r="L931" s="39"/>
      <c r="M931" s="1474">
        <f>M930*M932</f>
        <v>15630720</v>
      </c>
      <c r="N931" s="1475"/>
      <c r="O931" s="1475"/>
      <c r="P931" s="1475"/>
      <c r="Q931" s="1475"/>
      <c r="R931" s="1475"/>
      <c r="S931" s="1476"/>
      <c r="U931" s="88" t="s">
        <v>1724</v>
      </c>
      <c r="V931" s="5"/>
      <c r="W931" s="5"/>
      <c r="X931" s="5"/>
      <c r="Y931" s="5"/>
      <c r="Z931" s="5"/>
      <c r="AA931" s="5"/>
      <c r="AB931" s="5"/>
      <c r="AC931" s="5"/>
      <c r="AD931" s="39"/>
      <c r="AE931" s="1227" t="s">
        <v>1723</v>
      </c>
      <c r="AF931" s="1475"/>
      <c r="AG931" s="1475"/>
      <c r="AH931" s="1475"/>
      <c r="AI931" s="1475"/>
      <c r="AJ931" s="1475"/>
      <c r="AK931" s="1476"/>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1325</v>
      </c>
      <c r="D932" s="5"/>
      <c r="E932" s="5"/>
      <c r="F932" s="5"/>
      <c r="G932" s="5"/>
      <c r="H932" s="5"/>
      <c r="I932" s="5"/>
      <c r="J932" s="5"/>
      <c r="K932" s="5"/>
      <c r="L932" s="39"/>
      <c r="M932" s="1382">
        <v>20</v>
      </c>
      <c r="N932" s="1383"/>
      <c r="O932" s="1383"/>
      <c r="P932" s="1383"/>
      <c r="Q932" s="1383"/>
      <c r="R932" s="1383"/>
      <c r="S932" s="1384"/>
      <c r="U932" s="88" t="s">
        <v>1325</v>
      </c>
      <c r="V932" s="5"/>
      <c r="W932" s="5"/>
      <c r="X932" s="5"/>
      <c r="Y932" s="5"/>
      <c r="Z932" s="5"/>
      <c r="AA932" s="5"/>
      <c r="AB932" s="5"/>
      <c r="AC932" s="5"/>
      <c r="AD932" s="39"/>
      <c r="AE932" s="1382">
        <v>2</v>
      </c>
      <c r="AF932" s="1383"/>
      <c r="AG932" s="1383"/>
      <c r="AH932" s="1383"/>
      <c r="AI932" s="1383"/>
      <c r="AJ932" s="1383"/>
      <c r="AK932" s="138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1083</v>
      </c>
      <c r="C934" s="2" t="s">
        <v>1725</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1726</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1727</v>
      </c>
      <c r="G937" s="5"/>
      <c r="H937" s="5"/>
      <c r="I937" s="5"/>
      <c r="J937" s="5"/>
      <c r="K937" s="5"/>
      <c r="L937" s="39"/>
      <c r="M937" s="1483"/>
      <c r="N937" s="1484"/>
      <c r="O937" s="1484"/>
      <c r="P937" s="1484"/>
      <c r="Q937" s="1484"/>
      <c r="R937" s="1484"/>
      <c r="S937" s="1485"/>
      <c r="T937" s="88" t="s">
        <v>1728</v>
      </c>
      <c r="U937" s="5"/>
      <c r="V937" s="5"/>
      <c r="W937" s="5"/>
      <c r="X937" s="5"/>
      <c r="Y937" s="5"/>
      <c r="Z937" s="39"/>
      <c r="AA937" s="1483"/>
      <c r="AB937" s="1484"/>
      <c r="AC937" s="1484"/>
      <c r="AD937" s="1484"/>
      <c r="AE937" s="1484"/>
      <c r="AF937" s="1484"/>
      <c r="AG937" s="1485"/>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1729</v>
      </c>
      <c r="G938" s="5"/>
      <c r="H938" s="5"/>
      <c r="I938" s="5"/>
      <c r="J938" s="5"/>
      <c r="K938" s="5"/>
      <c r="L938" s="39"/>
      <c r="M938" s="1483"/>
      <c r="N938" s="1484"/>
      <c r="O938" s="1484"/>
      <c r="P938" s="1484"/>
      <c r="Q938" s="1484"/>
      <c r="R938" s="1484"/>
      <c r="S938" s="1485"/>
      <c r="T938" s="88" t="s">
        <v>1730</v>
      </c>
      <c r="U938" s="5"/>
      <c r="V938" s="5"/>
      <c r="W938" s="5"/>
      <c r="X938" s="5"/>
      <c r="Y938" s="5"/>
      <c r="Z938" s="39"/>
      <c r="AA938" s="1483"/>
      <c r="AB938" s="1484"/>
      <c r="AC938" s="1484"/>
      <c r="AD938" s="1484"/>
      <c r="AE938" s="1484"/>
      <c r="AF938" s="1484"/>
      <c r="AG938" s="1485"/>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1731</v>
      </c>
      <c r="G939" s="5"/>
      <c r="H939" s="5"/>
      <c r="I939" s="5"/>
      <c r="J939" s="5"/>
      <c r="K939" s="5"/>
      <c r="L939" s="39"/>
      <c r="M939" s="1625" t="s">
        <v>299</v>
      </c>
      <c r="N939" s="1626"/>
      <c r="O939" s="1626"/>
      <c r="P939" s="1626"/>
      <c r="Q939" s="1626"/>
      <c r="R939" s="1626"/>
      <c r="S939" s="1627"/>
      <c r="T939" s="38" t="s">
        <v>1732</v>
      </c>
      <c r="U939" s="5"/>
      <c r="V939" s="5"/>
      <c r="W939" s="5"/>
      <c r="X939" s="5"/>
      <c r="Y939" s="5"/>
      <c r="Z939" s="39"/>
      <c r="AA939" s="1483"/>
      <c r="AB939" s="1484"/>
      <c r="AC939" s="1484"/>
      <c r="AD939" s="1484"/>
      <c r="AE939" s="1484"/>
      <c r="AF939" s="1484"/>
      <c r="AG939" s="1485"/>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1733</v>
      </c>
      <c r="G940" s="5"/>
      <c r="H940" s="5"/>
      <c r="I940" s="5"/>
      <c r="J940" s="5"/>
      <c r="K940" s="5"/>
      <c r="L940" s="39"/>
      <c r="M940" s="1483"/>
      <c r="N940" s="1484"/>
      <c r="O940" s="1484"/>
      <c r="P940" s="1484"/>
      <c r="Q940" s="1484"/>
      <c r="R940" s="1484"/>
      <c r="S940" s="1485"/>
      <c r="T940" s="38" t="s">
        <v>1734</v>
      </c>
      <c r="U940" s="5"/>
      <c r="V940" s="5"/>
      <c r="W940" s="5"/>
      <c r="X940" s="5"/>
      <c r="Y940" s="5"/>
      <c r="Z940" s="39"/>
      <c r="AA940" s="1483"/>
      <c r="AB940" s="1484"/>
      <c r="AC940" s="1484"/>
      <c r="AD940" s="1484"/>
      <c r="AE940" s="1484"/>
      <c r="AF940" s="1484"/>
      <c r="AG940" s="1485"/>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1735</v>
      </c>
      <c r="G941" s="5"/>
      <c r="H941" s="5"/>
      <c r="I941" s="5"/>
      <c r="J941" s="5"/>
      <c r="K941" s="5"/>
      <c r="L941" s="39"/>
      <c r="M941" s="1483"/>
      <c r="N941" s="1484"/>
      <c r="O941" s="1484"/>
      <c r="P941" s="1484"/>
      <c r="Q941" s="1484"/>
      <c r="R941" s="1484"/>
      <c r="S941" s="1485"/>
      <c r="T941" s="38" t="s">
        <v>1736</v>
      </c>
      <c r="U941" s="5"/>
      <c r="V941" s="5"/>
      <c r="W941" s="5"/>
      <c r="X941" s="5"/>
      <c r="Y941" s="5"/>
      <c r="Z941" s="39"/>
      <c r="AA941" s="1483"/>
      <c r="AB941" s="1484"/>
      <c r="AC941" s="1484"/>
      <c r="AD941" s="1484"/>
      <c r="AE941" s="1484"/>
      <c r="AF941" s="1484"/>
      <c r="AG941" s="1485"/>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1718</v>
      </c>
      <c r="G942" s="35"/>
      <c r="H942" s="35"/>
      <c r="I942" s="35"/>
      <c r="J942" s="35"/>
      <c r="K942" s="35"/>
      <c r="L942" s="51"/>
      <c r="M942" s="1633" t="s">
        <v>294</v>
      </c>
      <c r="N942" s="1634"/>
      <c r="O942" s="1634"/>
      <c r="P942" s="1634"/>
      <c r="Q942" s="1634"/>
      <c r="R942" s="1634"/>
      <c r="S942" s="1635"/>
      <c r="T942" s="1477"/>
      <c r="U942" s="1478"/>
      <c r="V942" s="1478"/>
      <c r="W942" s="1478"/>
      <c r="X942" s="1478"/>
      <c r="Y942" s="1478"/>
      <c r="Z942" s="1479"/>
      <c r="AA942" s="1483"/>
      <c r="AB942" s="1484"/>
      <c r="AC942" s="1484"/>
      <c r="AD942" s="1484"/>
      <c r="AE942" s="1484"/>
      <c r="AF942" s="1484"/>
      <c r="AG942" s="1485"/>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1737</v>
      </c>
      <c r="G943" s="35"/>
      <c r="H943" s="35"/>
      <c r="I943" s="35"/>
      <c r="J943" s="35"/>
      <c r="K943" s="35"/>
      <c r="L943" s="51"/>
      <c r="M943" s="1483"/>
      <c r="N943" s="1484"/>
      <c r="O943" s="1484"/>
      <c r="P943" s="1484"/>
      <c r="Q943" s="1484"/>
      <c r="R943" s="1484"/>
      <c r="S943" s="1485"/>
      <c r="T943" s="1477"/>
      <c r="U943" s="1478"/>
      <c r="V943" s="1478"/>
      <c r="W943" s="1478"/>
      <c r="X943" s="1478"/>
      <c r="Y943" s="1478"/>
      <c r="Z943" s="1479"/>
      <c r="AA943" s="1483"/>
      <c r="AB943" s="1484"/>
      <c r="AC943" s="1484"/>
      <c r="AD943" s="1484"/>
      <c r="AE943" s="1484"/>
      <c r="AF943" s="1484"/>
      <c r="AG943" s="1485"/>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1738</v>
      </c>
      <c r="G944" s="35"/>
      <c r="H944" s="35"/>
      <c r="I944" s="35"/>
      <c r="J944" s="35"/>
      <c r="K944" s="35"/>
      <c r="L944" s="35"/>
      <c r="M944" s="35"/>
      <c r="N944" s="35"/>
      <c r="O944" s="1622" t="s">
        <v>837</v>
      </c>
      <c r="P944" s="1623"/>
      <c r="Q944" s="68"/>
      <c r="R944" s="68"/>
      <c r="S944" s="69"/>
      <c r="T944" s="34" t="s">
        <v>232</v>
      </c>
      <c r="U944" s="35"/>
      <c r="V944" s="35"/>
      <c r="W944" s="1630" t="s">
        <v>1421</v>
      </c>
      <c r="X944" s="1631"/>
      <c r="Y944" s="1631"/>
      <c r="Z944" s="1631"/>
      <c r="AA944" s="1631"/>
      <c r="AB944" s="1631"/>
      <c r="AC944" s="1631"/>
      <c r="AD944" s="1631"/>
      <c r="AE944" s="1631"/>
      <c r="AF944" s="1631"/>
      <c r="AG944" s="163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24" t="s">
        <v>1739</v>
      </c>
      <c r="G945" s="1306"/>
      <c r="H945" s="1306"/>
      <c r="I945" s="1306"/>
      <c r="J945" s="1306"/>
      <c r="K945" s="1306"/>
      <c r="L945" s="1306"/>
      <c r="M945" s="1483"/>
      <c r="N945" s="1484"/>
      <c r="O945" s="1484"/>
      <c r="P945" s="1484"/>
      <c r="Q945" s="1484"/>
      <c r="R945" s="1484"/>
      <c r="S945" s="1485"/>
      <c r="T945" s="40"/>
      <c r="U945" s="41"/>
      <c r="V945" s="41"/>
      <c r="W945" s="41"/>
      <c r="X945" s="41"/>
      <c r="Y945" s="41"/>
      <c r="Z945" s="91" t="s">
        <v>1740</v>
      </c>
      <c r="AA945" s="1471"/>
      <c r="AB945" s="1472"/>
      <c r="AC945" s="1472"/>
      <c r="AD945" s="1472"/>
      <c r="AE945" s="1472"/>
      <c r="AF945" s="1472"/>
      <c r="AG945" s="1473"/>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90" t="s">
        <v>1741</v>
      </c>
      <c r="B949" s="1490"/>
      <c r="C949" s="1490"/>
      <c r="D949" s="1490"/>
      <c r="E949" s="1490"/>
      <c r="F949" s="1490"/>
      <c r="G949" s="1490"/>
      <c r="H949" s="1490"/>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c r="AF949" s="1490"/>
      <c r="AG949" s="1490"/>
      <c r="AH949" s="1490"/>
      <c r="AI949" s="1490"/>
      <c r="AJ949" s="1490"/>
      <c r="AK949" s="1490"/>
      <c r="AL949" s="1490"/>
      <c r="AM949" s="1490"/>
      <c r="AN949" s="1490"/>
      <c r="AO949" s="1490"/>
      <c r="AP949" s="1490"/>
      <c r="AQ949" s="1490"/>
      <c r="AR949" s="1490"/>
      <c r="AS949" s="1490"/>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90"/>
      <c r="B950" s="1490"/>
      <c r="C950" s="1490"/>
      <c r="D950" s="1490"/>
      <c r="E950" s="1490"/>
      <c r="F950" s="1490"/>
      <c r="G950" s="1490"/>
      <c r="H950" s="1490"/>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c r="AF950" s="1490"/>
      <c r="AG950" s="1490"/>
      <c r="AH950" s="1490"/>
      <c r="AI950" s="1490"/>
      <c r="AJ950" s="1490"/>
      <c r="AK950" s="1490"/>
      <c r="AL950" s="1490"/>
      <c r="AM950" s="1490"/>
      <c r="AN950" s="1490"/>
      <c r="AO950" s="1490"/>
      <c r="AP950" s="1490"/>
      <c r="AQ950" s="1490"/>
      <c r="AR950" s="1490"/>
      <c r="AS950" s="1490"/>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89"/>
      <c r="BH951" s="1589"/>
      <c r="BI951" s="1589"/>
      <c r="BJ951" s="1589"/>
      <c r="BK951" s="1589"/>
      <c r="BL951" s="1589"/>
    </row>
    <row r="952" spans="1:110" s="14" customFormat="1" ht="12.95" customHeight="1">
      <c r="A952" s="2" t="s">
        <v>971</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23" t="s">
        <v>1742</v>
      </c>
      <c r="E954" s="1424"/>
      <c r="F954" s="1424"/>
      <c r="G954" s="1424"/>
      <c r="H954" s="1424"/>
      <c r="I954" s="1424"/>
      <c r="J954" s="1424"/>
      <c r="K954" s="1424"/>
      <c r="L954" s="1424"/>
      <c r="M954" s="1424"/>
      <c r="N954" s="1424"/>
      <c r="O954" s="1424"/>
      <c r="P954" s="1424"/>
      <c r="Q954" s="1425"/>
      <c r="R954" s="1423" t="s">
        <v>1743</v>
      </c>
      <c r="S954" s="1424"/>
      <c r="T954" s="1424"/>
      <c r="U954" s="1424"/>
      <c r="V954" s="1424"/>
      <c r="W954" s="1424"/>
      <c r="X954" s="1424"/>
      <c r="Y954" s="1424"/>
      <c r="Z954" s="1424"/>
      <c r="AA954" s="1425"/>
      <c r="AB954" s="1423" t="s">
        <v>1744</v>
      </c>
      <c r="AC954" s="1424"/>
      <c r="AD954" s="1424"/>
      <c r="AE954" s="1424"/>
      <c r="AF954" s="1424"/>
      <c r="AG954" s="1424"/>
      <c r="AH954" s="1424"/>
      <c r="AI954" s="1425"/>
      <c r="AJ954" s="1423" t="s">
        <v>1745</v>
      </c>
      <c r="AK954" s="1424"/>
      <c r="AL954" s="1424"/>
      <c r="AM954" s="1424"/>
      <c r="AN954" s="1424"/>
      <c r="AO954" s="1424"/>
      <c r="AP954" s="1424"/>
      <c r="AQ954" s="1425"/>
      <c r="AR954" s="1173"/>
      <c r="AS954" s="1173"/>
      <c r="AT954" s="1173"/>
      <c r="AU954" s="1173"/>
      <c r="AV954" s="1173"/>
      <c r="AW954" s="1173"/>
      <c r="AX954" s="1173"/>
      <c r="AY954" s="1173"/>
      <c r="AZ954" s="26"/>
    </row>
    <row r="955" spans="1:110" s="14" customFormat="1" ht="12.95" customHeight="1">
      <c r="B955" s="59"/>
      <c r="C955" s="850"/>
      <c r="D955" s="1420" t="s">
        <v>1514</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532060</v>
      </c>
      <c r="S955" s="1461"/>
      <c r="T955" s="1461"/>
      <c r="U955" s="1461"/>
      <c r="V955" s="1461"/>
      <c r="W955" s="1461"/>
      <c r="X955" s="1461"/>
      <c r="Y955" s="1461"/>
      <c r="Z955" s="1461"/>
      <c r="AA955" s="1461"/>
      <c r="AB955" s="1379">
        <f>BN649</f>
        <v>24</v>
      </c>
      <c r="AC955" s="1380"/>
      <c r="AD955" s="1380"/>
      <c r="AE955" s="1380"/>
      <c r="AF955" s="1380"/>
      <c r="AG955" s="1380"/>
      <c r="AH955" s="1380"/>
      <c r="AI955" s="1381"/>
      <c r="AJ955" s="1392">
        <f>IF(ISERROR((R955*AB955)),0,(R955*AB955))</f>
        <v>12769440</v>
      </c>
      <c r="AK955" s="1393"/>
      <c r="AL955" s="1393"/>
      <c r="AM955" s="1393"/>
      <c r="AN955" s="1393"/>
      <c r="AO955" s="1393"/>
      <c r="AP955" s="1393"/>
      <c r="AQ955" s="1394"/>
      <c r="AR955" s="1173"/>
      <c r="AS955" s="1173"/>
      <c r="AT955" s="1173"/>
      <c r="AU955" s="1173"/>
      <c r="AV955" s="1173"/>
      <c r="AW955" s="1173"/>
      <c r="AX955" s="1173"/>
      <c r="AY955" s="1173"/>
      <c r="AZ955" s="26"/>
    </row>
    <row r="956" spans="1:110" s="14" customFormat="1" ht="12.95" customHeight="1">
      <c r="B956" s="59"/>
      <c r="C956" s="63"/>
      <c r="D956" s="1420" t="s">
        <v>1515</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613460</v>
      </c>
      <c r="S956" s="1461"/>
      <c r="T956" s="1461"/>
      <c r="U956" s="1461"/>
      <c r="V956" s="1461"/>
      <c r="W956" s="1461"/>
      <c r="X956" s="1461"/>
      <c r="Y956" s="1461"/>
      <c r="Z956" s="1461"/>
      <c r="AA956" s="1461"/>
      <c r="AB956" s="1379">
        <f>BS649</f>
        <v>18</v>
      </c>
      <c r="AC956" s="1380"/>
      <c r="AD956" s="1380"/>
      <c r="AE956" s="1380"/>
      <c r="AF956" s="1380"/>
      <c r="AG956" s="1380"/>
      <c r="AH956" s="1380"/>
      <c r="AI956" s="1381"/>
      <c r="AJ956" s="1392">
        <f>IF(ISERROR((R956*AB956)),0,(R956*AB956))</f>
        <v>11042280</v>
      </c>
      <c r="AK956" s="1393"/>
      <c r="AL956" s="1393"/>
      <c r="AM956" s="1393"/>
      <c r="AN956" s="1393"/>
      <c r="AO956" s="1393"/>
      <c r="AP956" s="1393"/>
      <c r="AQ956" s="1394"/>
      <c r="AR956" s="1173"/>
      <c r="AS956" s="1173"/>
      <c r="AT956" s="1173"/>
      <c r="AU956" s="1173"/>
      <c r="AV956" s="1173"/>
      <c r="AW956" s="1173"/>
      <c r="AX956" s="1173"/>
      <c r="AY956" s="1173"/>
    </row>
    <row r="957" spans="1:110" s="14" customFormat="1" ht="12.95" customHeight="1">
      <c r="B957" s="59"/>
      <c r="C957" s="63"/>
      <c r="D957" s="1420" t="s">
        <v>1516</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740000</v>
      </c>
      <c r="S957" s="1461"/>
      <c r="T957" s="1461"/>
      <c r="U957" s="1461"/>
      <c r="V957" s="1461"/>
      <c r="W957" s="1461"/>
      <c r="X957" s="1461"/>
      <c r="Y957" s="1461"/>
      <c r="Z957" s="1461"/>
      <c r="AA957" s="1461"/>
      <c r="AB957" s="1379">
        <f>BX649</f>
        <v>21</v>
      </c>
      <c r="AC957" s="1380"/>
      <c r="AD957" s="1380"/>
      <c r="AE957" s="1380"/>
      <c r="AF957" s="1380"/>
      <c r="AG957" s="1380"/>
      <c r="AH957" s="1380"/>
      <c r="AI957" s="1381"/>
      <c r="AJ957" s="1392">
        <f>IF(ISERROR((R957*AB957)),0,(R957*AB957))</f>
        <v>15540000</v>
      </c>
      <c r="AK957" s="1393"/>
      <c r="AL957" s="1393"/>
      <c r="AM957" s="1393"/>
      <c r="AN957" s="1393"/>
      <c r="AO957" s="1393"/>
      <c r="AP957" s="1393"/>
      <c r="AQ957" s="1394"/>
      <c r="AR957" s="1173"/>
      <c r="AS957" s="1173"/>
      <c r="AT957" s="1173"/>
      <c r="AU957" s="1173"/>
      <c r="AV957" s="1173"/>
      <c r="AW957" s="1173"/>
      <c r="AX957" s="1173"/>
      <c r="AY957" s="1173"/>
    </row>
    <row r="958" spans="1:110" s="14" customFormat="1" ht="12.95" customHeight="1">
      <c r="B958" s="59"/>
      <c r="C958" s="63"/>
      <c r="D958" s="1420" t="s">
        <v>1517</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947200</v>
      </c>
      <c r="S958" s="1461"/>
      <c r="T958" s="1461"/>
      <c r="U958" s="1461"/>
      <c r="V958" s="1461"/>
      <c r="W958" s="1461"/>
      <c r="X958" s="1461"/>
      <c r="Y958" s="1461"/>
      <c r="Z958" s="1461"/>
      <c r="AA958" s="1461"/>
      <c r="AB958" s="1379">
        <f>CC649</f>
        <v>22</v>
      </c>
      <c r="AC958" s="1380"/>
      <c r="AD958" s="1380"/>
      <c r="AE958" s="1380"/>
      <c r="AF958" s="1380"/>
      <c r="AG958" s="1380"/>
      <c r="AH958" s="1380"/>
      <c r="AI958" s="1381"/>
      <c r="AJ958" s="1392">
        <f>IF(ISERROR((R958*AB958)),0,(R958*AB958))</f>
        <v>20838400</v>
      </c>
      <c r="AK958" s="1393"/>
      <c r="AL958" s="1393"/>
      <c r="AM958" s="1393"/>
      <c r="AN958" s="1393"/>
      <c r="AO958" s="1393"/>
      <c r="AP958" s="1393"/>
      <c r="AQ958" s="1394"/>
      <c r="AR958" s="1173"/>
      <c r="AS958" s="1173"/>
      <c r="AT958" s="1173"/>
      <c r="AU958" s="1173"/>
      <c r="AV958" s="1173"/>
      <c r="AW958" s="1173"/>
      <c r="AX958" s="1173"/>
      <c r="AY958" s="1173"/>
    </row>
    <row r="959" spans="1:110" ht="12.95" customHeight="1">
      <c r="A959" s="14"/>
      <c r="B959" s="40"/>
      <c r="C959" s="61"/>
      <c r="D959" s="1420" t="s">
        <v>1518</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1055240</v>
      </c>
      <c r="S959" s="1461"/>
      <c r="T959" s="1461"/>
      <c r="U959" s="1461"/>
      <c r="V959" s="1461"/>
      <c r="W959" s="1461"/>
      <c r="X959" s="1461"/>
      <c r="Y959" s="1461"/>
      <c r="Z959" s="1461"/>
      <c r="AA959" s="1461"/>
      <c r="AB959" s="1379">
        <f>CM649+CH649</f>
        <v>0</v>
      </c>
      <c r="AC959" s="1380"/>
      <c r="AD959" s="1380"/>
      <c r="AE959" s="1380"/>
      <c r="AF959" s="1380"/>
      <c r="AG959" s="1380"/>
      <c r="AH959" s="1380"/>
      <c r="AI959" s="1381"/>
      <c r="AJ959" s="1392">
        <f>IF(ISERROR((R959*AB959)),0,(R959*AB959))</f>
        <v>0</v>
      </c>
      <c r="AK959" s="1393"/>
      <c r="AL959" s="1393"/>
      <c r="AM959" s="1393"/>
      <c r="AN959" s="1393"/>
      <c r="AO959" s="1393"/>
      <c r="AP959" s="1393"/>
      <c r="AQ959" s="1394"/>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40" t="s">
        <v>1746</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85</v>
      </c>
      <c r="AC960" s="1380"/>
      <c r="AD960" s="1380"/>
      <c r="AE960" s="1380"/>
      <c r="AF960" s="1380"/>
      <c r="AG960" s="1380"/>
      <c r="AH960" s="1380"/>
      <c r="AI960" s="1381"/>
      <c r="AJ960" s="1392"/>
      <c r="AK960" s="1393"/>
      <c r="AL960" s="1393"/>
      <c r="AM960" s="1393"/>
      <c r="AN960" s="1393"/>
      <c r="AO960" s="1393"/>
      <c r="AP960" s="1393"/>
      <c r="AQ960" s="1394"/>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8" t="s">
        <v>1747</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60190120</v>
      </c>
      <c r="AK961" s="1393"/>
      <c r="AL961" s="1393"/>
      <c r="AM961" s="1393"/>
      <c r="AN961" s="1393"/>
      <c r="AO961" s="1393"/>
      <c r="AP961" s="1393"/>
      <c r="AQ961" s="1394"/>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1748</v>
      </c>
      <c r="AG962" s="1402"/>
      <c r="AH962" s="1402"/>
      <c r="AI962" s="1403"/>
      <c r="AJ962" s="1395"/>
      <c r="AK962" s="1396"/>
      <c r="AL962" s="1396"/>
      <c r="AM962" s="1396"/>
      <c r="AN962" s="1396"/>
      <c r="AO962" s="1396"/>
      <c r="AP962" s="1396"/>
      <c r="AQ962" s="1397"/>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1749</v>
      </c>
      <c r="D963" s="1408" t="s">
        <v>1750</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62"/>
      <c r="AG963" s="1404" t="s">
        <v>946</v>
      </c>
      <c r="AH963" s="1405"/>
      <c r="AI963" s="65"/>
      <c r="AJ963" s="1431">
        <f>ROUND(IF(AND(AG963="yes",D965&gt;0),AJ961*0.2,0),0)</f>
        <v>12038024</v>
      </c>
      <c r="AK963" s="1432"/>
      <c r="AL963" s="1432"/>
      <c r="AM963" s="1432"/>
      <c r="AN963" s="1432"/>
      <c r="AO963" s="1432"/>
      <c r="AP963" s="1432"/>
      <c r="AQ963" s="1433"/>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3" t="s">
        <v>1751</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59"/>
      <c r="AG964" s="14"/>
      <c r="AH964" s="14"/>
      <c r="AI964" s="63"/>
      <c r="AJ964" s="1434"/>
      <c r="AK964" s="1435"/>
      <c r="AL964" s="1435"/>
      <c r="AM964" s="1435"/>
      <c r="AN964" s="1435"/>
      <c r="AO964" s="1435"/>
      <c r="AP964" s="1435"/>
      <c r="AQ964" s="1436"/>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6" t="s">
        <v>1752</v>
      </c>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60"/>
      <c r="AG965" s="7"/>
      <c r="AH965" s="7"/>
      <c r="AI965" s="61"/>
      <c r="AJ965" s="1437"/>
      <c r="AK965" s="1438"/>
      <c r="AL965" s="1438"/>
      <c r="AM965" s="1438"/>
      <c r="AN965" s="1438"/>
      <c r="AO965" s="1438"/>
      <c r="AP965" s="1438"/>
      <c r="AQ965" s="1439"/>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8" t="s">
        <v>1753</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62"/>
      <c r="AG966" s="1406" t="s">
        <v>837</v>
      </c>
      <c r="AH966" s="1407"/>
      <c r="AI966" s="65"/>
      <c r="AJ966" s="1431">
        <f>ROUND(IF(AG966="yes",AJ961*0.05,0),0)</f>
        <v>0</v>
      </c>
      <c r="AK966" s="1432"/>
      <c r="AL966" s="1432"/>
      <c r="AM966" s="1432"/>
      <c r="AN966" s="1432"/>
      <c r="AO966" s="1432"/>
      <c r="AP966" s="1432"/>
      <c r="AQ966" s="1433"/>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43" t="s">
        <v>1754</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59"/>
      <c r="AG967" s="14"/>
      <c r="AH967" s="14"/>
      <c r="AI967" s="63"/>
      <c r="AJ967" s="1434"/>
      <c r="AK967" s="1435"/>
      <c r="AL967" s="1435"/>
      <c r="AM967" s="1435"/>
      <c r="AN967" s="1435"/>
      <c r="AO967" s="1435"/>
      <c r="AP967" s="1435"/>
      <c r="AQ967" s="1436"/>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59"/>
      <c r="AG968" s="14"/>
      <c r="AH968" s="14"/>
      <c r="AI968" s="63"/>
      <c r="AJ968" s="1434"/>
      <c r="AK968" s="1435"/>
      <c r="AL968" s="1435"/>
      <c r="AM968" s="1435"/>
      <c r="AN968" s="1435"/>
      <c r="AO968" s="1435"/>
      <c r="AP968" s="1435"/>
      <c r="AQ968" s="1436"/>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59"/>
      <c r="AG969" s="14"/>
      <c r="AH969" s="14"/>
      <c r="AI969" s="63"/>
      <c r="AJ969" s="1434"/>
      <c r="AK969" s="1435"/>
      <c r="AL969" s="1435"/>
      <c r="AM969" s="1435"/>
      <c r="AN969" s="1435"/>
      <c r="AO969" s="1435"/>
      <c r="AP969" s="1435"/>
      <c r="AQ969" s="1436"/>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59"/>
      <c r="AG970" s="14"/>
      <c r="AH970" s="14"/>
      <c r="AI970" s="63"/>
      <c r="AJ970" s="1434"/>
      <c r="AK970" s="1435"/>
      <c r="AL970" s="1435"/>
      <c r="AM970" s="1435"/>
      <c r="AN970" s="1435"/>
      <c r="AO970" s="1435"/>
      <c r="AP970" s="1435"/>
      <c r="AQ970" s="1436"/>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60"/>
      <c r="AG971" s="7"/>
      <c r="AH971" s="7"/>
      <c r="AI971" s="61"/>
      <c r="AJ971" s="1437"/>
      <c r="AK971" s="1438"/>
      <c r="AL971" s="1438"/>
      <c r="AM971" s="1438"/>
      <c r="AN971" s="1438"/>
      <c r="AO971" s="1438"/>
      <c r="AP971" s="1438"/>
      <c r="AQ971" s="1439"/>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1755</v>
      </c>
      <c r="D972" s="1398" t="s">
        <v>1756</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64"/>
      <c r="AG972" s="1406" t="s">
        <v>946</v>
      </c>
      <c r="AH972" s="1407"/>
      <c r="AI972" s="65"/>
      <c r="AJ972" s="1431">
        <f>ROUND(IF(AG972="yes",AJ961*0.1,0),0)</f>
        <v>6019012</v>
      </c>
      <c r="AK972" s="1432"/>
      <c r="AL972" s="1432"/>
      <c r="AM972" s="1432"/>
      <c r="AN972" s="1432"/>
      <c r="AO972" s="1432"/>
      <c r="AP972" s="1432"/>
      <c r="AQ972" s="1433"/>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6" t="s">
        <v>1757</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59"/>
      <c r="AI973" s="63"/>
      <c r="AJ973" s="1434"/>
      <c r="AK973" s="1435"/>
      <c r="AL973" s="1435"/>
      <c r="AM973" s="1435"/>
      <c r="AN973" s="1435"/>
      <c r="AO973" s="1435"/>
      <c r="AP973" s="1435"/>
      <c r="AQ973" s="1436"/>
      <c r="AR973" s="1173"/>
      <c r="AS973" s="1173"/>
      <c r="AT973" s="1173"/>
      <c r="AU973" s="1173"/>
      <c r="AV973" s="1173"/>
      <c r="AW973" s="1173"/>
      <c r="AX973" s="1173"/>
      <c r="AY973" s="1173"/>
      <c r="AZ973" s="3"/>
      <c r="BA973" s="837">
        <f>G739+O782</f>
        <v>84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59"/>
      <c r="AG974" s="14"/>
      <c r="AH974" s="14"/>
      <c r="AI974" s="63"/>
      <c r="AJ974" s="1434"/>
      <c r="AK974" s="1435"/>
      <c r="AL974" s="1435"/>
      <c r="AM974" s="1435"/>
      <c r="AN974" s="1435"/>
      <c r="AO974" s="1435"/>
      <c r="AP974" s="1435"/>
      <c r="AQ974" s="1436"/>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60"/>
      <c r="AG975" s="7"/>
      <c r="AH975" s="7"/>
      <c r="AI975" s="61"/>
      <c r="AJ975" s="1437"/>
      <c r="AK975" s="1438"/>
      <c r="AL975" s="1438"/>
      <c r="AM975" s="1438"/>
      <c r="AN975" s="1438"/>
      <c r="AO975" s="1438"/>
      <c r="AP975" s="1438"/>
      <c r="AQ975" s="1439"/>
      <c r="AR975" s="1173"/>
      <c r="AS975" s="1173"/>
      <c r="AT975" s="1173"/>
      <c r="AU975" s="1173"/>
      <c r="AV975" s="1173"/>
      <c r="AW975" s="1173"/>
      <c r="AX975" s="1173"/>
      <c r="AY975" s="1173"/>
      <c r="AZ975" s="3"/>
      <c r="BA975" s="836">
        <f>ROUNDDOWN(X1013/I1013,2)</f>
        <v>0.5</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1758</v>
      </c>
      <c r="D976" s="1398" t="s">
        <v>1759</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62"/>
      <c r="AG976" s="1406" t="s">
        <v>837</v>
      </c>
      <c r="AH976" s="1407"/>
      <c r="AI976" s="65"/>
      <c r="AJ976" s="1431">
        <f>ROUND(IF(AG976="yes",AJ961*0.02,0),0)</f>
        <v>0</v>
      </c>
      <c r="AK976" s="1432"/>
      <c r="AL976" s="1432"/>
      <c r="AM976" s="1432"/>
      <c r="AN976" s="1432"/>
      <c r="AO976" s="1432"/>
      <c r="AP976" s="1432"/>
      <c r="AQ976" s="1433"/>
      <c r="AR976" s="1173"/>
      <c r="AS976" s="1173"/>
      <c r="AT976" s="1173"/>
      <c r="AU976" s="1173"/>
      <c r="AV976" s="1173"/>
      <c r="AW976" s="1173"/>
      <c r="AX976" s="1173"/>
      <c r="AY976" s="1173"/>
      <c r="AZ976" s="3"/>
      <c r="BA976" s="836">
        <f>ROUNDDOWN(X1017/I1017,2)</f>
        <v>0.5</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11" t="s">
        <v>1760</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60"/>
      <c r="AG977" s="7"/>
      <c r="AH977" s="7"/>
      <c r="AI977" s="61"/>
      <c r="AJ977" s="1437"/>
      <c r="AK977" s="1438"/>
      <c r="AL977" s="1438"/>
      <c r="AM977" s="1438"/>
      <c r="AN977" s="1438"/>
      <c r="AO977" s="1438"/>
      <c r="AP977" s="1438"/>
      <c r="AQ977" s="1439"/>
      <c r="AR977" s="1173"/>
      <c r="AS977" s="1173"/>
      <c r="AT977" s="1173"/>
      <c r="AU977" s="1173"/>
      <c r="AV977" s="1173"/>
      <c r="AW977" s="1173"/>
      <c r="AX977" s="1173"/>
      <c r="AY977" s="1173"/>
      <c r="BB977" s="3"/>
      <c r="BC977" s="3"/>
      <c r="BD977" s="3"/>
      <c r="BE977" s="3"/>
      <c r="BF977" s="3"/>
    </row>
    <row r="978" spans="1:58" ht="12.95" customHeight="1">
      <c r="A978" s="14"/>
      <c r="B978" s="62"/>
      <c r="C978" s="261" t="s">
        <v>1761</v>
      </c>
      <c r="D978" s="1398" t="s">
        <v>1762</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62"/>
      <c r="AG978" s="1406" t="s">
        <v>837</v>
      </c>
      <c r="AH978" s="1407"/>
      <c r="AI978" s="62"/>
      <c r="AJ978" s="1431">
        <f>ROUND(IF(AG978="yes",AJ961*0.02,0),0)</f>
        <v>0</v>
      </c>
      <c r="AK978" s="1432"/>
      <c r="AL978" s="1432"/>
      <c r="AM978" s="1432"/>
      <c r="AN978" s="1432"/>
      <c r="AO978" s="1432"/>
      <c r="AP978" s="1432"/>
      <c r="AQ978" s="1433"/>
      <c r="AR978" s="1173"/>
      <c r="AS978" s="1173"/>
      <c r="AT978" s="1173"/>
      <c r="AU978" s="1173"/>
      <c r="AV978" s="1173"/>
      <c r="AW978" s="1173"/>
      <c r="AX978" s="1173"/>
      <c r="AY978" s="1173"/>
    </row>
    <row r="979" spans="1:58" ht="12.95" customHeight="1">
      <c r="A979" s="14"/>
      <c r="B979" s="59"/>
      <c r="C979" s="1183"/>
      <c r="D979" s="1386" t="s">
        <v>1763</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59"/>
      <c r="AI979" s="14"/>
      <c r="AJ979" s="1434"/>
      <c r="AK979" s="1435"/>
      <c r="AL979" s="1435"/>
      <c r="AM979" s="1435"/>
      <c r="AN979" s="1435"/>
      <c r="AO979" s="1435"/>
      <c r="AP979" s="1435"/>
      <c r="AQ979" s="1436"/>
      <c r="AR979" s="1173"/>
      <c r="AS979" s="1173"/>
      <c r="AT979" s="1173"/>
      <c r="AU979" s="1173"/>
      <c r="AV979" s="1173"/>
      <c r="AW979" s="1173"/>
      <c r="AX979" s="1173"/>
      <c r="AY979" s="1173"/>
    </row>
    <row r="980" spans="1:58" ht="12.95" customHeight="1">
      <c r="A980" s="14"/>
      <c r="B980" s="1181"/>
      <c r="C980" s="1182"/>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60"/>
      <c r="AG980" s="7"/>
      <c r="AH980" s="7"/>
      <c r="AI980" s="61"/>
      <c r="AJ980" s="1437"/>
      <c r="AK980" s="1438"/>
      <c r="AL980" s="1438"/>
      <c r="AM980" s="1438"/>
      <c r="AN980" s="1438"/>
      <c r="AO980" s="1438"/>
      <c r="AP980" s="1438"/>
      <c r="AQ980" s="1439"/>
      <c r="AR980" s="1173"/>
      <c r="AS980" s="1173"/>
      <c r="AT980" s="1173"/>
      <c r="AU980" s="1173"/>
      <c r="AV980" s="1173"/>
      <c r="AW980" s="1173"/>
      <c r="AX980" s="1173"/>
      <c r="AY980" s="1173"/>
    </row>
    <row r="981" spans="1:58" ht="12.95" customHeight="1">
      <c r="A981" s="14"/>
      <c r="B981" s="62"/>
      <c r="C981" s="261" t="s">
        <v>1764</v>
      </c>
      <c r="D981" s="1408" t="s">
        <v>1765</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62"/>
      <c r="AG981" s="1406" t="s">
        <v>837</v>
      </c>
      <c r="AH981" s="1407"/>
      <c r="AI981" s="65"/>
      <c r="AJ981" s="1431">
        <f>IF(AG981="yes",AJ961*BA981,0)</f>
        <v>0</v>
      </c>
      <c r="AK981" s="1432"/>
      <c r="AL981" s="1432"/>
      <c r="AM981" s="1432"/>
      <c r="AN981" s="1432"/>
      <c r="AO981" s="1432"/>
      <c r="AP981" s="1432"/>
      <c r="AQ981" s="1433"/>
      <c r="AR981" s="1173"/>
      <c r="AS981" s="1173"/>
      <c r="AT981" s="1173"/>
      <c r="AU981" s="1173"/>
      <c r="AV981" s="1173"/>
      <c r="AW981" s="1173"/>
      <c r="AX981" s="1173"/>
      <c r="AY981" s="1173"/>
      <c r="BA981" s="1185">
        <f>IF(SUM(BA983:BA991)&lt;=0.1,SUM(BA983:BA991),0.1)</f>
        <v>0</v>
      </c>
    </row>
    <row r="982" spans="1:58" ht="12.95" customHeight="1">
      <c r="A982" s="14"/>
      <c r="B982" s="59"/>
      <c r="C982" s="1183"/>
      <c r="D982" s="1386" t="s">
        <v>1766</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59"/>
      <c r="AG982" s="14"/>
      <c r="AH982" s="14"/>
      <c r="AI982" s="63"/>
      <c r="AJ982" s="1434"/>
      <c r="AK982" s="1435"/>
      <c r="AL982" s="1435"/>
      <c r="AM982" s="1435"/>
      <c r="AN982" s="1435"/>
      <c r="AO982" s="1435"/>
      <c r="AP982" s="1435"/>
      <c r="AQ982" s="1436"/>
      <c r="AR982" s="1173"/>
      <c r="AS982" s="1173"/>
      <c r="AT982" s="1173"/>
      <c r="AU982" s="1173"/>
      <c r="AV982" s="1173"/>
      <c r="AW982" s="1173"/>
      <c r="AX982" s="1173"/>
      <c r="AY982" s="1173"/>
    </row>
    <row r="983" spans="1:58" ht="12.95" customHeight="1">
      <c r="A983" s="14"/>
      <c r="B983" s="59"/>
      <c r="C983" s="1183"/>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59"/>
      <c r="AG983" s="14"/>
      <c r="AH983" s="14"/>
      <c r="AI983" s="63"/>
      <c r="AJ983" s="1434"/>
      <c r="AK983" s="1435"/>
      <c r="AL983" s="1435"/>
      <c r="AM983" s="1435"/>
      <c r="AN983" s="1435"/>
      <c r="AO983" s="1435"/>
      <c r="AP983" s="1435"/>
      <c r="AQ983" s="1436"/>
      <c r="AR983" s="1173"/>
      <c r="AS983" s="1173"/>
      <c r="AT983" s="1173"/>
      <c r="AU983" s="1173"/>
      <c r="AV983" s="1173"/>
      <c r="AW983" s="1173"/>
      <c r="AX983" s="1173"/>
      <c r="AY983" s="1173"/>
      <c r="BA983" s="1186">
        <f>IF(A1030="Yes",0.05,0)</f>
        <v>0</v>
      </c>
    </row>
    <row r="984" spans="1:58" ht="12.95" customHeight="1">
      <c r="A984" s="14"/>
      <c r="B984" s="1187"/>
      <c r="C984" s="1180"/>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60"/>
      <c r="AG984" s="7"/>
      <c r="AH984" s="7"/>
      <c r="AI984" s="61"/>
      <c r="AJ984" s="1437"/>
      <c r="AK984" s="1438"/>
      <c r="AL984" s="1438"/>
      <c r="AM984" s="1438"/>
      <c r="AN984" s="1438"/>
      <c r="AO984" s="1438"/>
      <c r="AP984" s="1438"/>
      <c r="AQ984" s="1439"/>
      <c r="AR984" s="1173"/>
      <c r="AS984" s="1173"/>
      <c r="AT984" s="1173"/>
      <c r="AU984" s="1173"/>
      <c r="AV984" s="1173"/>
      <c r="AW984" s="1173"/>
      <c r="AX984" s="1173"/>
      <c r="AY984" s="1173"/>
      <c r="BA984" s="1186">
        <f>IF(A1036="Yes",0.02,0)</f>
        <v>0</v>
      </c>
    </row>
    <row r="985" spans="1:58" ht="12.95" customHeight="1">
      <c r="A985" s="14"/>
      <c r="B985" s="62"/>
      <c r="C985" s="261" t="s">
        <v>1767</v>
      </c>
      <c r="D985" s="1452" t="s">
        <v>1768</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62"/>
      <c r="AG985" s="1406" t="s">
        <v>837</v>
      </c>
      <c r="AH985" s="1407"/>
      <c r="AI985" s="65"/>
      <c r="AJ985" s="1431">
        <f>ROUND(IF(AG985="Yes",MIN(AF988,(0.15*AJ961)),0),0)</f>
        <v>0</v>
      </c>
      <c r="AK985" s="1432"/>
      <c r="AL985" s="1432"/>
      <c r="AM985" s="1432"/>
      <c r="AN985" s="1432"/>
      <c r="AO985" s="1432"/>
      <c r="AP985" s="1432"/>
      <c r="AQ985" s="1433"/>
      <c r="AR985" s="1173"/>
      <c r="AS985" s="1173"/>
      <c r="AT985" s="1173"/>
      <c r="AU985" s="1173"/>
      <c r="AV985" s="1173"/>
      <c r="AW985" s="1173"/>
      <c r="AX985" s="1173"/>
      <c r="AY985" s="1173"/>
      <c r="BA985" s="1186">
        <f>IF(A1042="Yes",0.04,0)</f>
        <v>0</v>
      </c>
    </row>
    <row r="986" spans="1:58" ht="12.95" customHeight="1">
      <c r="A986" s="14"/>
      <c r="B986" s="1187"/>
      <c r="C986" s="1188"/>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173"/>
      <c r="AS986" s="1173"/>
      <c r="AT986" s="1173"/>
      <c r="AU986" s="1173"/>
      <c r="AV986" s="1173"/>
      <c r="AW986" s="1173"/>
      <c r="AX986" s="1173"/>
      <c r="AY986" s="1173"/>
      <c r="BA986" s="1186">
        <f>IF(A1049="Yes",0.04,0)</f>
        <v>0</v>
      </c>
    </row>
    <row r="987" spans="1:58" ht="12.95" customHeight="1">
      <c r="A987" s="14"/>
      <c r="B987" s="1187"/>
      <c r="C987" s="1188"/>
      <c r="D987" s="1386" t="s">
        <v>1769</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173"/>
      <c r="AS987" s="1173"/>
      <c r="AT987" s="1173"/>
      <c r="AU987" s="1173"/>
      <c r="AV987" s="1173"/>
      <c r="AW987" s="1173"/>
      <c r="AX987" s="1173"/>
      <c r="AY987" s="1173"/>
      <c r="BA987" s="1186">
        <f>IF(A1052="Yes",0.01,0)</f>
        <v>0</v>
      </c>
    </row>
    <row r="988" spans="1:58" ht="12.95" customHeight="1">
      <c r="A988" s="14"/>
      <c r="B988" s="1187"/>
      <c r="C988" s="1188"/>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173"/>
      <c r="AS988" s="1173"/>
      <c r="AT988" s="1173"/>
      <c r="AU988" s="1173"/>
      <c r="AV988" s="1173"/>
      <c r="AW988" s="1173"/>
      <c r="AX988" s="1173"/>
      <c r="AY988" s="1173"/>
      <c r="BA988" s="1186">
        <f>IF(A1057="Yes",0.01,0)</f>
        <v>0</v>
      </c>
    </row>
    <row r="989" spans="1:58" ht="12.95" customHeight="1">
      <c r="A989" s="14"/>
      <c r="B989" s="1187"/>
      <c r="C989" s="1188"/>
      <c r="D989" s="451" t="s">
        <v>1770</v>
      </c>
      <c r="E989" s="67"/>
      <c r="F989" s="67"/>
      <c r="G989" s="819"/>
      <c r="H989" s="819"/>
      <c r="I989" s="42"/>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173"/>
      <c r="AS989" s="1173"/>
      <c r="AT989" s="1173"/>
      <c r="AU989" s="1173"/>
      <c r="AV989" s="1173"/>
      <c r="AW989" s="1173"/>
      <c r="AX989" s="1173"/>
      <c r="AY989" s="1173"/>
      <c r="BA989" s="1186">
        <f>IF(A1060="Yes",0.01,0)</f>
        <v>0</v>
      </c>
    </row>
    <row r="990" spans="1:58" ht="12.95" customHeight="1">
      <c r="A990" s="14"/>
      <c r="B990" s="62"/>
      <c r="C990" s="261" t="s">
        <v>1771</v>
      </c>
      <c r="D990" s="1398" t="s">
        <v>1772</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62"/>
      <c r="AG990" s="1406" t="s">
        <v>946</v>
      </c>
      <c r="AH990" s="1407"/>
      <c r="AI990" s="65"/>
      <c r="AJ990" s="1431">
        <f>ROUND(IF(AG990="Yes",AF992,0),0)</f>
        <v>1093253</v>
      </c>
      <c r="AK990" s="1432"/>
      <c r="AL990" s="1432"/>
      <c r="AM990" s="1432"/>
      <c r="AN990" s="1432"/>
      <c r="AO990" s="1432"/>
      <c r="AP990" s="1432"/>
      <c r="AQ990" s="1433"/>
      <c r="AR990" s="1173"/>
      <c r="AS990" s="1173"/>
      <c r="AT990" s="1173"/>
      <c r="AU990" s="1173"/>
      <c r="AV990" s="1173"/>
      <c r="AW990" s="1173"/>
      <c r="AX990" s="1173"/>
      <c r="AY990" s="1173"/>
      <c r="BA990" s="1186">
        <f>IF(A1064="Yes",0.02,0)</f>
        <v>0</v>
      </c>
    </row>
    <row r="991" spans="1:58" ht="12.95" customHeight="1">
      <c r="A991" s="14"/>
      <c r="B991" s="59"/>
      <c r="C991" s="1183"/>
      <c r="D991" s="1386" t="s">
        <v>1773</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Enter Amount:</v>
      </c>
      <c r="AG991" s="1418"/>
      <c r="AH991" s="1418"/>
      <c r="AI991" s="1419"/>
      <c r="AJ991" s="1434"/>
      <c r="AK991" s="1435"/>
      <c r="AL991" s="1435"/>
      <c r="AM991" s="1435"/>
      <c r="AN991" s="1435"/>
      <c r="AO991" s="1435"/>
      <c r="AP991" s="1435"/>
      <c r="AQ991" s="1436"/>
      <c r="AR991" s="1173"/>
      <c r="AS991" s="1173"/>
      <c r="AT991" s="1173"/>
      <c r="AU991" s="1173"/>
      <c r="AV991" s="1173"/>
      <c r="AW991" s="1173"/>
      <c r="AX991" s="1173"/>
      <c r="AY991" s="1173"/>
      <c r="BA991" s="786">
        <f>IF(A1068="Yes",0.02,0)</f>
        <v>0</v>
      </c>
    </row>
    <row r="992" spans="1:58" ht="12.95" customHeight="1">
      <c r="A992" s="14"/>
      <c r="B992" s="59"/>
      <c r="C992" s="1183"/>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f>'Sources and Uses Budget'!B85</f>
        <v>1093253</v>
      </c>
      <c r="AG992" s="1378"/>
      <c r="AH992" s="1378"/>
      <c r="AI992" s="1378"/>
      <c r="AJ992" s="1434"/>
      <c r="AK992" s="1435"/>
      <c r="AL992" s="1435"/>
      <c r="AM992" s="1435"/>
      <c r="AN992" s="1435"/>
      <c r="AO992" s="1435"/>
      <c r="AP992" s="1435"/>
      <c r="AQ992" s="1436"/>
      <c r="AR992" s="1173"/>
      <c r="AS992" s="1173"/>
      <c r="AT992" s="1173"/>
      <c r="AU992" s="1173"/>
      <c r="AV992" s="1173"/>
      <c r="AW992" s="1173"/>
      <c r="AX992" s="1173"/>
      <c r="AY992" s="1173"/>
    </row>
    <row r="993" spans="1:51" ht="12.95" customHeight="1">
      <c r="A993" s="14"/>
      <c r="B993" s="1184"/>
      <c r="C993" s="1188"/>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173"/>
      <c r="AS993" s="1173"/>
      <c r="AT993" s="1173"/>
      <c r="AU993" s="1173"/>
      <c r="AV993" s="1173"/>
      <c r="AW993" s="1173"/>
      <c r="AX993" s="1173"/>
      <c r="AY993" s="1173"/>
    </row>
    <row r="994" spans="1:51" ht="12.95" customHeight="1">
      <c r="A994" s="14"/>
      <c r="B994" s="62"/>
      <c r="C994" s="261" t="s">
        <v>1774</v>
      </c>
      <c r="D994" s="1408" t="s">
        <v>1775</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62"/>
      <c r="AG994" s="1406" t="s">
        <v>946</v>
      </c>
      <c r="AH994" s="1407"/>
      <c r="AI994" s="65"/>
      <c r="AJ994" s="1431">
        <f>ROUND(IF(AG994="yes",(AJ961*0.1),0),0)</f>
        <v>6019012</v>
      </c>
      <c r="AK994" s="1432"/>
      <c r="AL994" s="1432"/>
      <c r="AM994" s="1432"/>
      <c r="AN994" s="1432"/>
      <c r="AO994" s="1432"/>
      <c r="AP994" s="1432"/>
      <c r="AQ994" s="1433"/>
      <c r="AR994" s="1173"/>
      <c r="AS994" s="1173"/>
      <c r="AT994" s="1173"/>
      <c r="AU994" s="1173"/>
      <c r="AV994" s="1173"/>
      <c r="AW994" s="1173"/>
      <c r="AX994" s="1173"/>
      <c r="AY994" s="1173"/>
    </row>
    <row r="995" spans="1:51" ht="12.95" customHeight="1">
      <c r="A995" s="14"/>
      <c r="B995" s="59"/>
      <c r="C995" s="1183"/>
      <c r="D995" s="1386" t="s">
        <v>1776</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59"/>
      <c r="AG995" s="14"/>
      <c r="AH995" s="14"/>
      <c r="AI995" s="63"/>
      <c r="AJ995" s="1434"/>
      <c r="AK995" s="1435"/>
      <c r="AL995" s="1435"/>
      <c r="AM995" s="1435"/>
      <c r="AN995" s="1435"/>
      <c r="AO995" s="1435"/>
      <c r="AP995" s="1435"/>
      <c r="AQ995" s="1436"/>
      <c r="AR995" s="1173"/>
      <c r="AS995" s="1173"/>
      <c r="AT995" s="1173"/>
      <c r="AU995" s="1173"/>
      <c r="AV995" s="1173"/>
      <c r="AW995" s="1173"/>
      <c r="AX995" s="1173"/>
      <c r="AY995" s="1173"/>
    </row>
    <row r="996" spans="1:51" ht="12.95" customHeight="1">
      <c r="A996" s="14"/>
      <c r="B996" s="60"/>
      <c r="C996" s="1183"/>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59"/>
      <c r="AG996" s="14"/>
      <c r="AH996" s="14"/>
      <c r="AI996" s="63"/>
      <c r="AJ996" s="1437"/>
      <c r="AK996" s="1438"/>
      <c r="AL996" s="1438"/>
      <c r="AM996" s="1438"/>
      <c r="AN996" s="1438"/>
      <c r="AO996" s="1438"/>
      <c r="AP996" s="1438"/>
      <c r="AQ996" s="1439"/>
      <c r="AR996" s="1173"/>
      <c r="AS996" s="1173"/>
      <c r="AT996" s="1173"/>
      <c r="AU996" s="1173"/>
      <c r="AV996" s="1173"/>
      <c r="AW996" s="1173"/>
      <c r="AX996" s="1173"/>
      <c r="AY996" s="1173"/>
    </row>
    <row r="997" spans="1:51" ht="12.95" customHeight="1">
      <c r="A997" s="14"/>
      <c r="B997" s="59"/>
      <c r="C997" s="261" t="s">
        <v>21</v>
      </c>
      <c r="D997" s="1398" t="s">
        <v>1777</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62"/>
      <c r="AG997" s="1406" t="s">
        <v>837</v>
      </c>
      <c r="AH997" s="1407"/>
      <c r="AI997" s="65"/>
      <c r="AJ997" s="1431">
        <f>ROUND(IF(AG997="yes",(AJ961*0.15),0),0)</f>
        <v>0</v>
      </c>
      <c r="AK997" s="1432"/>
      <c r="AL997" s="1432"/>
      <c r="AM997" s="1432"/>
      <c r="AN997" s="1432"/>
      <c r="AO997" s="1432"/>
      <c r="AP997" s="1432"/>
      <c r="AQ997" s="1433"/>
      <c r="AR997" s="1173"/>
      <c r="AS997" s="1173"/>
      <c r="AT997" s="1173"/>
      <c r="AU997" s="1173"/>
      <c r="AV997" s="1173"/>
      <c r="AW997" s="1173"/>
      <c r="AX997" s="1173"/>
      <c r="AY997" s="1173"/>
    </row>
    <row r="998" spans="1:51" ht="12.95" customHeight="1">
      <c r="A998" s="14"/>
      <c r="B998" s="59"/>
      <c r="C998" s="1183"/>
      <c r="D998" s="1426" t="s">
        <v>1778</v>
      </c>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c r="AA998" s="1223"/>
      <c r="AB998" s="1223"/>
      <c r="AC998" s="1223"/>
      <c r="AD998" s="1223"/>
      <c r="AE998" s="1427"/>
      <c r="AF998" s="838"/>
      <c r="AG998" s="839"/>
      <c r="AH998" s="839"/>
      <c r="AI998" s="840"/>
      <c r="AJ998" s="1434"/>
      <c r="AK998" s="1435"/>
      <c r="AL998" s="1435"/>
      <c r="AM998" s="1435"/>
      <c r="AN998" s="1435"/>
      <c r="AO998" s="1435"/>
      <c r="AP998" s="1435"/>
      <c r="AQ998" s="1436"/>
      <c r="AR998" s="1173"/>
      <c r="AS998" s="1173"/>
      <c r="AT998" s="1173"/>
      <c r="AU998" s="1173"/>
      <c r="AV998" s="1173"/>
      <c r="AW998" s="1173"/>
      <c r="AX998" s="1173"/>
      <c r="AY998" s="1173"/>
    </row>
    <row r="999" spans="1:51" ht="12.95" customHeight="1">
      <c r="A999" s="14"/>
      <c r="B999" s="59"/>
      <c r="C999" s="1183"/>
      <c r="D999" s="1426"/>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427"/>
      <c r="AF999" s="838"/>
      <c r="AG999" s="839"/>
      <c r="AH999" s="839"/>
      <c r="AI999" s="840"/>
      <c r="AJ999" s="1434"/>
      <c r="AK999" s="1435"/>
      <c r="AL999" s="1435"/>
      <c r="AM999" s="1435"/>
      <c r="AN999" s="1435"/>
      <c r="AO999" s="1435"/>
      <c r="AP999" s="1435"/>
      <c r="AQ999" s="1436"/>
      <c r="AR999" s="1173"/>
      <c r="AS999" s="1173"/>
      <c r="AT999" s="1173"/>
      <c r="AU999" s="1173"/>
      <c r="AV999" s="1173"/>
      <c r="AW999" s="1173"/>
      <c r="AX999" s="1173"/>
      <c r="AY999" s="1173"/>
    </row>
    <row r="1000" spans="1:51" ht="12.95" customHeight="1">
      <c r="A1000" s="14"/>
      <c r="B1000" s="59"/>
      <c r="C1000" s="1183"/>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841"/>
      <c r="AG1000" s="842"/>
      <c r="AH1000" s="842"/>
      <c r="AI1000" s="843"/>
      <c r="AJ1000" s="1437"/>
      <c r="AK1000" s="1438"/>
      <c r="AL1000" s="1438"/>
      <c r="AM1000" s="1438"/>
      <c r="AN1000" s="1438"/>
      <c r="AO1000" s="1438"/>
      <c r="AP1000" s="1438"/>
      <c r="AQ1000" s="1439"/>
      <c r="AR1000" s="1173"/>
      <c r="AS1000" s="1173"/>
      <c r="AT1000" s="1173"/>
      <c r="AU1000" s="1173"/>
      <c r="AV1000" s="1173"/>
      <c r="AW1000" s="1173"/>
      <c r="AX1000" s="1173"/>
      <c r="AY1000" s="1173"/>
    </row>
    <row r="1001" spans="1:51" ht="12.95" customHeight="1">
      <c r="A1001" s="14"/>
      <c r="B1001" s="59"/>
      <c r="C1001" s="261" t="s">
        <v>21</v>
      </c>
      <c r="D1001" s="1408" t="s">
        <v>1779</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59"/>
      <c r="AG1001" s="1500" t="s">
        <v>837</v>
      </c>
      <c r="AH1001" s="1501"/>
      <c r="AI1001" s="63"/>
      <c r="AJ1001" s="1431">
        <f>ROUND(IF(AND(AG1001="yes",AJ997=0),(AJ961*0.1),0),0)</f>
        <v>0</v>
      </c>
      <c r="AK1001" s="1432"/>
      <c r="AL1001" s="1432"/>
      <c r="AM1001" s="1432"/>
      <c r="AN1001" s="1432"/>
      <c r="AO1001" s="1432"/>
      <c r="AP1001" s="1432"/>
      <c r="AQ1001" s="1433"/>
      <c r="AR1001" s="1173"/>
      <c r="AS1001" s="1173"/>
      <c r="AT1001" s="1173"/>
      <c r="AU1001" s="1173"/>
      <c r="AV1001" s="1173"/>
      <c r="AW1001" s="1173"/>
      <c r="AX1001" s="1173"/>
      <c r="AY1001" s="1173"/>
    </row>
    <row r="1002" spans="1:51" ht="12.95" customHeight="1">
      <c r="A1002" s="14"/>
      <c r="B1002" s="59"/>
      <c r="C1002" s="1183"/>
      <c r="D1002" s="1426" t="s">
        <v>1780</v>
      </c>
      <c r="E1002" s="1223"/>
      <c r="F1002" s="1223"/>
      <c r="G1002" s="1223"/>
      <c r="H1002" s="1223"/>
      <c r="I1002" s="1223"/>
      <c r="J1002" s="1223"/>
      <c r="K1002" s="1223"/>
      <c r="L1002" s="1223"/>
      <c r="M1002" s="1223"/>
      <c r="N1002" s="1223"/>
      <c r="O1002" s="1223"/>
      <c r="P1002" s="1223"/>
      <c r="Q1002" s="1223"/>
      <c r="R1002" s="1223"/>
      <c r="S1002" s="1223"/>
      <c r="T1002" s="1223"/>
      <c r="U1002" s="1223"/>
      <c r="V1002" s="1223"/>
      <c r="W1002" s="1223"/>
      <c r="X1002" s="1223"/>
      <c r="Y1002" s="1223"/>
      <c r="Z1002" s="1223"/>
      <c r="AA1002" s="1223"/>
      <c r="AB1002" s="1223"/>
      <c r="AC1002" s="1223"/>
      <c r="AD1002" s="1223"/>
      <c r="AE1002" s="1427"/>
      <c r="AF1002" s="59"/>
      <c r="AG1002" s="14"/>
      <c r="AH1002" s="14"/>
      <c r="AI1002" s="63"/>
      <c r="AJ1002" s="1434"/>
      <c r="AK1002" s="1435"/>
      <c r="AL1002" s="1435"/>
      <c r="AM1002" s="1435"/>
      <c r="AN1002" s="1435"/>
      <c r="AO1002" s="1435"/>
      <c r="AP1002" s="1435"/>
      <c r="AQ1002" s="1436"/>
      <c r="AR1002" s="1173"/>
      <c r="AS1002" s="1173"/>
      <c r="AT1002" s="1173"/>
      <c r="AU1002" s="1173"/>
      <c r="AV1002" s="1173"/>
      <c r="AW1002" s="1173"/>
      <c r="AX1002" s="1173"/>
      <c r="AY1002" s="1173"/>
    </row>
    <row r="1003" spans="1:51" ht="12.95" customHeight="1">
      <c r="A1003" s="14"/>
      <c r="B1003" s="59"/>
      <c r="C1003" s="1183"/>
      <c r="D1003" s="1426"/>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427"/>
      <c r="AF1003" s="59"/>
      <c r="AG1003" s="14"/>
      <c r="AH1003" s="14"/>
      <c r="AI1003" s="63"/>
      <c r="AJ1003" s="1434"/>
      <c r="AK1003" s="1435"/>
      <c r="AL1003" s="1435"/>
      <c r="AM1003" s="1435"/>
      <c r="AN1003" s="1435"/>
      <c r="AO1003" s="1435"/>
      <c r="AP1003" s="1435"/>
      <c r="AQ1003" s="1436"/>
      <c r="AR1003" s="1173"/>
      <c r="AS1003" s="1173"/>
      <c r="AT1003" s="1173"/>
      <c r="AU1003" s="1173"/>
      <c r="AV1003" s="1173"/>
      <c r="AW1003" s="1173"/>
      <c r="AX1003" s="1173"/>
      <c r="AY1003" s="1173"/>
    </row>
    <row r="1004" spans="1:51" ht="12.95" customHeight="1">
      <c r="A1004" s="14"/>
      <c r="B1004" s="59"/>
      <c r="C1004" s="1183"/>
      <c r="D1004" s="1426"/>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427"/>
      <c r="AF1004" s="59"/>
      <c r="AG1004" s="14"/>
      <c r="AH1004" s="14"/>
      <c r="AI1004" s="63"/>
      <c r="AJ1004" s="1434"/>
      <c r="AK1004" s="1435"/>
      <c r="AL1004" s="1435"/>
      <c r="AM1004" s="1435"/>
      <c r="AN1004" s="1435"/>
      <c r="AO1004" s="1435"/>
      <c r="AP1004" s="1435"/>
      <c r="AQ1004" s="1436"/>
      <c r="AR1004" s="1173"/>
      <c r="AS1004" s="1173"/>
      <c r="AT1004" s="1173"/>
      <c r="AU1004" s="1173"/>
      <c r="AV1004" s="1173"/>
      <c r="AW1004" s="1173"/>
      <c r="AX1004" s="1173"/>
      <c r="AY1004" s="1173"/>
    </row>
    <row r="1005" spans="1:51" ht="12.95" customHeight="1">
      <c r="A1005" s="14"/>
      <c r="B1005" s="59"/>
      <c r="C1005" s="1183"/>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59"/>
      <c r="AG1005" s="14"/>
      <c r="AH1005" s="14"/>
      <c r="AI1005" s="63"/>
      <c r="AJ1005" s="1434"/>
      <c r="AK1005" s="1435"/>
      <c r="AL1005" s="1435"/>
      <c r="AM1005" s="1435"/>
      <c r="AN1005" s="1435"/>
      <c r="AO1005" s="1435"/>
      <c r="AP1005" s="1435"/>
      <c r="AQ1005" s="1436"/>
      <c r="AR1005" s="1173"/>
      <c r="AS1005" s="1173"/>
      <c r="AT1005" s="1173"/>
      <c r="AU1005" s="1173"/>
      <c r="AV1005" s="1173"/>
      <c r="AW1005" s="1173"/>
      <c r="AX1005" s="1173"/>
      <c r="AY1005" s="1173"/>
    </row>
    <row r="1006" spans="1:51" ht="12.95" customHeight="1">
      <c r="A1006" s="14"/>
      <c r="B1006" s="62"/>
      <c r="C1006" s="97" t="s">
        <v>1781</v>
      </c>
      <c r="D1006" s="1398" t="s">
        <v>1782</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62"/>
      <c r="AG1006" s="1406" t="s">
        <v>837</v>
      </c>
      <c r="AH1006" s="1407"/>
      <c r="AI1006" s="65"/>
      <c r="AJ1006" s="1431">
        <f>ROUND(IF(AG1006="yes",(AJ961*0.1),0),0)</f>
        <v>0</v>
      </c>
      <c r="AK1006" s="1432"/>
      <c r="AL1006" s="1432"/>
      <c r="AM1006" s="1432"/>
      <c r="AN1006" s="1432"/>
      <c r="AO1006" s="1432"/>
      <c r="AP1006" s="1432"/>
      <c r="AQ1006" s="1433"/>
      <c r="AR1006" s="1173"/>
      <c r="AS1006" s="1173"/>
      <c r="AT1006" s="1173"/>
      <c r="AU1006" s="1173"/>
      <c r="AV1006" s="1173"/>
      <c r="AW1006" s="1173"/>
      <c r="AX1006" s="1173"/>
      <c r="AY1006" s="1173"/>
    </row>
    <row r="1007" spans="1:51" ht="12.95" customHeight="1">
      <c r="A1007" s="14"/>
      <c r="B1007" s="59"/>
      <c r="C1007" s="1183"/>
      <c r="D1007" s="1386" t="s">
        <v>1783</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59"/>
      <c r="AG1007" s="14"/>
      <c r="AH1007" s="14"/>
      <c r="AI1007" s="63"/>
      <c r="AJ1007" s="1434"/>
      <c r="AK1007" s="1435"/>
      <c r="AL1007" s="1435"/>
      <c r="AM1007" s="1435"/>
      <c r="AN1007" s="1435"/>
      <c r="AO1007" s="1435"/>
      <c r="AP1007" s="1435"/>
      <c r="AQ1007" s="1436"/>
      <c r="AR1007" s="1173"/>
      <c r="AS1007" s="1173"/>
      <c r="AT1007" s="1173"/>
      <c r="AU1007" s="1173"/>
      <c r="AV1007" s="1173"/>
      <c r="AW1007" s="1173"/>
      <c r="AX1007" s="1173"/>
      <c r="AY1007" s="1173"/>
    </row>
    <row r="1008" spans="1:51" ht="12.95" customHeight="1">
      <c r="A1008" s="14"/>
      <c r="B1008" s="59"/>
      <c r="C1008" s="1183"/>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59"/>
      <c r="AG1008" s="14"/>
      <c r="AH1008" s="14"/>
      <c r="AI1008" s="63"/>
      <c r="AJ1008" s="1434"/>
      <c r="AK1008" s="1435"/>
      <c r="AL1008" s="1435"/>
      <c r="AM1008" s="1435"/>
      <c r="AN1008" s="1435"/>
      <c r="AO1008" s="1435"/>
      <c r="AP1008" s="1435"/>
      <c r="AQ1008" s="1436"/>
      <c r="AR1008" s="1173"/>
      <c r="AS1008" s="1173"/>
      <c r="AT1008" s="1173"/>
      <c r="AU1008" s="1173"/>
      <c r="AV1008" s="1173"/>
      <c r="AW1008" s="1173"/>
      <c r="AX1008" s="1173"/>
      <c r="AY1008" s="1173"/>
    </row>
    <row r="1009" spans="1:51" ht="12.95" customHeight="1">
      <c r="A1009" s="14"/>
      <c r="B1009" s="59"/>
      <c r="C1009" s="1183"/>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59"/>
      <c r="AG1009" s="14"/>
      <c r="AH1009" s="14"/>
      <c r="AI1009" s="63"/>
      <c r="AJ1009" s="1437"/>
      <c r="AK1009" s="1438"/>
      <c r="AL1009" s="1438"/>
      <c r="AM1009" s="1438"/>
      <c r="AN1009" s="1438"/>
      <c r="AO1009" s="1438"/>
      <c r="AP1009" s="1438"/>
      <c r="AQ1009" s="1439"/>
      <c r="AR1009" s="1173"/>
      <c r="AS1009" s="1173"/>
      <c r="AT1009" s="1173"/>
      <c r="AU1009" s="1173"/>
      <c r="AV1009" s="1173"/>
      <c r="AW1009" s="1173"/>
      <c r="AX1009" s="1173"/>
      <c r="AY1009" s="1173"/>
    </row>
    <row r="1010" spans="1:51" ht="12.95" customHeight="1">
      <c r="A1010" s="14"/>
      <c r="B1010" s="62"/>
      <c r="C1010" s="97" t="s">
        <v>1784</v>
      </c>
      <c r="D1010" s="1408" t="s">
        <v>1785</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62"/>
      <c r="AG1010" s="1496" t="str">
        <f>IF(X1013&gt;0,"Yes","No")</f>
        <v>Yes</v>
      </c>
      <c r="AH1010" s="1497"/>
      <c r="AI1010" s="65"/>
      <c r="AJ1010" s="1431">
        <f>IF((X1013=0),0,BA975*AJ961)</f>
        <v>30095060</v>
      </c>
      <c r="AK1010" s="1432"/>
      <c r="AL1010" s="1432"/>
      <c r="AM1010" s="1432"/>
      <c r="AN1010" s="1432"/>
      <c r="AO1010" s="1432"/>
      <c r="AP1010" s="1432"/>
      <c r="AQ1010" s="1433"/>
      <c r="AR1010" s="1173"/>
      <c r="AS1010" s="1173"/>
      <c r="AT1010" s="1173"/>
      <c r="AU1010" s="1173"/>
      <c r="AV1010" s="1173"/>
      <c r="AW1010" s="1173"/>
      <c r="AX1010" s="1173"/>
      <c r="AY1010" s="1173"/>
    </row>
    <row r="1011" spans="1:51" ht="12.95" customHeight="1">
      <c r="A1011" s="14"/>
      <c r="B1011" s="59"/>
      <c r="C1011" s="370"/>
      <c r="D1011" s="1386" t="s">
        <v>1786</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59"/>
      <c r="AG1011" s="1189"/>
      <c r="AH1011" s="1189"/>
      <c r="AI1011" s="63"/>
      <c r="AJ1011" s="1434"/>
      <c r="AK1011" s="1435"/>
      <c r="AL1011" s="1435"/>
      <c r="AM1011" s="1435"/>
      <c r="AN1011" s="1435"/>
      <c r="AO1011" s="1435"/>
      <c r="AP1011" s="1435"/>
      <c r="AQ1011" s="1436"/>
      <c r="AR1011" s="1173"/>
      <c r="AS1011" s="1173"/>
      <c r="AT1011" s="1173"/>
      <c r="AU1011" s="1173"/>
      <c r="AV1011" s="1173"/>
      <c r="AW1011" s="1173"/>
      <c r="AX1011" s="1173"/>
      <c r="AY1011" s="1173"/>
    </row>
    <row r="1012" spans="1:51" ht="12.95" customHeight="1">
      <c r="A1012" s="14"/>
      <c r="B1012" s="59"/>
      <c r="C1012" s="370"/>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59"/>
      <c r="AG1012" s="1189"/>
      <c r="AH1012" s="1189"/>
      <c r="AI1012" s="63"/>
      <c r="AJ1012" s="1434"/>
      <c r="AK1012" s="1435"/>
      <c r="AL1012" s="1435"/>
      <c r="AM1012" s="1435"/>
      <c r="AN1012" s="1435"/>
      <c r="AO1012" s="1435"/>
      <c r="AP1012" s="1435"/>
      <c r="AQ1012" s="1436"/>
      <c r="AR1012" s="1173"/>
      <c r="AS1012" s="1173"/>
      <c r="AT1012" s="1173"/>
      <c r="AU1012" s="1173"/>
      <c r="AV1012" s="1173"/>
      <c r="AW1012" s="1173"/>
      <c r="AX1012" s="1173"/>
      <c r="AY1012" s="1173"/>
    </row>
    <row r="1013" spans="1:51" ht="12.95" customHeight="1">
      <c r="A1013" s="14"/>
      <c r="B1013" s="60"/>
      <c r="C1013" s="61"/>
      <c r="D1013" s="98" t="s">
        <v>1787</v>
      </c>
      <c r="E1013" s="7"/>
      <c r="F1013" s="7"/>
      <c r="G1013" s="7"/>
      <c r="H1013" s="7"/>
      <c r="I1013" s="1498">
        <f>BA973</f>
        <v>84</v>
      </c>
      <c r="J1013" s="1499"/>
      <c r="K1013" s="7"/>
      <c r="L1013" s="7"/>
      <c r="M1013" s="7"/>
      <c r="N1013" s="7"/>
      <c r="O1013" s="7"/>
      <c r="P1013" s="7"/>
      <c r="Q1013" s="7"/>
      <c r="R1013" s="7"/>
      <c r="S1013" s="7"/>
      <c r="T1013" s="7"/>
      <c r="U1013" s="7"/>
      <c r="V1013" s="99" t="s">
        <v>1788</v>
      </c>
      <c r="W1013" s="41"/>
      <c r="X1013" s="1496">
        <f>BG621</f>
        <v>42</v>
      </c>
      <c r="Y1013" s="1497"/>
      <c r="Z1013" s="41"/>
      <c r="AA1013" s="41"/>
      <c r="AB1013" s="41"/>
      <c r="AC1013" s="41"/>
      <c r="AD1013" s="41"/>
      <c r="AE1013" s="42"/>
      <c r="AF1013" s="847"/>
      <c r="AG1013" s="848"/>
      <c r="AH1013" s="848"/>
      <c r="AI1013" s="849"/>
      <c r="AJ1013" s="1437"/>
      <c r="AK1013" s="1438"/>
      <c r="AL1013" s="1438"/>
      <c r="AM1013" s="1438"/>
      <c r="AN1013" s="1438"/>
      <c r="AO1013" s="1438"/>
      <c r="AP1013" s="1438"/>
      <c r="AQ1013" s="1439"/>
      <c r="AR1013" s="1173"/>
      <c r="AS1013" s="1173"/>
      <c r="AT1013" s="1173"/>
      <c r="AU1013" s="1173"/>
      <c r="AV1013" s="1173"/>
      <c r="AW1013" s="1173"/>
      <c r="AX1013" s="1173"/>
      <c r="AY1013" s="1173"/>
    </row>
    <row r="1014" spans="1:51" ht="12.95" customHeight="1">
      <c r="A1014" s="14"/>
      <c r="B1014" s="62"/>
      <c r="C1014" s="97" t="s">
        <v>1789</v>
      </c>
      <c r="D1014" s="1398" t="s">
        <v>1790</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59"/>
      <c r="AG1014" s="1496" t="str">
        <f>IF(X1017&gt;0,"Yes","No")</f>
        <v>Yes</v>
      </c>
      <c r="AH1014" s="1497"/>
      <c r="AI1014" s="63"/>
      <c r="AJ1014" s="1431">
        <f>IF((X1017=0),0,(2*BA976)*AJ961)</f>
        <v>60190120</v>
      </c>
      <c r="AK1014" s="1432"/>
      <c r="AL1014" s="1432"/>
      <c r="AM1014" s="1432"/>
      <c r="AN1014" s="1432"/>
      <c r="AO1014" s="1432"/>
      <c r="AP1014" s="1432"/>
      <c r="AQ1014" s="1433"/>
      <c r="AR1014" s="1173"/>
      <c r="AS1014" s="1173"/>
      <c r="AT1014" s="1173"/>
      <c r="AU1014" s="1173"/>
      <c r="AV1014" s="1173"/>
      <c r="AW1014" s="1173"/>
      <c r="AX1014" s="1173"/>
      <c r="AY1014" s="1173"/>
    </row>
    <row r="1015" spans="1:51" ht="12.95" customHeight="1">
      <c r="A1015" s="14"/>
      <c r="B1015" s="59"/>
      <c r="C1015" s="370"/>
      <c r="D1015" s="1386" t="s">
        <v>1791</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59"/>
      <c r="AG1015" s="1189"/>
      <c r="AH1015" s="1189"/>
      <c r="AI1015" s="63"/>
      <c r="AJ1015" s="1434"/>
      <c r="AK1015" s="1435"/>
      <c r="AL1015" s="1435"/>
      <c r="AM1015" s="1435"/>
      <c r="AN1015" s="1435"/>
      <c r="AO1015" s="1435"/>
      <c r="AP1015" s="1435"/>
      <c r="AQ1015" s="1436"/>
      <c r="AR1015" s="1173"/>
      <c r="AS1015" s="1173"/>
      <c r="AT1015" s="1173"/>
      <c r="AU1015" s="1173"/>
      <c r="AV1015" s="1173"/>
      <c r="AW1015" s="1173"/>
      <c r="AX1015" s="1173"/>
      <c r="AY1015" s="1173"/>
    </row>
    <row r="1016" spans="1:51" ht="12.95" customHeight="1">
      <c r="A1016" s="14"/>
      <c r="B1016" s="59"/>
      <c r="C1016" s="63"/>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844"/>
      <c r="AG1016" s="845"/>
      <c r="AH1016" s="845"/>
      <c r="AI1016" s="846"/>
      <c r="AJ1016" s="1434"/>
      <c r="AK1016" s="1435"/>
      <c r="AL1016" s="1435"/>
      <c r="AM1016" s="1435"/>
      <c r="AN1016" s="1435"/>
      <c r="AO1016" s="1435"/>
      <c r="AP1016" s="1435"/>
      <c r="AQ1016" s="1436"/>
      <c r="AR1016" s="1173"/>
      <c r="AS1016" s="1173"/>
      <c r="AT1016" s="1173"/>
      <c r="AU1016" s="1173"/>
      <c r="AV1016" s="1173"/>
      <c r="AW1016" s="1173"/>
      <c r="AX1016" s="1173"/>
      <c r="AY1016" s="1173"/>
    </row>
    <row r="1017" spans="1:51" ht="12.95" customHeight="1">
      <c r="A1017" s="14"/>
      <c r="B1017" s="60"/>
      <c r="C1017" s="61"/>
      <c r="D1017" s="98" t="s">
        <v>1787</v>
      </c>
      <c r="E1017" s="7"/>
      <c r="F1017" s="7"/>
      <c r="G1017" s="7"/>
      <c r="H1017" s="7"/>
      <c r="I1017" s="1498">
        <f>BA973</f>
        <v>84</v>
      </c>
      <c r="J1017" s="1499"/>
      <c r="K1017" s="14"/>
      <c r="L1017" s="7"/>
      <c r="M1017" s="7"/>
      <c r="N1017" s="7"/>
      <c r="O1017" s="7"/>
      <c r="P1017" s="7"/>
      <c r="Q1017" s="7"/>
      <c r="R1017" s="7"/>
      <c r="S1017" s="7"/>
      <c r="T1017" s="7"/>
      <c r="U1017" s="7"/>
      <c r="V1017" s="99" t="s">
        <v>1792</v>
      </c>
      <c r="X1017" s="1496">
        <f>BK621</f>
        <v>42</v>
      </c>
      <c r="Y1017" s="1497"/>
      <c r="AF1017" s="847"/>
      <c r="AG1017" s="848"/>
      <c r="AH1017" s="848"/>
      <c r="AI1017" s="849"/>
      <c r="AJ1017" s="1437"/>
      <c r="AK1017" s="1438"/>
      <c r="AL1017" s="1438"/>
      <c r="AM1017" s="1438"/>
      <c r="AN1017" s="1438"/>
      <c r="AO1017" s="1438"/>
      <c r="AP1017" s="1438"/>
      <c r="AQ1017" s="1439"/>
      <c r="AR1017" s="1173"/>
      <c r="AS1017" s="1173"/>
      <c r="AT1017" s="1173"/>
      <c r="AU1017" s="1173"/>
      <c r="AV1017" s="1173"/>
      <c r="AW1017" s="1173"/>
      <c r="AX1017" s="1173"/>
      <c r="AY1017" s="1173"/>
    </row>
    <row r="1018" spans="1:51" ht="12.95" customHeight="1">
      <c r="A1018" s="14"/>
      <c r="B1018" s="78"/>
      <c r="C1018" s="1190"/>
      <c r="D1018" s="1494" t="s">
        <v>1793</v>
      </c>
      <c r="E1018" s="1494"/>
      <c r="F1018" s="1494"/>
      <c r="G1018" s="1494"/>
      <c r="H1018" s="1494"/>
      <c r="I1018" s="1494"/>
      <c r="J1018" s="1494"/>
      <c r="K1018" s="1494"/>
      <c r="L1018" s="1494"/>
      <c r="M1018" s="1494"/>
      <c r="N1018" s="1494"/>
      <c r="O1018" s="1494"/>
      <c r="P1018" s="1494"/>
      <c r="Q1018" s="1494"/>
      <c r="R1018" s="1494"/>
      <c r="S1018" s="1494"/>
      <c r="T1018" s="1494"/>
      <c r="U1018" s="1494"/>
      <c r="V1018" s="1494"/>
      <c r="W1018" s="1494"/>
      <c r="X1018" s="1494"/>
      <c r="Y1018" s="1494"/>
      <c r="Z1018" s="1494"/>
      <c r="AA1018" s="1494"/>
      <c r="AB1018" s="1494"/>
      <c r="AC1018" s="1494"/>
      <c r="AD1018" s="1494"/>
      <c r="AE1018" s="1494"/>
      <c r="AF1018" s="1494"/>
      <c r="AG1018" s="1494"/>
      <c r="AH1018" s="1494"/>
      <c r="AI1018" s="1495"/>
      <c r="AJ1018" s="1502">
        <f>SUM(AJ961:AQ1017)</f>
        <v>175644601</v>
      </c>
      <c r="AK1018" s="1503"/>
      <c r="AL1018" s="1503"/>
      <c r="AM1018" s="1503"/>
      <c r="AN1018" s="1503"/>
      <c r="AO1018" s="1503"/>
      <c r="AP1018" s="1503"/>
      <c r="AQ1018" s="1504"/>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9">
        <f>IF(ISNA(IF((AJ985&gt;(AJ961*0.15)),"(f) cannot be greater than 15% of unadjusted eligible basis.",0)),"",(IF((AJ985&gt;(AJ961*0.15)),"(f) cannot be greater than 15% of unadjusted eligible basis.",0)))</f>
        <v>0</v>
      </c>
      <c r="C1025" s="1579"/>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18" t="s">
        <v>1794</v>
      </c>
      <c r="B1026" s="1618"/>
      <c r="C1026" s="1618"/>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1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1795</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1796</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8" t="s">
        <v>299</v>
      </c>
      <c r="B1030" s="1308"/>
      <c r="C1030" s="8">
        <v>1</v>
      </c>
      <c r="D1030" s="1219" t="s">
        <v>1797</v>
      </c>
      <c r="E1030" s="1219"/>
      <c r="F1030" s="1219"/>
      <c r="G1030" s="1219"/>
      <c r="H1030" s="1219"/>
      <c r="I1030" s="1219"/>
      <c r="J1030" s="1219"/>
      <c r="K1030" s="1219"/>
      <c r="L1030" s="1219"/>
      <c r="M1030" s="1219"/>
      <c r="N1030" s="1219"/>
      <c r="O1030" s="1219"/>
      <c r="P1030" s="1219"/>
      <c r="Q1030" s="1219"/>
      <c r="R1030" s="1219"/>
      <c r="S1030" s="1219"/>
      <c r="T1030" s="1219"/>
      <c r="U1030" s="1219"/>
      <c r="V1030" s="1219"/>
      <c r="W1030" s="1219"/>
      <c r="X1030" s="1219"/>
      <c r="Y1030" s="1219"/>
      <c r="Z1030" s="1219"/>
      <c r="AA1030" s="1219"/>
      <c r="AB1030" s="1219"/>
      <c r="AC1030" s="1219"/>
      <c r="AD1030" s="1219"/>
      <c r="AE1030" s="1219"/>
      <c r="AF1030" s="1219"/>
      <c r="AG1030" s="1219"/>
      <c r="AH1030" s="1219"/>
      <c r="AI1030" s="1219"/>
      <c r="AJ1030" s="1219"/>
      <c r="AK1030" s="1219"/>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9"/>
      <c r="E1031" s="1219"/>
      <c r="F1031" s="1219"/>
      <c r="G1031" s="1219"/>
      <c r="H1031" s="1219"/>
      <c r="I1031" s="1219"/>
      <c r="J1031" s="1219"/>
      <c r="K1031" s="1219"/>
      <c r="L1031" s="1219"/>
      <c r="M1031" s="1219"/>
      <c r="N1031" s="1219"/>
      <c r="O1031" s="1219"/>
      <c r="P1031" s="1219"/>
      <c r="Q1031" s="1219"/>
      <c r="R1031" s="1219"/>
      <c r="S1031" s="1219"/>
      <c r="T1031" s="1219"/>
      <c r="U1031" s="1219"/>
      <c r="V1031" s="1219"/>
      <c r="W1031" s="1219"/>
      <c r="X1031" s="1219"/>
      <c r="Y1031" s="1219"/>
      <c r="Z1031" s="1219"/>
      <c r="AA1031" s="1219"/>
      <c r="AB1031" s="1219"/>
      <c r="AC1031" s="1219"/>
      <c r="AD1031" s="1219"/>
      <c r="AE1031" s="1219"/>
      <c r="AF1031" s="1219"/>
      <c r="AG1031" s="1219"/>
      <c r="AH1031" s="1219"/>
      <c r="AI1031" s="1219"/>
      <c r="AJ1031" s="1219"/>
      <c r="AK1031" s="1219"/>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9"/>
      <c r="E1032" s="1219"/>
      <c r="F1032" s="1219"/>
      <c r="G1032" s="1219"/>
      <c r="H1032" s="1219"/>
      <c r="I1032" s="1219"/>
      <c r="J1032" s="1219"/>
      <c r="K1032" s="1219"/>
      <c r="L1032" s="1219"/>
      <c r="M1032" s="1219"/>
      <c r="N1032" s="1219"/>
      <c r="O1032" s="1219"/>
      <c r="P1032" s="1219"/>
      <c r="Q1032" s="1219"/>
      <c r="R1032" s="1219"/>
      <c r="S1032" s="1219"/>
      <c r="T1032" s="1219"/>
      <c r="U1032" s="1219"/>
      <c r="V1032" s="1219"/>
      <c r="W1032" s="1219"/>
      <c r="X1032" s="1219"/>
      <c r="Y1032" s="1219"/>
      <c r="Z1032" s="1219"/>
      <c r="AA1032" s="1219"/>
      <c r="AB1032" s="1219"/>
      <c r="AC1032" s="1219"/>
      <c r="AD1032" s="1219"/>
      <c r="AE1032" s="1219"/>
      <c r="AF1032" s="1219"/>
      <c r="AG1032" s="1219"/>
      <c r="AH1032" s="1219"/>
      <c r="AI1032" s="1219"/>
      <c r="AJ1032" s="1219"/>
      <c r="AK1032" s="1219"/>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9"/>
      <c r="E1033" s="1219"/>
      <c r="F1033" s="1219"/>
      <c r="G1033" s="1219"/>
      <c r="H1033" s="1219"/>
      <c r="I1033" s="1219"/>
      <c r="J1033" s="1219"/>
      <c r="K1033" s="1219"/>
      <c r="L1033" s="1219"/>
      <c r="M1033" s="1219"/>
      <c r="N1033" s="1219"/>
      <c r="O1033" s="1219"/>
      <c r="P1033" s="1219"/>
      <c r="Q1033" s="1219"/>
      <c r="R1033" s="1219"/>
      <c r="S1033" s="1219"/>
      <c r="T1033" s="1219"/>
      <c r="U1033" s="1219"/>
      <c r="V1033" s="1219"/>
      <c r="W1033" s="1219"/>
      <c r="X1033" s="1219"/>
      <c r="Y1033" s="1219"/>
      <c r="Z1033" s="1219"/>
      <c r="AA1033" s="1219"/>
      <c r="AB1033" s="1219"/>
      <c r="AC1033" s="1219"/>
      <c r="AD1033" s="1219"/>
      <c r="AE1033" s="1219"/>
      <c r="AF1033" s="1219"/>
      <c r="AG1033" s="1219"/>
      <c r="AH1033" s="1219"/>
      <c r="AI1033" s="1219"/>
      <c r="AJ1033" s="1219"/>
      <c r="AK1033" s="1219"/>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9"/>
      <c r="E1034" s="1219"/>
      <c r="F1034" s="1219"/>
      <c r="G1034" s="1219"/>
      <c r="H1034" s="1219"/>
      <c r="I1034" s="1219"/>
      <c r="J1034" s="1219"/>
      <c r="K1034" s="1219"/>
      <c r="L1034" s="1219"/>
      <c r="M1034" s="1219"/>
      <c r="N1034" s="1219"/>
      <c r="O1034" s="1219"/>
      <c r="P1034" s="1219"/>
      <c r="Q1034" s="1219"/>
      <c r="R1034" s="1219"/>
      <c r="S1034" s="1219"/>
      <c r="T1034" s="1219"/>
      <c r="U1034" s="1219"/>
      <c r="V1034" s="1219"/>
      <c r="W1034" s="1219"/>
      <c r="X1034" s="1219"/>
      <c r="Y1034" s="1219"/>
      <c r="Z1034" s="1219"/>
      <c r="AA1034" s="1219"/>
      <c r="AB1034" s="1219"/>
      <c r="AC1034" s="1219"/>
      <c r="AD1034" s="1219"/>
      <c r="AE1034" s="1219"/>
      <c r="AF1034" s="1219"/>
      <c r="AG1034" s="1219"/>
      <c r="AH1034" s="1219"/>
      <c r="AI1034" s="1219"/>
      <c r="AJ1034" s="1219"/>
      <c r="AK1034" s="1219"/>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9"/>
      <c r="E1035" s="1219"/>
      <c r="F1035" s="1219"/>
      <c r="G1035" s="1219"/>
      <c r="H1035" s="1219"/>
      <c r="I1035" s="1219"/>
      <c r="J1035" s="1219"/>
      <c r="K1035" s="1219"/>
      <c r="L1035" s="1219"/>
      <c r="M1035" s="1219"/>
      <c r="N1035" s="1219"/>
      <c r="O1035" s="1219"/>
      <c r="P1035" s="1219"/>
      <c r="Q1035" s="1219"/>
      <c r="R1035" s="1219"/>
      <c r="S1035" s="1219"/>
      <c r="T1035" s="1219"/>
      <c r="U1035" s="1219"/>
      <c r="V1035" s="1219"/>
      <c r="W1035" s="1219"/>
      <c r="X1035" s="1219"/>
      <c r="Y1035" s="1219"/>
      <c r="Z1035" s="1219"/>
      <c r="AA1035" s="1219"/>
      <c r="AB1035" s="1219"/>
      <c r="AC1035" s="1219"/>
      <c r="AD1035" s="1219"/>
      <c r="AE1035" s="1219"/>
      <c r="AF1035" s="1219"/>
      <c r="AG1035" s="1219"/>
      <c r="AH1035" s="1219"/>
      <c r="AI1035" s="1219"/>
      <c r="AJ1035" s="1219"/>
      <c r="AK1035" s="1219"/>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8" t="s">
        <v>299</v>
      </c>
      <c r="B1036" s="1308"/>
      <c r="C1036" s="8">
        <v>2</v>
      </c>
      <c r="D1036" s="1219" t="s">
        <v>1798</v>
      </c>
      <c r="E1036" s="1219"/>
      <c r="F1036" s="1219"/>
      <c r="G1036" s="1219"/>
      <c r="H1036" s="1219"/>
      <c r="I1036" s="1219"/>
      <c r="J1036" s="1219"/>
      <c r="K1036" s="1219"/>
      <c r="L1036" s="1219"/>
      <c r="M1036" s="1219"/>
      <c r="N1036" s="1219"/>
      <c r="O1036" s="1219"/>
      <c r="P1036" s="1219"/>
      <c r="Q1036" s="1219"/>
      <c r="R1036" s="1219"/>
      <c r="S1036" s="1219"/>
      <c r="T1036" s="1219"/>
      <c r="U1036" s="1219"/>
      <c r="V1036" s="1219"/>
      <c r="W1036" s="1219"/>
      <c r="X1036" s="1219"/>
      <c r="Y1036" s="1219"/>
      <c r="Z1036" s="1219"/>
      <c r="AA1036" s="1219"/>
      <c r="AB1036" s="1219"/>
      <c r="AC1036" s="1219"/>
      <c r="AD1036" s="1219"/>
      <c r="AE1036" s="1219"/>
      <c r="AF1036" s="1219"/>
      <c r="AG1036" s="1219"/>
      <c r="AH1036" s="1219"/>
      <c r="AI1036" s="1219"/>
      <c r="AJ1036" s="1219"/>
      <c r="AK1036" s="1219"/>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9"/>
      <c r="E1037" s="1219"/>
      <c r="F1037" s="1219"/>
      <c r="G1037" s="1219"/>
      <c r="H1037" s="1219"/>
      <c r="I1037" s="1219"/>
      <c r="J1037" s="1219"/>
      <c r="K1037" s="1219"/>
      <c r="L1037" s="1219"/>
      <c r="M1037" s="1219"/>
      <c r="N1037" s="1219"/>
      <c r="O1037" s="1219"/>
      <c r="P1037" s="1219"/>
      <c r="Q1037" s="1219"/>
      <c r="R1037" s="1219"/>
      <c r="S1037" s="1219"/>
      <c r="T1037" s="1219"/>
      <c r="U1037" s="1219"/>
      <c r="V1037" s="1219"/>
      <c r="W1037" s="1219"/>
      <c r="X1037" s="1219"/>
      <c r="Y1037" s="1219"/>
      <c r="Z1037" s="1219"/>
      <c r="AA1037" s="1219"/>
      <c r="AB1037" s="1219"/>
      <c r="AC1037" s="1219"/>
      <c r="AD1037" s="1219"/>
      <c r="AE1037" s="1219"/>
      <c r="AF1037" s="1219"/>
      <c r="AG1037" s="1219"/>
      <c r="AH1037" s="1219"/>
      <c r="AI1037" s="1219"/>
      <c r="AJ1037" s="1219"/>
      <c r="AK1037" s="1219"/>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9"/>
      <c r="E1038" s="1219"/>
      <c r="F1038" s="1219"/>
      <c r="G1038" s="1219"/>
      <c r="H1038" s="1219"/>
      <c r="I1038" s="1219"/>
      <c r="J1038" s="1219"/>
      <c r="K1038" s="1219"/>
      <c r="L1038" s="1219"/>
      <c r="M1038" s="1219"/>
      <c r="N1038" s="1219"/>
      <c r="O1038" s="1219"/>
      <c r="P1038" s="1219"/>
      <c r="Q1038" s="1219"/>
      <c r="R1038" s="1219"/>
      <c r="S1038" s="1219"/>
      <c r="T1038" s="1219"/>
      <c r="U1038" s="1219"/>
      <c r="V1038" s="1219"/>
      <c r="W1038" s="1219"/>
      <c r="X1038" s="1219"/>
      <c r="Y1038" s="1219"/>
      <c r="Z1038" s="1219"/>
      <c r="AA1038" s="1219"/>
      <c r="AB1038" s="1219"/>
      <c r="AC1038" s="1219"/>
      <c r="AD1038" s="1219"/>
      <c r="AE1038" s="1219"/>
      <c r="AF1038" s="1219"/>
      <c r="AG1038" s="1219"/>
      <c r="AH1038" s="1219"/>
      <c r="AI1038" s="1219"/>
      <c r="AJ1038" s="1219"/>
      <c r="AK1038" s="1219"/>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9"/>
      <c r="E1039" s="1219"/>
      <c r="F1039" s="1219"/>
      <c r="G1039" s="1219"/>
      <c r="H1039" s="1219"/>
      <c r="I1039" s="1219"/>
      <c r="J1039" s="1219"/>
      <c r="K1039" s="1219"/>
      <c r="L1039" s="1219"/>
      <c r="M1039" s="1219"/>
      <c r="N1039" s="1219"/>
      <c r="O1039" s="1219"/>
      <c r="P1039" s="1219"/>
      <c r="Q1039" s="1219"/>
      <c r="R1039" s="1219"/>
      <c r="S1039" s="1219"/>
      <c r="T1039" s="1219"/>
      <c r="U1039" s="1219"/>
      <c r="V1039" s="1219"/>
      <c r="W1039" s="1219"/>
      <c r="X1039" s="1219"/>
      <c r="Y1039" s="1219"/>
      <c r="Z1039" s="1219"/>
      <c r="AA1039" s="1219"/>
      <c r="AB1039" s="1219"/>
      <c r="AC1039" s="1219"/>
      <c r="AD1039" s="1219"/>
      <c r="AE1039" s="1219"/>
      <c r="AF1039" s="1219"/>
      <c r="AG1039" s="1219"/>
      <c r="AH1039" s="1219"/>
      <c r="AI1039" s="1219"/>
      <c r="AJ1039" s="1219"/>
      <c r="AK1039" s="1219"/>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9"/>
      <c r="E1040" s="1219"/>
      <c r="F1040" s="1219"/>
      <c r="G1040" s="1219"/>
      <c r="H1040" s="1219"/>
      <c r="I1040" s="1219"/>
      <c r="J1040" s="1219"/>
      <c r="K1040" s="1219"/>
      <c r="L1040" s="1219"/>
      <c r="M1040" s="1219"/>
      <c r="N1040" s="1219"/>
      <c r="O1040" s="1219"/>
      <c r="P1040" s="1219"/>
      <c r="Q1040" s="1219"/>
      <c r="R1040" s="1219"/>
      <c r="S1040" s="1219"/>
      <c r="T1040" s="1219"/>
      <c r="U1040" s="1219"/>
      <c r="V1040" s="1219"/>
      <c r="W1040" s="1219"/>
      <c r="X1040" s="1219"/>
      <c r="Y1040" s="1219"/>
      <c r="Z1040" s="1219"/>
      <c r="AA1040" s="1219"/>
      <c r="AB1040" s="1219"/>
      <c r="AC1040" s="1219"/>
      <c r="AD1040" s="1219"/>
      <c r="AE1040" s="1219"/>
      <c r="AF1040" s="1219"/>
      <c r="AG1040" s="1219"/>
      <c r="AH1040" s="1219"/>
      <c r="AI1040" s="1219"/>
      <c r="AJ1040" s="1219"/>
      <c r="AK1040" s="1219"/>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9"/>
      <c r="E1041" s="1219"/>
      <c r="F1041" s="1219"/>
      <c r="G1041" s="1219"/>
      <c r="H1041" s="1219"/>
      <c r="I1041" s="1219"/>
      <c r="J1041" s="1219"/>
      <c r="K1041" s="1219"/>
      <c r="L1041" s="1219"/>
      <c r="M1041" s="1219"/>
      <c r="N1041" s="1219"/>
      <c r="O1041" s="1219"/>
      <c r="P1041" s="1219"/>
      <c r="Q1041" s="1219"/>
      <c r="R1041" s="1219"/>
      <c r="S1041" s="1219"/>
      <c r="T1041" s="1219"/>
      <c r="U1041" s="1219"/>
      <c r="V1041" s="1219"/>
      <c r="W1041" s="1219"/>
      <c r="X1041" s="1219"/>
      <c r="Y1041" s="1219"/>
      <c r="Z1041" s="1219"/>
      <c r="AA1041" s="1219"/>
      <c r="AB1041" s="1219"/>
      <c r="AC1041" s="1219"/>
      <c r="AD1041" s="1219"/>
      <c r="AE1041" s="1219"/>
      <c r="AF1041" s="1219"/>
      <c r="AG1041" s="1219"/>
      <c r="AH1041" s="1219"/>
      <c r="AI1041" s="1219"/>
      <c r="AJ1041" s="1219"/>
      <c r="AK1041" s="1219"/>
    </row>
    <row r="1042" spans="1:37" ht="12.95" customHeight="1">
      <c r="A1042" s="1308" t="s">
        <v>299</v>
      </c>
      <c r="B1042" s="1308"/>
      <c r="C1042" s="8">
        <v>3</v>
      </c>
      <c r="D1042" s="1219" t="s">
        <v>1799</v>
      </c>
      <c r="E1042" s="1219"/>
      <c r="F1042" s="1219"/>
      <c r="G1042" s="1219"/>
      <c r="H1042" s="1219"/>
      <c r="I1042" s="1219"/>
      <c r="J1042" s="1219"/>
      <c r="K1042" s="1219"/>
      <c r="L1042" s="1219"/>
      <c r="M1042" s="1219"/>
      <c r="N1042" s="1219"/>
      <c r="O1042" s="1219"/>
      <c r="P1042" s="1219"/>
      <c r="Q1042" s="1219"/>
      <c r="R1042" s="1219"/>
      <c r="S1042" s="1219"/>
      <c r="T1042" s="1219"/>
      <c r="U1042" s="1219"/>
      <c r="V1042" s="1219"/>
      <c r="W1042" s="1219"/>
      <c r="X1042" s="1219"/>
      <c r="Y1042" s="1219"/>
      <c r="Z1042" s="1219"/>
      <c r="AA1042" s="1219"/>
      <c r="AB1042" s="1219"/>
      <c r="AC1042" s="1219"/>
      <c r="AD1042" s="1219"/>
      <c r="AE1042" s="1219"/>
      <c r="AF1042" s="1219"/>
      <c r="AG1042" s="1219"/>
      <c r="AH1042" s="1219"/>
      <c r="AI1042" s="1219"/>
      <c r="AJ1042" s="1219"/>
      <c r="AK1042" s="1219"/>
    </row>
    <row r="1043" spans="1:37" ht="12.95" customHeight="1">
      <c r="A1043" s="3"/>
      <c r="B1043" s="3"/>
      <c r="C1043" s="8"/>
      <c r="D1043" s="1219"/>
      <c r="E1043" s="1219"/>
      <c r="F1043" s="1219"/>
      <c r="G1043" s="1219"/>
      <c r="H1043" s="1219"/>
      <c r="I1043" s="1219"/>
      <c r="J1043" s="1219"/>
      <c r="K1043" s="1219"/>
      <c r="L1043" s="1219"/>
      <c r="M1043" s="1219"/>
      <c r="N1043" s="1219"/>
      <c r="O1043" s="1219"/>
      <c r="P1043" s="1219"/>
      <c r="Q1043" s="1219"/>
      <c r="R1043" s="1219"/>
      <c r="S1043" s="1219"/>
      <c r="T1043" s="1219"/>
      <c r="U1043" s="1219"/>
      <c r="V1043" s="1219"/>
      <c r="W1043" s="1219"/>
      <c r="X1043" s="1219"/>
      <c r="Y1043" s="1219"/>
      <c r="Z1043" s="1219"/>
      <c r="AA1043" s="1219"/>
      <c r="AB1043" s="1219"/>
      <c r="AC1043" s="1219"/>
      <c r="AD1043" s="1219"/>
      <c r="AE1043" s="1219"/>
      <c r="AF1043" s="1219"/>
      <c r="AG1043" s="1219"/>
      <c r="AH1043" s="1219"/>
      <c r="AI1043" s="1219"/>
      <c r="AJ1043" s="1219"/>
      <c r="AK1043" s="1219"/>
    </row>
    <row r="1044" spans="1:37" ht="12.95" customHeight="1">
      <c r="A1044" s="3"/>
      <c r="B1044" s="3"/>
      <c r="C1044" s="8"/>
      <c r="D1044" s="1219"/>
      <c r="E1044" s="1219"/>
      <c r="F1044" s="1219"/>
      <c r="G1044" s="1219"/>
      <c r="H1044" s="1219"/>
      <c r="I1044" s="1219"/>
      <c r="J1044" s="1219"/>
      <c r="K1044" s="1219"/>
      <c r="L1044" s="1219"/>
      <c r="M1044" s="1219"/>
      <c r="N1044" s="1219"/>
      <c r="O1044" s="1219"/>
      <c r="P1044" s="1219"/>
      <c r="Q1044" s="1219"/>
      <c r="R1044" s="1219"/>
      <c r="S1044" s="1219"/>
      <c r="T1044" s="1219"/>
      <c r="U1044" s="1219"/>
      <c r="V1044" s="1219"/>
      <c r="W1044" s="1219"/>
      <c r="X1044" s="1219"/>
      <c r="Y1044" s="1219"/>
      <c r="Z1044" s="1219"/>
      <c r="AA1044" s="1219"/>
      <c r="AB1044" s="1219"/>
      <c r="AC1044" s="1219"/>
      <c r="AD1044" s="1219"/>
      <c r="AE1044" s="1219"/>
      <c r="AF1044" s="1219"/>
      <c r="AG1044" s="1219"/>
      <c r="AH1044" s="1219"/>
      <c r="AI1044" s="1219"/>
      <c r="AJ1044" s="1219"/>
      <c r="AK1044" s="1219"/>
    </row>
    <row r="1045" spans="1:37" ht="12.95" customHeight="1">
      <c r="A1045" s="85"/>
      <c r="B1045" s="22"/>
      <c r="C1045" s="8"/>
      <c r="D1045" s="1219"/>
      <c r="E1045" s="1219"/>
      <c r="F1045" s="1219"/>
      <c r="G1045" s="1219"/>
      <c r="H1045" s="1219"/>
      <c r="I1045" s="1219"/>
      <c r="J1045" s="1219"/>
      <c r="K1045" s="1219"/>
      <c r="L1045" s="1219"/>
      <c r="M1045" s="1219"/>
      <c r="N1045" s="1219"/>
      <c r="O1045" s="1219"/>
      <c r="P1045" s="1219"/>
      <c r="Q1045" s="1219"/>
      <c r="R1045" s="1219"/>
      <c r="S1045" s="1219"/>
      <c r="T1045" s="1219"/>
      <c r="U1045" s="1219"/>
      <c r="V1045" s="1219"/>
      <c r="W1045" s="1219"/>
      <c r="X1045" s="1219"/>
      <c r="Y1045" s="1219"/>
      <c r="Z1045" s="1219"/>
      <c r="AA1045" s="1219"/>
      <c r="AB1045" s="1219"/>
      <c r="AC1045" s="1219"/>
      <c r="AD1045" s="1219"/>
      <c r="AE1045" s="1219"/>
      <c r="AF1045" s="1219"/>
      <c r="AG1045" s="1219"/>
      <c r="AH1045" s="1219"/>
      <c r="AI1045" s="1219"/>
      <c r="AJ1045" s="1219"/>
      <c r="AK1045" s="1219"/>
    </row>
    <row r="1046" spans="1:37" ht="12.95" customHeight="1">
      <c r="A1046" s="85"/>
      <c r="B1046" s="22"/>
      <c r="C1046" s="8"/>
      <c r="D1046" s="1219"/>
      <c r="E1046" s="1219"/>
      <c r="F1046" s="1219"/>
      <c r="G1046" s="1219"/>
      <c r="H1046" s="1219"/>
      <c r="I1046" s="1219"/>
      <c r="J1046" s="1219"/>
      <c r="K1046" s="1219"/>
      <c r="L1046" s="1219"/>
      <c r="M1046" s="1219"/>
      <c r="N1046" s="1219"/>
      <c r="O1046" s="1219"/>
      <c r="P1046" s="1219"/>
      <c r="Q1046" s="1219"/>
      <c r="R1046" s="1219"/>
      <c r="S1046" s="1219"/>
      <c r="T1046" s="1219"/>
      <c r="U1046" s="1219"/>
      <c r="V1046" s="1219"/>
      <c r="W1046" s="1219"/>
      <c r="X1046" s="1219"/>
      <c r="Y1046" s="1219"/>
      <c r="Z1046" s="1219"/>
      <c r="AA1046" s="1219"/>
      <c r="AB1046" s="1219"/>
      <c r="AC1046" s="1219"/>
      <c r="AD1046" s="1219"/>
      <c r="AE1046" s="1219"/>
      <c r="AF1046" s="1219"/>
      <c r="AG1046" s="1219"/>
      <c r="AH1046" s="1219"/>
      <c r="AI1046" s="1219"/>
      <c r="AJ1046" s="1219"/>
      <c r="AK1046" s="1219"/>
    </row>
    <row r="1047" spans="1:37" ht="12.95" customHeight="1">
      <c r="A1047" s="85"/>
      <c r="B1047" s="22"/>
      <c r="C1047" s="8"/>
      <c r="D1047" s="1219"/>
      <c r="E1047" s="1219"/>
      <c r="F1047" s="1219"/>
      <c r="G1047" s="1219"/>
      <c r="H1047" s="1219"/>
      <c r="I1047" s="1219"/>
      <c r="J1047" s="1219"/>
      <c r="K1047" s="1219"/>
      <c r="L1047" s="1219"/>
      <c r="M1047" s="1219"/>
      <c r="N1047" s="1219"/>
      <c r="O1047" s="1219"/>
      <c r="P1047" s="1219"/>
      <c r="Q1047" s="1219"/>
      <c r="R1047" s="1219"/>
      <c r="S1047" s="1219"/>
      <c r="T1047" s="1219"/>
      <c r="U1047" s="1219"/>
      <c r="V1047" s="1219"/>
      <c r="W1047" s="1219"/>
      <c r="X1047" s="1219"/>
      <c r="Y1047" s="1219"/>
      <c r="Z1047" s="1219"/>
      <c r="AA1047" s="1219"/>
      <c r="AB1047" s="1219"/>
      <c r="AC1047" s="1219"/>
      <c r="AD1047" s="1219"/>
      <c r="AE1047" s="1219"/>
      <c r="AF1047" s="1219"/>
      <c r="AG1047" s="1219"/>
      <c r="AH1047" s="1219"/>
      <c r="AI1047" s="1219"/>
      <c r="AJ1047" s="1219"/>
      <c r="AK1047" s="1219"/>
    </row>
    <row r="1048" spans="1:37" ht="12.95" customHeight="1">
      <c r="A1048" s="85"/>
      <c r="B1048" s="22"/>
      <c r="C1048" s="8"/>
      <c r="D1048" s="1219"/>
      <c r="E1048" s="1219"/>
      <c r="F1048" s="1219"/>
      <c r="G1048" s="1219"/>
      <c r="H1048" s="1219"/>
      <c r="I1048" s="1219"/>
      <c r="J1048" s="1219"/>
      <c r="K1048" s="1219"/>
      <c r="L1048" s="1219"/>
      <c r="M1048" s="1219"/>
      <c r="N1048" s="1219"/>
      <c r="O1048" s="1219"/>
      <c r="P1048" s="1219"/>
      <c r="Q1048" s="1219"/>
      <c r="R1048" s="1219"/>
      <c r="S1048" s="1219"/>
      <c r="T1048" s="1219"/>
      <c r="U1048" s="1219"/>
      <c r="V1048" s="1219"/>
      <c r="W1048" s="1219"/>
      <c r="X1048" s="1219"/>
      <c r="Y1048" s="1219"/>
      <c r="Z1048" s="1219"/>
      <c r="AA1048" s="1219"/>
      <c r="AB1048" s="1219"/>
      <c r="AC1048" s="1219"/>
      <c r="AD1048" s="1219"/>
      <c r="AE1048" s="1219"/>
      <c r="AF1048" s="1219"/>
      <c r="AG1048" s="1219"/>
      <c r="AH1048" s="1219"/>
      <c r="AI1048" s="1219"/>
      <c r="AJ1048" s="1219"/>
      <c r="AK1048" s="1219"/>
    </row>
    <row r="1049" spans="1:37" ht="12.95" customHeight="1">
      <c r="A1049" s="1308" t="s">
        <v>299</v>
      </c>
      <c r="B1049" s="1308"/>
      <c r="C1049" s="8">
        <v>4</v>
      </c>
      <c r="D1049" s="1219" t="s">
        <v>1800</v>
      </c>
      <c r="E1049" s="1219"/>
      <c r="F1049" s="1219"/>
      <c r="G1049" s="1219"/>
      <c r="H1049" s="1219"/>
      <c r="I1049" s="1219"/>
      <c r="J1049" s="1219"/>
      <c r="K1049" s="1219"/>
      <c r="L1049" s="1219"/>
      <c r="M1049" s="1219"/>
      <c r="N1049" s="1219"/>
      <c r="O1049" s="1219"/>
      <c r="P1049" s="1219"/>
      <c r="Q1049" s="1219"/>
      <c r="R1049" s="1219"/>
      <c r="S1049" s="1219"/>
      <c r="T1049" s="1219"/>
      <c r="U1049" s="1219"/>
      <c r="V1049" s="1219"/>
      <c r="W1049" s="1219"/>
      <c r="X1049" s="1219"/>
      <c r="Y1049" s="1219"/>
      <c r="Z1049" s="1219"/>
      <c r="AA1049" s="1219"/>
      <c r="AB1049" s="1219"/>
      <c r="AC1049" s="1219"/>
      <c r="AD1049" s="1219"/>
      <c r="AE1049" s="1219"/>
      <c r="AF1049" s="1219"/>
      <c r="AG1049" s="1219"/>
      <c r="AH1049" s="1219"/>
      <c r="AI1049" s="1219"/>
      <c r="AJ1049" s="1219"/>
      <c r="AK1049" s="1219"/>
    </row>
    <row r="1050" spans="1:37" ht="12.95" customHeight="1">
      <c r="A1050" s="1"/>
      <c r="B1050" s="1"/>
      <c r="C1050" s="8"/>
      <c r="D1050" s="1219"/>
      <c r="E1050" s="1219"/>
      <c r="F1050" s="1219"/>
      <c r="G1050" s="1219"/>
      <c r="H1050" s="1219"/>
      <c r="I1050" s="1219"/>
      <c r="J1050" s="1219"/>
      <c r="K1050" s="1219"/>
      <c r="L1050" s="1219"/>
      <c r="M1050" s="1219"/>
      <c r="N1050" s="1219"/>
      <c r="O1050" s="1219"/>
      <c r="P1050" s="1219"/>
      <c r="Q1050" s="1219"/>
      <c r="R1050" s="1219"/>
      <c r="S1050" s="1219"/>
      <c r="T1050" s="1219"/>
      <c r="U1050" s="1219"/>
      <c r="V1050" s="1219"/>
      <c r="W1050" s="1219"/>
      <c r="X1050" s="1219"/>
      <c r="Y1050" s="1219"/>
      <c r="Z1050" s="1219"/>
      <c r="AA1050" s="1219"/>
      <c r="AB1050" s="1219"/>
      <c r="AC1050" s="1219"/>
      <c r="AD1050" s="1219"/>
      <c r="AE1050" s="1219"/>
      <c r="AF1050" s="1219"/>
      <c r="AG1050" s="1219"/>
      <c r="AH1050" s="1219"/>
      <c r="AI1050" s="1219"/>
      <c r="AJ1050" s="1219"/>
      <c r="AK1050" s="1219"/>
    </row>
    <row r="1051" spans="1:37" ht="12.95" customHeight="1">
      <c r="A1051" s="85"/>
      <c r="B1051" s="22"/>
      <c r="C1051" s="8"/>
      <c r="D1051" s="1219"/>
      <c r="E1051" s="1219"/>
      <c r="F1051" s="1219"/>
      <c r="G1051" s="1219"/>
      <c r="H1051" s="1219"/>
      <c r="I1051" s="1219"/>
      <c r="J1051" s="1219"/>
      <c r="K1051" s="1219"/>
      <c r="L1051" s="1219"/>
      <c r="M1051" s="1219"/>
      <c r="N1051" s="1219"/>
      <c r="O1051" s="1219"/>
      <c r="P1051" s="1219"/>
      <c r="Q1051" s="1219"/>
      <c r="R1051" s="1219"/>
      <c r="S1051" s="1219"/>
      <c r="T1051" s="1219"/>
      <c r="U1051" s="1219"/>
      <c r="V1051" s="1219"/>
      <c r="W1051" s="1219"/>
      <c r="X1051" s="1219"/>
      <c r="Y1051" s="1219"/>
      <c r="Z1051" s="1219"/>
      <c r="AA1051" s="1219"/>
      <c r="AB1051" s="1219"/>
      <c r="AC1051" s="1219"/>
      <c r="AD1051" s="1219"/>
      <c r="AE1051" s="1219"/>
      <c r="AF1051" s="1219"/>
      <c r="AG1051" s="1219"/>
      <c r="AH1051" s="1219"/>
      <c r="AI1051" s="1219"/>
      <c r="AJ1051" s="1219"/>
      <c r="AK1051" s="1219"/>
    </row>
    <row r="1052" spans="1:37" ht="12.95" customHeight="1">
      <c r="A1052" s="1308" t="s">
        <v>299</v>
      </c>
      <c r="B1052" s="1308"/>
      <c r="C1052" s="8">
        <v>5</v>
      </c>
      <c r="D1052" s="1219" t="s">
        <v>1801</v>
      </c>
      <c r="E1052" s="1219"/>
      <c r="F1052" s="1219"/>
      <c r="G1052" s="1219"/>
      <c r="H1052" s="1219"/>
      <c r="I1052" s="1219"/>
      <c r="J1052" s="1219"/>
      <c r="K1052" s="1219"/>
      <c r="L1052" s="1219"/>
      <c r="M1052" s="1219"/>
      <c r="N1052" s="1219"/>
      <c r="O1052" s="1219"/>
      <c r="P1052" s="1219"/>
      <c r="Q1052" s="1219"/>
      <c r="R1052" s="1219"/>
      <c r="S1052" s="1219"/>
      <c r="T1052" s="1219"/>
      <c r="U1052" s="1219"/>
      <c r="V1052" s="1219"/>
      <c r="W1052" s="1219"/>
      <c r="X1052" s="1219"/>
      <c r="Y1052" s="1219"/>
      <c r="Z1052" s="1219"/>
      <c r="AA1052" s="1219"/>
      <c r="AB1052" s="1219"/>
      <c r="AC1052" s="1219"/>
      <c r="AD1052" s="1219"/>
      <c r="AE1052" s="1219"/>
      <c r="AF1052" s="1219"/>
      <c r="AG1052" s="1219"/>
      <c r="AH1052" s="1219"/>
      <c r="AI1052" s="1219"/>
      <c r="AJ1052" s="1219"/>
      <c r="AK1052" s="1219"/>
    </row>
    <row r="1053" spans="1:37" ht="12.95" customHeight="1">
      <c r="A1053" s="1"/>
      <c r="B1053" s="1"/>
      <c r="C1053" s="8"/>
      <c r="D1053" s="1219"/>
      <c r="E1053" s="1219"/>
      <c r="F1053" s="1219"/>
      <c r="G1053" s="1219"/>
      <c r="H1053" s="1219"/>
      <c r="I1053" s="1219"/>
      <c r="J1053" s="1219"/>
      <c r="K1053" s="1219"/>
      <c r="L1053" s="1219"/>
      <c r="M1053" s="1219"/>
      <c r="N1053" s="1219"/>
      <c r="O1053" s="1219"/>
      <c r="P1053" s="1219"/>
      <c r="Q1053" s="1219"/>
      <c r="R1053" s="1219"/>
      <c r="S1053" s="1219"/>
      <c r="T1053" s="1219"/>
      <c r="U1053" s="1219"/>
      <c r="V1053" s="1219"/>
      <c r="W1053" s="1219"/>
      <c r="X1053" s="1219"/>
      <c r="Y1053" s="1219"/>
      <c r="Z1053" s="1219"/>
      <c r="AA1053" s="1219"/>
      <c r="AB1053" s="1219"/>
      <c r="AC1053" s="1219"/>
      <c r="AD1053" s="1219"/>
      <c r="AE1053" s="1219"/>
      <c r="AF1053" s="1219"/>
      <c r="AG1053" s="1219"/>
      <c r="AH1053" s="1219"/>
      <c r="AI1053" s="1219"/>
      <c r="AJ1053" s="1219"/>
      <c r="AK1053" s="1219"/>
    </row>
    <row r="1054" spans="1:37" ht="12.95" customHeight="1">
      <c r="A1054" s="1"/>
      <c r="B1054" s="1"/>
      <c r="C1054" s="8"/>
      <c r="D1054" s="1219"/>
      <c r="E1054" s="1219"/>
      <c r="F1054" s="1219"/>
      <c r="G1054" s="1219"/>
      <c r="H1054" s="1219"/>
      <c r="I1054" s="1219"/>
      <c r="J1054" s="1219"/>
      <c r="K1054" s="1219"/>
      <c r="L1054" s="1219"/>
      <c r="M1054" s="1219"/>
      <c r="N1054" s="1219"/>
      <c r="O1054" s="1219"/>
      <c r="P1054" s="1219"/>
      <c r="Q1054" s="1219"/>
      <c r="R1054" s="1219"/>
      <c r="S1054" s="1219"/>
      <c r="T1054" s="1219"/>
      <c r="U1054" s="1219"/>
      <c r="V1054" s="1219"/>
      <c r="W1054" s="1219"/>
      <c r="X1054" s="1219"/>
      <c r="Y1054" s="1219"/>
      <c r="Z1054" s="1219"/>
      <c r="AA1054" s="1219"/>
      <c r="AB1054" s="1219"/>
      <c r="AC1054" s="1219"/>
      <c r="AD1054" s="1219"/>
      <c r="AE1054" s="1219"/>
      <c r="AF1054" s="1219"/>
      <c r="AG1054" s="1219"/>
      <c r="AH1054" s="1219"/>
      <c r="AI1054" s="1219"/>
      <c r="AJ1054" s="1219"/>
      <c r="AK1054" s="1219"/>
    </row>
    <row r="1055" spans="1:37" ht="12.95" hidden="1" customHeight="1">
      <c r="A1055" s="1"/>
      <c r="B1055" s="1"/>
      <c r="C1055" s="8"/>
      <c r="D1055" s="1219"/>
      <c r="E1055" s="1219"/>
      <c r="F1055" s="1219"/>
      <c r="G1055" s="1219"/>
      <c r="H1055" s="1219"/>
      <c r="I1055" s="1219"/>
      <c r="J1055" s="1219"/>
      <c r="K1055" s="1219"/>
      <c r="L1055" s="1219"/>
      <c r="M1055" s="1219"/>
      <c r="N1055" s="1219"/>
      <c r="O1055" s="1219"/>
      <c r="P1055" s="1219"/>
      <c r="Q1055" s="1219"/>
      <c r="R1055" s="1219"/>
      <c r="S1055" s="1219"/>
      <c r="T1055" s="1219"/>
      <c r="U1055" s="1219"/>
      <c r="V1055" s="1219"/>
      <c r="W1055" s="1219"/>
      <c r="X1055" s="1219"/>
      <c r="Y1055" s="1219"/>
      <c r="Z1055" s="1219"/>
      <c r="AA1055" s="1219"/>
      <c r="AB1055" s="1219"/>
      <c r="AC1055" s="1219"/>
      <c r="AD1055" s="1219"/>
      <c r="AE1055" s="1219"/>
      <c r="AF1055" s="1219"/>
      <c r="AG1055" s="1219"/>
      <c r="AH1055" s="1219"/>
      <c r="AI1055" s="1219"/>
      <c r="AJ1055" s="1219"/>
      <c r="AK1055" s="1219"/>
    </row>
    <row r="1056" spans="1:37" ht="12.95" customHeight="1">
      <c r="A1056" s="85"/>
      <c r="B1056" s="22"/>
      <c r="C1056" s="8"/>
      <c r="D1056" s="1219"/>
      <c r="E1056" s="1219"/>
      <c r="F1056" s="1219"/>
      <c r="G1056" s="1219"/>
      <c r="H1056" s="1219"/>
      <c r="I1056" s="1219"/>
      <c r="J1056" s="1219"/>
      <c r="K1056" s="1219"/>
      <c r="L1056" s="1219"/>
      <c r="M1056" s="1219"/>
      <c r="N1056" s="1219"/>
      <c r="O1056" s="1219"/>
      <c r="P1056" s="1219"/>
      <c r="Q1056" s="1219"/>
      <c r="R1056" s="1219"/>
      <c r="S1056" s="1219"/>
      <c r="T1056" s="1219"/>
      <c r="U1056" s="1219"/>
      <c r="V1056" s="1219"/>
      <c r="W1056" s="1219"/>
      <c r="X1056" s="1219"/>
      <c r="Y1056" s="1219"/>
      <c r="Z1056" s="1219"/>
      <c r="AA1056" s="1219"/>
      <c r="AB1056" s="1219"/>
      <c r="AC1056" s="1219"/>
      <c r="AD1056" s="1219"/>
      <c r="AE1056" s="1219"/>
      <c r="AF1056" s="1219"/>
      <c r="AG1056" s="1219"/>
      <c r="AH1056" s="1219"/>
      <c r="AI1056" s="1219"/>
      <c r="AJ1056" s="1219"/>
      <c r="AK1056" s="1219"/>
    </row>
    <row r="1057" spans="1:37" ht="12.95" customHeight="1">
      <c r="A1057" s="1308" t="s">
        <v>299</v>
      </c>
      <c r="B1057" s="1308"/>
      <c r="C1057" s="8">
        <v>6</v>
      </c>
      <c r="D1057" s="1219" t="s">
        <v>1802</v>
      </c>
      <c r="E1057" s="1219"/>
      <c r="F1057" s="1219"/>
      <c r="G1057" s="1219"/>
      <c r="H1057" s="1219"/>
      <c r="I1057" s="1219"/>
      <c r="J1057" s="1219"/>
      <c r="K1057" s="1219"/>
      <c r="L1057" s="1219"/>
      <c r="M1057" s="1219"/>
      <c r="N1057" s="1219"/>
      <c r="O1057" s="1219"/>
      <c r="P1057" s="1219"/>
      <c r="Q1057" s="1219"/>
      <c r="R1057" s="1219"/>
      <c r="S1057" s="1219"/>
      <c r="T1057" s="1219"/>
      <c r="U1057" s="1219"/>
      <c r="V1057" s="1219"/>
      <c r="W1057" s="1219"/>
      <c r="X1057" s="1219"/>
      <c r="Y1057" s="1219"/>
      <c r="Z1057" s="1219"/>
      <c r="AA1057" s="1219"/>
      <c r="AB1057" s="1219"/>
      <c r="AC1057" s="1219"/>
      <c r="AD1057" s="1219"/>
      <c r="AE1057" s="1219"/>
      <c r="AF1057" s="1219"/>
      <c r="AG1057" s="1219"/>
      <c r="AH1057" s="1219"/>
      <c r="AI1057" s="1219"/>
      <c r="AJ1057" s="1219"/>
      <c r="AK1057" s="1219"/>
    </row>
    <row r="1058" spans="1:37" ht="12.95" customHeight="1">
      <c r="A1058" s="85"/>
      <c r="B1058" s="22"/>
      <c r="C1058" s="8"/>
      <c r="D1058" s="1219"/>
      <c r="E1058" s="1219"/>
      <c r="F1058" s="1219"/>
      <c r="G1058" s="1219"/>
      <c r="H1058" s="1219"/>
      <c r="I1058" s="1219"/>
      <c r="J1058" s="1219"/>
      <c r="K1058" s="1219"/>
      <c r="L1058" s="1219"/>
      <c r="M1058" s="1219"/>
      <c r="N1058" s="1219"/>
      <c r="O1058" s="1219"/>
      <c r="P1058" s="1219"/>
      <c r="Q1058" s="1219"/>
      <c r="R1058" s="1219"/>
      <c r="S1058" s="1219"/>
      <c r="T1058" s="1219"/>
      <c r="U1058" s="1219"/>
      <c r="V1058" s="1219"/>
      <c r="W1058" s="1219"/>
      <c r="X1058" s="1219"/>
      <c r="Y1058" s="1219"/>
      <c r="Z1058" s="1219"/>
      <c r="AA1058" s="1219"/>
      <c r="AB1058" s="1219"/>
      <c r="AC1058" s="1219"/>
      <c r="AD1058" s="1219"/>
      <c r="AE1058" s="1219"/>
      <c r="AF1058" s="1219"/>
      <c r="AG1058" s="1219"/>
      <c r="AH1058" s="1219"/>
      <c r="AI1058" s="1219"/>
      <c r="AJ1058" s="1219"/>
      <c r="AK1058" s="1219"/>
    </row>
    <row r="1059" spans="1:37" ht="12.95" customHeight="1">
      <c r="A1059" s="85"/>
      <c r="B1059" s="22"/>
      <c r="C1059" s="8"/>
      <c r="D1059" s="1219"/>
      <c r="E1059" s="1219"/>
      <c r="F1059" s="1219"/>
      <c r="G1059" s="1219"/>
      <c r="H1059" s="1219"/>
      <c r="I1059" s="1219"/>
      <c r="J1059" s="1219"/>
      <c r="K1059" s="1219"/>
      <c r="L1059" s="1219"/>
      <c r="M1059" s="1219"/>
      <c r="N1059" s="1219"/>
      <c r="O1059" s="1219"/>
      <c r="P1059" s="1219"/>
      <c r="Q1059" s="1219"/>
      <c r="R1059" s="1219"/>
      <c r="S1059" s="1219"/>
      <c r="T1059" s="1219"/>
      <c r="U1059" s="1219"/>
      <c r="V1059" s="1219"/>
      <c r="W1059" s="1219"/>
      <c r="X1059" s="1219"/>
      <c r="Y1059" s="1219"/>
      <c r="Z1059" s="1219"/>
      <c r="AA1059" s="1219"/>
      <c r="AB1059" s="1219"/>
      <c r="AC1059" s="1219"/>
      <c r="AD1059" s="1219"/>
      <c r="AE1059" s="1219"/>
      <c r="AF1059" s="1219"/>
      <c r="AG1059" s="1219"/>
      <c r="AH1059" s="1219"/>
      <c r="AI1059" s="1219"/>
      <c r="AJ1059" s="1219"/>
      <c r="AK1059" s="1219"/>
    </row>
    <row r="1060" spans="1:37" ht="12.95" customHeight="1">
      <c r="A1060" s="1308" t="s">
        <v>299</v>
      </c>
      <c r="B1060" s="1308"/>
      <c r="C1060" s="1196">
        <v>7</v>
      </c>
      <c r="D1060" s="1219" t="s">
        <v>1803</v>
      </c>
      <c r="E1060" s="1219"/>
      <c r="F1060" s="1219"/>
      <c r="G1060" s="1219"/>
      <c r="H1060" s="1219"/>
      <c r="I1060" s="1219"/>
      <c r="J1060" s="1219"/>
      <c r="K1060" s="1219"/>
      <c r="L1060" s="1219"/>
      <c r="M1060" s="1219"/>
      <c r="N1060" s="1219"/>
      <c r="O1060" s="1219"/>
      <c r="P1060" s="1219"/>
      <c r="Q1060" s="1219"/>
      <c r="R1060" s="1219"/>
      <c r="S1060" s="1219"/>
      <c r="T1060" s="1219"/>
      <c r="U1060" s="1219"/>
      <c r="V1060" s="1219"/>
      <c r="W1060" s="1219"/>
      <c r="X1060" s="1219"/>
      <c r="Y1060" s="1219"/>
      <c r="Z1060" s="1219"/>
      <c r="AA1060" s="1219"/>
      <c r="AB1060" s="1219"/>
      <c r="AC1060" s="1219"/>
      <c r="AD1060" s="1219"/>
      <c r="AE1060" s="1219"/>
      <c r="AF1060" s="1219"/>
      <c r="AG1060" s="1219"/>
      <c r="AH1060" s="1219"/>
      <c r="AI1060" s="1219"/>
      <c r="AJ1060" s="1219"/>
      <c r="AK1060" s="1219"/>
    </row>
    <row r="1061" spans="1:37" ht="12.95" customHeight="1">
      <c r="A1061" s="1"/>
      <c r="B1061" s="1"/>
      <c r="C1061" s="1196"/>
      <c r="D1061" s="1219"/>
      <c r="E1061" s="1219"/>
      <c r="F1061" s="1219"/>
      <c r="G1061" s="1219"/>
      <c r="H1061" s="1219"/>
      <c r="I1061" s="1219"/>
      <c r="J1061" s="1219"/>
      <c r="K1061" s="1219"/>
      <c r="L1061" s="1219"/>
      <c r="M1061" s="1219"/>
      <c r="N1061" s="1219"/>
      <c r="O1061" s="1219"/>
      <c r="P1061" s="1219"/>
      <c r="Q1061" s="1219"/>
      <c r="R1061" s="1219"/>
      <c r="S1061" s="1219"/>
      <c r="T1061" s="1219"/>
      <c r="U1061" s="1219"/>
      <c r="V1061" s="1219"/>
      <c r="W1061" s="1219"/>
      <c r="X1061" s="1219"/>
      <c r="Y1061" s="1219"/>
      <c r="Z1061" s="1219"/>
      <c r="AA1061" s="1219"/>
      <c r="AB1061" s="1219"/>
      <c r="AC1061" s="1219"/>
      <c r="AD1061" s="1219"/>
      <c r="AE1061" s="1219"/>
      <c r="AF1061" s="1219"/>
      <c r="AG1061" s="1219"/>
      <c r="AH1061" s="1219"/>
      <c r="AI1061" s="1219"/>
      <c r="AJ1061" s="1219"/>
      <c r="AK1061" s="1219"/>
    </row>
    <row r="1062" spans="1:37" ht="12.95" customHeight="1">
      <c r="A1062" s="1"/>
      <c r="B1062" s="1"/>
      <c r="C1062" s="1196"/>
      <c r="D1062" s="1219"/>
      <c r="E1062" s="1219"/>
      <c r="F1062" s="1219"/>
      <c r="G1062" s="1219"/>
      <c r="H1062" s="1219"/>
      <c r="I1062" s="1219"/>
      <c r="J1062" s="1219"/>
      <c r="K1062" s="1219"/>
      <c r="L1062" s="1219"/>
      <c r="M1062" s="1219"/>
      <c r="N1062" s="1219"/>
      <c r="O1062" s="1219"/>
      <c r="P1062" s="1219"/>
      <c r="Q1062" s="1219"/>
      <c r="R1062" s="1219"/>
      <c r="S1062" s="1219"/>
      <c r="T1062" s="1219"/>
      <c r="U1062" s="1219"/>
      <c r="V1062" s="1219"/>
      <c r="W1062" s="1219"/>
      <c r="X1062" s="1219"/>
      <c r="Y1062" s="1219"/>
      <c r="Z1062" s="1219"/>
      <c r="AA1062" s="1219"/>
      <c r="AB1062" s="1219"/>
      <c r="AC1062" s="1219"/>
      <c r="AD1062" s="1219"/>
      <c r="AE1062" s="1219"/>
      <c r="AF1062" s="1219"/>
      <c r="AG1062" s="1219"/>
      <c r="AH1062" s="1219"/>
      <c r="AI1062" s="1219"/>
      <c r="AJ1062" s="1219"/>
      <c r="AK1062" s="1219"/>
    </row>
    <row r="1063" spans="1:37" ht="12.95" customHeight="1">
      <c r="A1063" s="85"/>
      <c r="B1063" s="22"/>
      <c r="C1063" s="1196"/>
      <c r="D1063" s="1219"/>
      <c r="E1063" s="1219"/>
      <c r="F1063" s="1219"/>
      <c r="G1063" s="1219"/>
      <c r="H1063" s="1219"/>
      <c r="I1063" s="1219"/>
      <c r="J1063" s="1219"/>
      <c r="K1063" s="1219"/>
      <c r="L1063" s="1219"/>
      <c r="M1063" s="1219"/>
      <c r="N1063" s="1219"/>
      <c r="O1063" s="1219"/>
      <c r="P1063" s="1219"/>
      <c r="Q1063" s="1219"/>
      <c r="R1063" s="1219"/>
      <c r="S1063" s="1219"/>
      <c r="T1063" s="1219"/>
      <c r="U1063" s="1219"/>
      <c r="V1063" s="1219"/>
      <c r="W1063" s="1219"/>
      <c r="X1063" s="1219"/>
      <c r="Y1063" s="1219"/>
      <c r="Z1063" s="1219"/>
      <c r="AA1063" s="1219"/>
      <c r="AB1063" s="1219"/>
      <c r="AC1063" s="1219"/>
      <c r="AD1063" s="1219"/>
      <c r="AE1063" s="1219"/>
      <c r="AF1063" s="1219"/>
      <c r="AG1063" s="1219"/>
      <c r="AH1063" s="1219"/>
      <c r="AI1063" s="1219"/>
      <c r="AJ1063" s="1219"/>
      <c r="AK1063" s="1219"/>
    </row>
    <row r="1064" spans="1:37" ht="12.95" customHeight="1">
      <c r="A1064" s="1308" t="s">
        <v>299</v>
      </c>
      <c r="B1064" s="1308"/>
      <c r="C1064" s="1196">
        <v>8</v>
      </c>
      <c r="D1064" s="1277" t="s">
        <v>1804</v>
      </c>
      <c r="E1064" s="1277"/>
      <c r="F1064" s="1277"/>
      <c r="G1064" s="1277"/>
      <c r="H1064" s="1277"/>
      <c r="I1064" s="1277"/>
      <c r="J1064" s="1277"/>
      <c r="K1064" s="1277"/>
      <c r="L1064" s="1277"/>
      <c r="M1064" s="1277"/>
      <c r="N1064" s="1277"/>
      <c r="O1064" s="1277"/>
      <c r="P1064" s="1277"/>
      <c r="Q1064" s="1277"/>
      <c r="R1064" s="1277"/>
      <c r="S1064" s="1277"/>
      <c r="T1064" s="1277"/>
      <c r="U1064" s="1277"/>
      <c r="V1064" s="1277"/>
      <c r="W1064" s="1277"/>
      <c r="X1064" s="1277"/>
      <c r="Y1064" s="1277"/>
      <c r="Z1064" s="1277"/>
      <c r="AA1064" s="1277"/>
      <c r="AB1064" s="1277"/>
      <c r="AC1064" s="1277"/>
      <c r="AD1064" s="1277"/>
      <c r="AE1064" s="1277"/>
      <c r="AF1064" s="1277"/>
      <c r="AG1064" s="1277"/>
      <c r="AH1064" s="1277"/>
      <c r="AI1064" s="1277"/>
      <c r="AJ1064" s="1277"/>
      <c r="AK1064" s="1277"/>
    </row>
    <row r="1065" spans="1:37" ht="12.95" customHeight="1">
      <c r="A1065" s="1"/>
      <c r="B1065" s="1"/>
      <c r="C1065" s="1196"/>
      <c r="D1065" s="1277"/>
      <c r="E1065" s="1277"/>
      <c r="F1065" s="1277"/>
      <c r="G1065" s="1277"/>
      <c r="H1065" s="1277"/>
      <c r="I1065" s="1277"/>
      <c r="J1065" s="1277"/>
      <c r="K1065" s="1277"/>
      <c r="L1065" s="1277"/>
      <c r="M1065" s="1277"/>
      <c r="N1065" s="1277"/>
      <c r="O1065" s="1277"/>
      <c r="P1065" s="1277"/>
      <c r="Q1065" s="1277"/>
      <c r="R1065" s="1277"/>
      <c r="S1065" s="1277"/>
      <c r="T1065" s="1277"/>
      <c r="U1065" s="1277"/>
      <c r="V1065" s="1277"/>
      <c r="W1065" s="1277"/>
      <c r="X1065" s="1277"/>
      <c r="Y1065" s="1277"/>
      <c r="Z1065" s="1277"/>
      <c r="AA1065" s="1277"/>
      <c r="AB1065" s="1277"/>
      <c r="AC1065" s="1277"/>
      <c r="AD1065" s="1277"/>
      <c r="AE1065" s="1277"/>
      <c r="AF1065" s="1277"/>
      <c r="AG1065" s="1277"/>
      <c r="AH1065" s="1277"/>
      <c r="AI1065" s="1277"/>
      <c r="AJ1065" s="1277"/>
      <c r="AK1065" s="1277"/>
    </row>
    <row r="1066" spans="1:37" ht="12.95" customHeight="1">
      <c r="A1066" s="1"/>
      <c r="B1066" s="1"/>
      <c r="C1066" s="1196"/>
      <c r="D1066" s="1277"/>
      <c r="E1066" s="1277"/>
      <c r="F1066" s="1277"/>
      <c r="G1066" s="1277"/>
      <c r="H1066" s="1277"/>
      <c r="I1066" s="1277"/>
      <c r="J1066" s="1277"/>
      <c r="K1066" s="1277"/>
      <c r="L1066" s="1277"/>
      <c r="M1066" s="1277"/>
      <c r="N1066" s="1277"/>
      <c r="O1066" s="1277"/>
      <c r="P1066" s="1277"/>
      <c r="Q1066" s="1277"/>
      <c r="R1066" s="1277"/>
      <c r="S1066" s="1277"/>
      <c r="T1066" s="1277"/>
      <c r="U1066" s="1277"/>
      <c r="V1066" s="1277"/>
      <c r="W1066" s="1277"/>
      <c r="X1066" s="1277"/>
      <c r="Y1066" s="1277"/>
      <c r="Z1066" s="1277"/>
      <c r="AA1066" s="1277"/>
      <c r="AB1066" s="1277"/>
      <c r="AC1066" s="1277"/>
      <c r="AD1066" s="1277"/>
      <c r="AE1066" s="1277"/>
      <c r="AF1066" s="1277"/>
      <c r="AG1066" s="1277"/>
      <c r="AH1066" s="1277"/>
      <c r="AI1066" s="1277"/>
      <c r="AJ1066" s="1277"/>
      <c r="AK1066" s="1277"/>
    </row>
    <row r="1067" spans="1:37" ht="12.95" customHeight="1">
      <c r="A1067" s="85"/>
      <c r="B1067" s="22"/>
      <c r="C1067" s="1196"/>
      <c r="D1067" s="1277"/>
      <c r="E1067" s="1277"/>
      <c r="F1067" s="1277"/>
      <c r="G1067" s="1277"/>
      <c r="H1067" s="1277"/>
      <c r="I1067" s="1277"/>
      <c r="J1067" s="1277"/>
      <c r="K1067" s="1277"/>
      <c r="L1067" s="1277"/>
      <c r="M1067" s="1277"/>
      <c r="N1067" s="1277"/>
      <c r="O1067" s="1277"/>
      <c r="P1067" s="1277"/>
      <c r="Q1067" s="1277"/>
      <c r="R1067" s="1277"/>
      <c r="S1067" s="1277"/>
      <c r="T1067" s="1277"/>
      <c r="U1067" s="1277"/>
      <c r="V1067" s="1277"/>
      <c r="W1067" s="1277"/>
      <c r="X1067" s="1277"/>
      <c r="Y1067" s="1277"/>
      <c r="Z1067" s="1277"/>
      <c r="AA1067" s="1277"/>
      <c r="AB1067" s="1277"/>
      <c r="AC1067" s="1277"/>
      <c r="AD1067" s="1277"/>
      <c r="AE1067" s="1277"/>
      <c r="AF1067" s="1277"/>
      <c r="AG1067" s="1277"/>
      <c r="AH1067" s="1277"/>
      <c r="AI1067" s="1277"/>
      <c r="AJ1067" s="1277"/>
      <c r="AK1067" s="1277"/>
    </row>
    <row r="1068" spans="1:37" ht="12.95" customHeight="1">
      <c r="A1068" s="1308" t="s">
        <v>299</v>
      </c>
      <c r="B1068" s="1308"/>
      <c r="C1068" s="1196">
        <v>9</v>
      </c>
      <c r="D1068" s="1219" t="s">
        <v>1805</v>
      </c>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row>
    <row r="1069" spans="1:37" ht="12.95" customHeight="1">
      <c r="A1069" s="85"/>
      <c r="B1069" s="22"/>
      <c r="C1069" s="1196"/>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row>
    <row r="1070" spans="1:37" ht="12.95" customHeight="1">
      <c r="D1070" s="1219"/>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C453:AF453"/>
    <mergeCell ref="D441:AF441"/>
    <mergeCell ref="AG441:AJ441"/>
    <mergeCell ref="J387:U387"/>
    <mergeCell ref="AE555:AH555"/>
    <mergeCell ref="AI555:AL555"/>
    <mergeCell ref="AH518:AK518"/>
    <mergeCell ref="AE424:AF424"/>
    <mergeCell ref="P347:Z347"/>
    <mergeCell ref="N372:AF373"/>
    <mergeCell ref="AJ354:AK354"/>
    <mergeCell ref="Q392:U392"/>
    <mergeCell ref="AC519:AF519"/>
    <mergeCell ref="AH507:AK507"/>
    <mergeCell ref="AC501:AF501"/>
    <mergeCell ref="AC524:AF524"/>
    <mergeCell ref="AH529:AK529"/>
    <mergeCell ref="AE554:AH554"/>
    <mergeCell ref="AI554:AL554"/>
    <mergeCell ref="AH538:AK538"/>
    <mergeCell ref="AI549:AL549"/>
    <mergeCell ref="T550:V550"/>
    <mergeCell ref="AH524:AK524"/>
    <mergeCell ref="AC384:AJ384"/>
    <mergeCell ref="AG440:AJ440"/>
    <mergeCell ref="W417:Y417"/>
    <mergeCell ref="J386:U386"/>
    <mergeCell ref="AC385:AJ385"/>
    <mergeCell ref="W466:Y466"/>
    <mergeCell ref="AG445:AJ445"/>
    <mergeCell ref="D439:AF439"/>
    <mergeCell ref="AG437:AJ437"/>
    <mergeCell ref="H18:AJ18"/>
    <mergeCell ref="H16:AJ16"/>
    <mergeCell ref="O153:AH153"/>
    <mergeCell ref="O154:AH154"/>
    <mergeCell ref="O156:AH156"/>
    <mergeCell ref="O157:X157"/>
    <mergeCell ref="O158:R158"/>
    <mergeCell ref="O159:T159"/>
    <mergeCell ref="O160:T160"/>
    <mergeCell ref="O161:AH161"/>
    <mergeCell ref="M232:AE232"/>
    <mergeCell ref="M233:T233"/>
    <mergeCell ref="D405:AJ406"/>
    <mergeCell ref="W469:Y469"/>
    <mergeCell ref="D470:V470"/>
    <mergeCell ref="AH520:AK520"/>
    <mergeCell ref="AG438:AJ438"/>
    <mergeCell ref="AG442:AJ442"/>
    <mergeCell ref="AG443:AJ443"/>
    <mergeCell ref="AC513:AF513"/>
    <mergeCell ref="AC512:AF512"/>
    <mergeCell ref="AH504:AK504"/>
    <mergeCell ref="AC500:AF500"/>
    <mergeCell ref="AH505:AK505"/>
    <mergeCell ref="AC502:AF502"/>
    <mergeCell ref="AC499:AF499"/>
    <mergeCell ref="E419:AJ419"/>
    <mergeCell ref="P424:Q424"/>
    <mergeCell ref="I417:K417"/>
    <mergeCell ref="S412:T412"/>
    <mergeCell ref="AG393:AJ393"/>
    <mergeCell ref="A350:AL351"/>
    <mergeCell ref="AM550:AS550"/>
    <mergeCell ref="O518:AA518"/>
    <mergeCell ref="B487:P488"/>
    <mergeCell ref="AM556:AS556"/>
    <mergeCell ref="AM549:AS549"/>
    <mergeCell ref="AC521:AF521"/>
    <mergeCell ref="AC508:AF508"/>
    <mergeCell ref="AH508:AK508"/>
    <mergeCell ref="AC510:AF510"/>
    <mergeCell ref="AH510:AK510"/>
    <mergeCell ref="AM551:AS551"/>
    <mergeCell ref="W554:Y554"/>
    <mergeCell ref="Q553:S553"/>
    <mergeCell ref="Q554:S554"/>
    <mergeCell ref="AH493:AK493"/>
    <mergeCell ref="AH527:AK527"/>
    <mergeCell ref="T549:V549"/>
    <mergeCell ref="L506:AB506"/>
    <mergeCell ref="A542:AS543"/>
    <mergeCell ref="Q492:AK492"/>
    <mergeCell ref="AM553:AS553"/>
    <mergeCell ref="AE553:AH553"/>
    <mergeCell ref="AC503:AF503"/>
    <mergeCell ref="AH506:AK506"/>
    <mergeCell ref="M493:P493"/>
    <mergeCell ref="AH522:AK522"/>
    <mergeCell ref="AH523:AK523"/>
    <mergeCell ref="AC536:AF536"/>
    <mergeCell ref="AC538:AF538"/>
    <mergeCell ref="AH536:AK536"/>
    <mergeCell ref="AH531:AK531"/>
    <mergeCell ref="Z551:AD551"/>
    <mergeCell ref="AE423:AF423"/>
    <mergeCell ref="AG447:AJ447"/>
    <mergeCell ref="AC539:AF539"/>
    <mergeCell ref="D469:V469"/>
    <mergeCell ref="F456:AB457"/>
    <mergeCell ref="AC504:AF504"/>
    <mergeCell ref="Q487:R488"/>
    <mergeCell ref="Q486:AK486"/>
    <mergeCell ref="Q491:AK491"/>
    <mergeCell ref="Q489:AK489"/>
    <mergeCell ref="P423:Q423"/>
    <mergeCell ref="Q490:AK490"/>
    <mergeCell ref="AF417:AH417"/>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AG376:AH376"/>
    <mergeCell ref="E417:G417"/>
    <mergeCell ref="AD410:AE410"/>
    <mergeCell ref="F426:AH427"/>
    <mergeCell ref="V376:W376"/>
    <mergeCell ref="S376:T376"/>
    <mergeCell ref="AG392:AJ392"/>
    <mergeCell ref="AG390:AJ390"/>
    <mergeCell ref="K403:AJ403"/>
    <mergeCell ref="S401:U401"/>
    <mergeCell ref="AC534:AF534"/>
    <mergeCell ref="AE552:AH552"/>
    <mergeCell ref="AC528:AF528"/>
    <mergeCell ref="O524:AA524"/>
    <mergeCell ref="B515:H517"/>
    <mergeCell ref="AC522:AF522"/>
    <mergeCell ref="AH498:AK498"/>
    <mergeCell ref="AH511:AK511"/>
    <mergeCell ref="AH503:AK503"/>
    <mergeCell ref="B501:H506"/>
    <mergeCell ref="AC506:AF506"/>
    <mergeCell ref="AH514:AK514"/>
    <mergeCell ref="Q550:S550"/>
    <mergeCell ref="AC532:AF532"/>
    <mergeCell ref="S404:AJ404"/>
    <mergeCell ref="I391:N391"/>
    <mergeCell ref="AG446:AJ446"/>
    <mergeCell ref="D464:V464"/>
    <mergeCell ref="AH532:AK532"/>
    <mergeCell ref="AC505:AF505"/>
    <mergeCell ref="AC527:AF527"/>
    <mergeCell ref="AH528:AK528"/>
    <mergeCell ref="AC517:AF517"/>
    <mergeCell ref="Q483:AK483"/>
    <mergeCell ref="D436:AF436"/>
    <mergeCell ref="AH526:AK526"/>
    <mergeCell ref="B512:H514"/>
    <mergeCell ref="AH519:AK519"/>
    <mergeCell ref="AC520:AF520"/>
    <mergeCell ref="D466:V466"/>
    <mergeCell ref="AC529:AF529"/>
    <mergeCell ref="AC531:AF531"/>
    <mergeCell ref="N377:P377"/>
    <mergeCell ref="AG400:AJ400"/>
    <mergeCell ref="AE401:AJ401"/>
    <mergeCell ref="D449:AF449"/>
    <mergeCell ref="D450:AJ451"/>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I553:AL553"/>
    <mergeCell ref="D448:AF448"/>
    <mergeCell ref="AC507:AF507"/>
    <mergeCell ref="AC523:AF523"/>
    <mergeCell ref="AH501:AK501"/>
    <mergeCell ref="AC498:AF49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D164:AH164"/>
    <mergeCell ref="N370:Q370"/>
    <mergeCell ref="V381:W381"/>
    <mergeCell ref="Z433:AA433"/>
    <mergeCell ref="AD411:AE411"/>
    <mergeCell ref="Y363:Z363"/>
    <mergeCell ref="AC455:AF455"/>
    <mergeCell ref="D443:AF443"/>
    <mergeCell ref="D467:V467"/>
    <mergeCell ref="AA256:AK256"/>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G565:R565"/>
    <mergeCell ref="H578:R578"/>
    <mergeCell ref="AI558:AL558"/>
    <mergeCell ref="W553:Y553"/>
    <mergeCell ref="AI556:AL556"/>
    <mergeCell ref="Q552:S552"/>
    <mergeCell ref="Q557:S557"/>
    <mergeCell ref="Q558:S558"/>
    <mergeCell ref="Q559:S559"/>
    <mergeCell ref="Q560:S560"/>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AD744:AF744"/>
    <mergeCell ref="T776:W776"/>
    <mergeCell ref="T772:W772"/>
    <mergeCell ref="T773:W773"/>
    <mergeCell ref="O774:S774"/>
    <mergeCell ref="J760:N760"/>
    <mergeCell ref="AC759:AG759"/>
    <mergeCell ref="AC760:AG760"/>
    <mergeCell ref="X774:AB774"/>
    <mergeCell ref="X775:AB775"/>
    <mergeCell ref="X776:AB776"/>
    <mergeCell ref="K737:N737"/>
    <mergeCell ref="K738:N738"/>
    <mergeCell ref="AC729:AG729"/>
    <mergeCell ref="AC735:AG735"/>
    <mergeCell ref="G726:J726"/>
    <mergeCell ref="X726:AB72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M557:P557"/>
    <mergeCell ref="AI559:AL559"/>
    <mergeCell ref="Z558:AD558"/>
    <mergeCell ref="Z559:AD55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E611:BF611"/>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N571:O571"/>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C558:L558"/>
    <mergeCell ref="M558:P558"/>
    <mergeCell ref="C559:L559"/>
    <mergeCell ref="W467:Y467"/>
    <mergeCell ref="AF429:AG429"/>
    <mergeCell ref="G568:L568"/>
    <mergeCell ref="Z553:AD553"/>
    <mergeCell ref="AI557:AL557"/>
    <mergeCell ref="AE558:AH558"/>
    <mergeCell ref="AH540:AK540"/>
    <mergeCell ref="AC540:AF540"/>
    <mergeCell ref="Q556:S556"/>
    <mergeCell ref="Q551:S551"/>
    <mergeCell ref="Q561:S561"/>
    <mergeCell ref="AH535:AK535"/>
    <mergeCell ref="W556:Y556"/>
    <mergeCell ref="AI560:AL560"/>
    <mergeCell ref="Z550:AD550"/>
    <mergeCell ref="AC535:AF535"/>
    <mergeCell ref="AH537:AK537"/>
    <mergeCell ref="AH539:AK539"/>
    <mergeCell ref="AC533:AF533"/>
    <mergeCell ref="AE549:AH549"/>
    <mergeCell ref="Z549:AD549"/>
    <mergeCell ref="AI550:AL550"/>
    <mergeCell ref="W549:Y549"/>
    <mergeCell ref="M559:P559"/>
    <mergeCell ref="Q555:S555"/>
    <mergeCell ref="AI552:AL552"/>
    <mergeCell ref="AH530:AK530"/>
    <mergeCell ref="AH513:AK513"/>
    <mergeCell ref="AC514:AF514"/>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AC526:AF526"/>
    <mergeCell ref="O527:AA527"/>
    <mergeCell ref="W260:X260"/>
    <mergeCell ref="N371:Q371"/>
    <mergeCell ref="AG379:AH379"/>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H308:R308"/>
    <mergeCell ref="AA308:AK308"/>
    <mergeCell ref="AA326:AK326"/>
    <mergeCell ref="AH261:AK261"/>
    <mergeCell ref="M262:R262"/>
    <mergeCell ref="M264:T264"/>
    <mergeCell ref="AA313:AK313"/>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AI306:AK306"/>
    <mergeCell ref="AA323:AF323"/>
    <mergeCell ref="H315:M315"/>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M248:T248"/>
    <mergeCell ref="L278:AD278"/>
    <mergeCell ref="AA287:AK287"/>
    <mergeCell ref="H286:R286"/>
    <mergeCell ref="M260:T260"/>
    <mergeCell ref="Y132:AK132"/>
    <mergeCell ref="R177:S177"/>
    <mergeCell ref="U235:W235"/>
    <mergeCell ref="M242:AE242"/>
    <mergeCell ref="A10:AL10"/>
    <mergeCell ref="D203:M203"/>
    <mergeCell ref="P203:U203"/>
    <mergeCell ref="A20:AL20"/>
    <mergeCell ref="AH194:AI194"/>
    <mergeCell ref="AH195:AI195"/>
    <mergeCell ref="U176:V176"/>
    <mergeCell ref="Y126:AK126"/>
    <mergeCell ref="T190:AE190"/>
    <mergeCell ref="M231:AK231"/>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A21:AL21"/>
    <mergeCell ref="F150:T150"/>
    <mergeCell ref="M253:AE253"/>
    <mergeCell ref="J173:S173"/>
    <mergeCell ref="A11:AL11"/>
    <mergeCell ref="O155:AH155"/>
    <mergeCell ref="W159:X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AI338:AK338"/>
    <mergeCell ref="H339:M339"/>
    <mergeCell ref="AA312:AK312"/>
    <mergeCell ref="AA264:AK264"/>
    <mergeCell ref="H294:R294"/>
    <mergeCell ref="H303:R303"/>
    <mergeCell ref="H302:R302"/>
    <mergeCell ref="AA307:AF307"/>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G723:J723"/>
    <mergeCell ref="K736:N736"/>
    <mergeCell ref="X728:AB728"/>
    <mergeCell ref="K730:N730"/>
    <mergeCell ref="T730:W730"/>
    <mergeCell ref="K724:N724"/>
    <mergeCell ref="K725:N725"/>
    <mergeCell ref="G727:J727"/>
    <mergeCell ref="K731:N731"/>
    <mergeCell ref="K732:N732"/>
    <mergeCell ref="K733:N733"/>
    <mergeCell ref="B727:F727"/>
    <mergeCell ref="B726:F726"/>
    <mergeCell ref="O727:S727"/>
    <mergeCell ref="O726:S726"/>
    <mergeCell ref="O732:S732"/>
    <mergeCell ref="K734:N734"/>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G811:AJ811"/>
    <mergeCell ref="AC768:AG771"/>
    <mergeCell ref="B725:F725"/>
    <mergeCell ref="T725:W725"/>
    <mergeCell ref="AH724:AJ724"/>
    <mergeCell ref="B718:F718"/>
    <mergeCell ref="T710:W713"/>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B635:AN635"/>
    <mergeCell ref="B636:AN636"/>
    <mergeCell ref="B637:AN637"/>
    <mergeCell ref="AC626:AE626"/>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U815:X815"/>
    <mergeCell ref="Q815:T815"/>
    <mergeCell ref="AC815:AF815"/>
    <mergeCell ref="Y813:AB813"/>
    <mergeCell ref="AC813:AF813"/>
    <mergeCell ref="Q814:T814"/>
    <mergeCell ref="Z791:AE791"/>
    <mergeCell ref="AG815:AJ815"/>
    <mergeCell ref="O759:S759"/>
    <mergeCell ref="O779:S779"/>
    <mergeCell ref="O781:S781"/>
    <mergeCell ref="X754:AB757"/>
    <mergeCell ref="T754:W757"/>
    <mergeCell ref="AC778:AG778"/>
    <mergeCell ref="X760:AB760"/>
    <mergeCell ref="X761:AB761"/>
    <mergeCell ref="T760:W760"/>
    <mergeCell ref="T761:W761"/>
    <mergeCell ref="X768:AB771"/>
    <mergeCell ref="X772:AB772"/>
    <mergeCell ref="T759:W75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19:AG719"/>
    <mergeCell ref="AH717:AJ717"/>
    <mergeCell ref="T714:W714"/>
    <mergeCell ref="AH725:AJ725"/>
    <mergeCell ref="T723:W723"/>
    <mergeCell ref="AH723:AJ723"/>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CC595:CG595"/>
    <mergeCell ref="P344:AE344"/>
    <mergeCell ref="AA340:AK340"/>
    <mergeCell ref="C555:L555"/>
    <mergeCell ref="M555:P555"/>
    <mergeCell ref="AC346:AE346"/>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5:S715"/>
    <mergeCell ref="X720:AB720"/>
    <mergeCell ref="AH718:AJ718"/>
    <mergeCell ref="AC720:AG720"/>
    <mergeCell ref="T719:W719"/>
    <mergeCell ref="B719:F719"/>
    <mergeCell ref="T718:W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Q390:U390"/>
    <mergeCell ref="AD376:AE376"/>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C814:H814"/>
    <mergeCell ref="X762:AB762"/>
    <mergeCell ref="M810:P810"/>
    <mergeCell ref="O782:S782"/>
    <mergeCell ref="AC754:AG757"/>
    <mergeCell ref="T779:W779"/>
    <mergeCell ref="T777:W777"/>
    <mergeCell ref="O762:S762"/>
    <mergeCell ref="X773:AB773"/>
    <mergeCell ref="B736:F736"/>
    <mergeCell ref="O735:S735"/>
    <mergeCell ref="O736:S73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26:N726"/>
    <mergeCell ref="K727:N727"/>
    <mergeCell ref="AC727:AG727"/>
    <mergeCell ref="AC728:AG7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BX642:CB642"/>
    <mergeCell ref="BX643:CB643"/>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Q620:S622"/>
    <mergeCell ref="Q623:S623"/>
    <mergeCell ref="Q624:S624"/>
    <mergeCell ref="Q625:S625"/>
    <mergeCell ref="AI577:AK577"/>
    <mergeCell ref="Z575:AK575"/>
    <mergeCell ref="C633:L633"/>
    <mergeCell ref="C634:L634"/>
    <mergeCell ref="P609:R609"/>
    <mergeCell ref="G573:R573"/>
    <mergeCell ref="G590:R590"/>
    <mergeCell ref="N611:O611"/>
    <mergeCell ref="P601:R601"/>
    <mergeCell ref="AA602:AK602"/>
    <mergeCell ref="AC627:AE627"/>
    <mergeCell ref="AC628:AE628"/>
    <mergeCell ref="G564:R564"/>
    <mergeCell ref="M570:R570"/>
    <mergeCell ref="AG603:AH603"/>
    <mergeCell ref="H602:R602"/>
    <mergeCell ref="Q632:S632"/>
    <mergeCell ref="Q633:S633"/>
    <mergeCell ref="Q634:S634"/>
    <mergeCell ref="Z630:AB630"/>
    <mergeCell ref="Z631:AB631"/>
    <mergeCell ref="W624:Y624"/>
    <mergeCell ref="W625:Y625"/>
    <mergeCell ref="W626:Y626"/>
    <mergeCell ref="W627:Y627"/>
    <mergeCell ref="T633:V633"/>
    <mergeCell ref="T634:V634"/>
    <mergeCell ref="Q626:S626"/>
    <mergeCell ref="Q627:S627"/>
    <mergeCell ref="Q628:S628"/>
    <mergeCell ref="Q629:S629"/>
    <mergeCell ref="Q630:S630"/>
    <mergeCell ref="Q631:S631"/>
    <mergeCell ref="G601:L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C551:C561 AC624:AS634 Q624:Z634 Q551:AS561">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disablePrompts="1"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C623:AE634 AG393:AJ393 Q623:V634 Q550:V561 AE550:AH561 Z790:AE790"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94D159F-D1BC-4CA9-9755-98EB731F144F}">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623:P634 M557:P561"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M236" r:id="rId5" xr:uid="{1D3C7497-6C0D-4353-B272-FB23600B6022}"/>
    <hyperlink ref="M247" r:id="rId6" xr:uid="{1B67EC37-FCF0-4694-9530-B67FB14A683A}"/>
    <hyperlink ref="D200" r:id="rId7" xr:uid="{ECBD33B8-C534-4A83-A668-E2A6709BF1BE}"/>
    <hyperlink ref="H332" r:id="rId8" xr:uid="{53A1F0E7-6B21-4088-9181-BC9FBECF7B84}"/>
    <hyperlink ref="AA324" r:id="rId9" xr:uid="{6C8C637A-F933-4EAC-832D-EEE8E3804E98}"/>
  </hyperlinks>
  <printOptions horizontalCentered="1"/>
  <pageMargins left="0.5" right="0.5" top="1" bottom="1" header="0.5" footer="0.5"/>
  <pageSetup scale="83" fitToHeight="25" orientation="portrait" useFirstPageNumber="1" r:id="rId10"/>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A67" zoomScaleNormal="100" zoomScaleSheetLayoutView="90" workbookViewId="0">
      <selection activeCell="E85" sqref="E85"/>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1806</v>
      </c>
      <c r="B1" s="92"/>
      <c r="C1" s="92"/>
      <c r="D1" s="92"/>
      <c r="E1" s="93"/>
      <c r="F1" s="1790" t="s">
        <v>1807</v>
      </c>
      <c r="G1" s="1791"/>
      <c r="H1" s="1791"/>
      <c r="I1" s="1791"/>
      <c r="J1" s="1791"/>
      <c r="K1" s="1791"/>
      <c r="L1" s="1791"/>
      <c r="M1" s="1791"/>
      <c r="N1" s="1791"/>
      <c r="O1" s="1791"/>
      <c r="P1" s="1791"/>
      <c r="Q1" s="1791"/>
      <c r="R1" s="1792"/>
      <c r="S1" s="81"/>
      <c r="T1" s="80"/>
      <c r="U1" s="82"/>
    </row>
    <row r="2" spans="1:21" s="102" customFormat="1" ht="71.25" customHeight="1">
      <c r="A2" s="101"/>
      <c r="B2" s="102" t="s">
        <v>1808</v>
      </c>
      <c r="C2" s="102" t="s">
        <v>1809</v>
      </c>
      <c r="D2" s="102" t="s">
        <v>1810</v>
      </c>
      <c r="E2" s="102" t="s">
        <v>1811</v>
      </c>
      <c r="F2" s="103" t="str">
        <f>Application!B623&amp;Application!C623</f>
        <v>1)Tax-Exempt Perm Loan</v>
      </c>
      <c r="G2" s="103" t="str">
        <f>Application!B624&amp;Application!C624</f>
        <v>2)City of Mountain View</v>
      </c>
      <c r="H2" s="103" t="str">
        <f>Application!B625&amp;Application!C625</f>
        <v>3)County of Santa Clara</v>
      </c>
      <c r="I2" s="103" t="str">
        <f>Application!B626&amp;Application!C626</f>
        <v>4)Accrued Interest</v>
      </c>
      <c r="J2" s="103" t="str">
        <f>Application!B627&amp;Application!C627</f>
        <v>5)Deferred Developer Fee</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1812</v>
      </c>
      <c r="S2" s="102" t="s">
        <v>1813</v>
      </c>
      <c r="T2" s="102" t="s">
        <v>1814</v>
      </c>
      <c r="U2" s="104"/>
    </row>
    <row r="3" spans="1:21" s="106" customFormat="1">
      <c r="A3" s="105" t="s">
        <v>1815</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1816</v>
      </c>
      <c r="B4" s="264">
        <f>SUM(C4+D4)</f>
        <v>9500000</v>
      </c>
      <c r="C4" s="900">
        <v>9500000</v>
      </c>
      <c r="D4" s="900">
        <v>0</v>
      </c>
      <c r="E4" s="900">
        <f>B4-SUM(F4:Q4)</f>
        <v>9500000</v>
      </c>
      <c r="F4" s="900"/>
      <c r="G4" s="900"/>
      <c r="H4" s="900"/>
      <c r="I4" s="900"/>
      <c r="J4" s="900"/>
      <c r="K4" s="900"/>
      <c r="L4" s="900"/>
      <c r="M4" s="900"/>
      <c r="N4" s="900"/>
      <c r="O4" s="900"/>
      <c r="P4" s="900"/>
      <c r="Q4" s="900"/>
      <c r="R4" s="441">
        <f>SUM(E4:Q4)</f>
        <v>9500000</v>
      </c>
      <c r="S4" s="1199"/>
      <c r="T4" s="1199"/>
      <c r="U4" s="1198"/>
    </row>
    <row r="5" spans="1:21" s="106" customFormat="1">
      <c r="A5" s="208" t="s">
        <v>1817</v>
      </c>
      <c r="B5" s="264">
        <f>SUM(C5+D5)</f>
        <v>235939</v>
      </c>
      <c r="C5" s="900">
        <v>235939</v>
      </c>
      <c r="D5" s="900">
        <v>0</v>
      </c>
      <c r="E5" s="900">
        <f>B5-SUM(F5:Q5)</f>
        <v>235939</v>
      </c>
      <c r="F5" s="900"/>
      <c r="G5" s="900"/>
      <c r="H5" s="900"/>
      <c r="I5" s="900"/>
      <c r="J5" s="900"/>
      <c r="K5" s="900"/>
      <c r="L5" s="900"/>
      <c r="M5" s="900"/>
      <c r="N5" s="900"/>
      <c r="O5" s="900"/>
      <c r="P5" s="900"/>
      <c r="Q5" s="900"/>
      <c r="R5" s="441">
        <f>SUM(E5:Q5)</f>
        <v>235939</v>
      </c>
      <c r="S5" s="1199"/>
      <c r="T5" s="1199"/>
      <c r="U5" s="1198"/>
    </row>
    <row r="6" spans="1:21" s="106" customFormat="1">
      <c r="A6" s="208" t="s">
        <v>1818</v>
      </c>
      <c r="B6" s="264">
        <f>SUM(C6+D6)</f>
        <v>32536</v>
      </c>
      <c r="C6" s="900">
        <v>32536</v>
      </c>
      <c r="D6" s="900">
        <v>0</v>
      </c>
      <c r="E6" s="900">
        <f>B6-SUM(F6:Q6)</f>
        <v>32536</v>
      </c>
      <c r="F6" s="900"/>
      <c r="G6" s="900"/>
      <c r="H6" s="900"/>
      <c r="I6" s="900"/>
      <c r="J6" s="900"/>
      <c r="K6" s="900"/>
      <c r="L6" s="900"/>
      <c r="M6" s="900"/>
      <c r="N6" s="900"/>
      <c r="O6" s="900"/>
      <c r="P6" s="900"/>
      <c r="Q6" s="900"/>
      <c r="R6" s="441">
        <f>SUM(E6:Q6)</f>
        <v>32536</v>
      </c>
      <c r="S6" s="1199"/>
      <c r="T6" s="1199"/>
      <c r="U6" s="1198"/>
    </row>
    <row r="7" spans="1:21" s="106" customFormat="1">
      <c r="A7" s="208" t="s">
        <v>1819</v>
      </c>
      <c r="B7" s="264">
        <f>SUM(C7+D7)</f>
        <v>0</v>
      </c>
      <c r="C7" s="900"/>
      <c r="D7" s="900"/>
      <c r="E7" s="900">
        <f>B7-SUM(F7:Q7)</f>
        <v>0</v>
      </c>
      <c r="F7" s="900"/>
      <c r="G7" s="900"/>
      <c r="H7" s="900"/>
      <c r="I7" s="900"/>
      <c r="J7" s="900"/>
      <c r="K7" s="900"/>
      <c r="L7" s="900"/>
      <c r="M7" s="900"/>
      <c r="N7" s="900"/>
      <c r="O7" s="900"/>
      <c r="P7" s="900"/>
      <c r="Q7" s="900"/>
      <c r="R7" s="441">
        <f>SUM(E7:Q7)</f>
        <v>0</v>
      </c>
      <c r="S7" s="1199"/>
      <c r="T7" s="1199"/>
      <c r="U7" s="1198"/>
    </row>
    <row r="8" spans="1:21" s="106" customFormat="1">
      <c r="A8" s="107" t="s">
        <v>1820</v>
      </c>
      <c r="B8" s="264">
        <f>SUM(C8:D8)</f>
        <v>9768475</v>
      </c>
      <c r="C8" s="264">
        <f t="shared" ref="C8:Q8" si="0">SUM(C4:C7)</f>
        <v>9768475</v>
      </c>
      <c r="D8" s="264">
        <f t="shared" si="0"/>
        <v>0</v>
      </c>
      <c r="E8" s="264">
        <f t="shared" si="0"/>
        <v>9768475</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9768475</v>
      </c>
      <c r="S8" s="1199"/>
      <c r="T8" s="1199"/>
      <c r="U8" s="1198"/>
    </row>
    <row r="9" spans="1:21" s="106" customFormat="1">
      <c r="A9" s="208" t="s">
        <v>1821</v>
      </c>
      <c r="B9" s="264">
        <f>SUM(C9+D9)</f>
        <v>0</v>
      </c>
      <c r="C9" s="900">
        <v>0</v>
      </c>
      <c r="D9" s="900">
        <v>0</v>
      </c>
      <c r="E9" s="900">
        <f>B9-SUM(F9:Q9)</f>
        <v>0</v>
      </c>
      <c r="F9" s="900"/>
      <c r="G9" s="900"/>
      <c r="H9" s="900"/>
      <c r="I9" s="900"/>
      <c r="J9" s="900"/>
      <c r="K9" s="900"/>
      <c r="L9" s="900"/>
      <c r="M9" s="900"/>
      <c r="N9" s="900"/>
      <c r="O9" s="900"/>
      <c r="P9" s="900"/>
      <c r="Q9" s="900"/>
      <c r="R9" s="441">
        <f>SUM(E9:Q9)</f>
        <v>0</v>
      </c>
      <c r="S9" s="1199"/>
      <c r="T9" s="900">
        <v>0</v>
      </c>
      <c r="U9" s="1198"/>
    </row>
    <row r="10" spans="1:21" s="106" customFormat="1">
      <c r="A10" s="208" t="s">
        <v>1822</v>
      </c>
      <c r="B10" s="264">
        <f>SUM(C10+D10)</f>
        <v>193951</v>
      </c>
      <c r="C10" s="900">
        <v>193951</v>
      </c>
      <c r="D10" s="900">
        <v>0</v>
      </c>
      <c r="E10" s="900">
        <f>B10-SUM(F10:Q10)</f>
        <v>193951</v>
      </c>
      <c r="F10" s="900"/>
      <c r="G10" s="900"/>
      <c r="H10" s="900"/>
      <c r="I10" s="900"/>
      <c r="J10" s="900"/>
      <c r="K10" s="900"/>
      <c r="L10" s="900"/>
      <c r="M10" s="900"/>
      <c r="N10" s="900"/>
      <c r="O10" s="900"/>
      <c r="P10" s="900"/>
      <c r="Q10" s="900"/>
      <c r="R10" s="441">
        <f>SUM(E10:Q10)</f>
        <v>193951</v>
      </c>
      <c r="S10" s="900">
        <f>C10</f>
        <v>193951</v>
      </c>
      <c r="T10" s="900">
        <v>0</v>
      </c>
      <c r="U10" s="1198"/>
    </row>
    <row r="11" spans="1:21" s="106" customFormat="1">
      <c r="A11" s="107" t="s">
        <v>1823</v>
      </c>
      <c r="B11" s="264">
        <f>SUM(C11:D11)</f>
        <v>193951</v>
      </c>
      <c r="C11" s="264">
        <f t="shared" ref="C11:Q11" si="1">SUM(C9:C10)</f>
        <v>193951</v>
      </c>
      <c r="D11" s="264">
        <f t="shared" si="1"/>
        <v>0</v>
      </c>
      <c r="E11" s="264">
        <f t="shared" si="1"/>
        <v>193951</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193951</v>
      </c>
      <c r="S11" s="1199"/>
      <c r="T11" s="108">
        <f>SUM(T9:T10)</f>
        <v>0</v>
      </c>
      <c r="U11" s="1198"/>
    </row>
    <row r="12" spans="1:21" s="106" customFormat="1">
      <c r="A12" s="107" t="s">
        <v>1824</v>
      </c>
      <c r="B12" s="264">
        <f t="shared" ref="B12:Q12" si="2">SUM(B8+B11)</f>
        <v>9962426</v>
      </c>
      <c r="C12" s="264">
        <f t="shared" si="2"/>
        <v>9962426</v>
      </c>
      <c r="D12" s="264">
        <f t="shared" si="2"/>
        <v>0</v>
      </c>
      <c r="E12" s="264">
        <f t="shared" si="2"/>
        <v>9962426</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9962426</v>
      </c>
      <c r="S12" s="1199"/>
      <c r="T12" s="1199"/>
      <c r="U12" s="1198"/>
    </row>
    <row r="13" spans="1:21" s="106" customFormat="1">
      <c r="A13" s="211" t="s">
        <v>1825</v>
      </c>
      <c r="B13" s="264">
        <f>SUM(C13+D13)</f>
        <v>161396</v>
      </c>
      <c r="C13" s="900">
        <v>161396</v>
      </c>
      <c r="D13" s="900">
        <v>0</v>
      </c>
      <c r="E13" s="900">
        <f>B13-SUM(F13:Q13)</f>
        <v>161396</v>
      </c>
      <c r="F13" s="900"/>
      <c r="G13" s="900"/>
      <c r="H13" s="900"/>
      <c r="I13" s="900"/>
      <c r="J13" s="900"/>
      <c r="K13" s="900"/>
      <c r="L13" s="900"/>
      <c r="M13" s="900"/>
      <c r="N13" s="900"/>
      <c r="O13" s="900"/>
      <c r="P13" s="900"/>
      <c r="Q13" s="900"/>
      <c r="R13" s="441">
        <f>SUM(E13:Q13)</f>
        <v>161396</v>
      </c>
      <c r="S13" s="900">
        <v>0</v>
      </c>
      <c r="T13" s="900">
        <v>0</v>
      </c>
      <c r="U13" s="1198"/>
    </row>
    <row r="14" spans="1:21" s="106" customFormat="1" ht="24">
      <c r="A14" s="212" t="s">
        <v>1826</v>
      </c>
      <c r="B14" s="264">
        <f>SUM(C14+D14)</f>
        <v>0</v>
      </c>
      <c r="C14" s="900"/>
      <c r="D14" s="900"/>
      <c r="E14" s="900">
        <f>B14-SUM(F14:Q14)</f>
        <v>0</v>
      </c>
      <c r="F14" s="900"/>
      <c r="G14" s="900"/>
      <c r="H14" s="900"/>
      <c r="I14" s="900"/>
      <c r="J14" s="900"/>
      <c r="K14" s="900"/>
      <c r="L14" s="900"/>
      <c r="M14" s="900"/>
      <c r="N14" s="900"/>
      <c r="O14" s="900"/>
      <c r="P14" s="900"/>
      <c r="Q14" s="900"/>
      <c r="R14" s="441">
        <f>SUM(E14:Q14)</f>
        <v>0</v>
      </c>
      <c r="S14" s="900">
        <f>C14</f>
        <v>0</v>
      </c>
      <c r="T14" s="900"/>
      <c r="U14" s="1198"/>
    </row>
    <row r="15" spans="1:21" s="106" customFormat="1">
      <c r="A15" s="212" t="s">
        <v>1827</v>
      </c>
      <c r="B15" s="264">
        <f>SUM(C15+D15)</f>
        <v>0</v>
      </c>
      <c r="C15" s="900"/>
      <c r="D15" s="900"/>
      <c r="E15" s="900">
        <f>B15-SUM(F15:Q15)</f>
        <v>0</v>
      </c>
      <c r="F15" s="900"/>
      <c r="G15" s="900"/>
      <c r="H15" s="900"/>
      <c r="I15" s="900"/>
      <c r="J15" s="900"/>
      <c r="K15" s="900"/>
      <c r="L15" s="900"/>
      <c r="M15" s="900"/>
      <c r="N15" s="900"/>
      <c r="O15" s="900"/>
      <c r="P15" s="900"/>
      <c r="Q15" s="900"/>
      <c r="R15" s="441">
        <f>SUM(E15:Q15)</f>
        <v>0</v>
      </c>
      <c r="S15" s="1199"/>
      <c r="T15" s="1199"/>
      <c r="U15" s="1198"/>
    </row>
    <row r="16" spans="1:21" s="106" customFormat="1">
      <c r="A16" s="105" t="s">
        <v>1828</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1829</v>
      </c>
      <c r="B17" s="264">
        <f t="shared" ref="B17:B26" si="3">SUM(C17+D17)</f>
        <v>0</v>
      </c>
      <c r="C17" s="900">
        <v>0</v>
      </c>
      <c r="D17" s="900">
        <v>0</v>
      </c>
      <c r="E17" s="900">
        <f t="shared" ref="E17:E25" si="4">B17-SUM(F17:Q17)</f>
        <v>0</v>
      </c>
      <c r="F17" s="900"/>
      <c r="G17" s="900"/>
      <c r="H17" s="900"/>
      <c r="I17" s="900"/>
      <c r="J17" s="900"/>
      <c r="K17" s="900"/>
      <c r="L17" s="900"/>
      <c r="M17" s="900"/>
      <c r="N17" s="900"/>
      <c r="O17" s="900"/>
      <c r="P17" s="900"/>
      <c r="Q17" s="900"/>
      <c r="R17" s="441">
        <f>SUM(E17:Q17)</f>
        <v>0</v>
      </c>
      <c r="S17" s="900">
        <f t="shared" ref="S17:S25" si="5">C17</f>
        <v>0</v>
      </c>
      <c r="T17" s="900">
        <v>0</v>
      </c>
      <c r="U17" s="1198"/>
    </row>
    <row r="18" spans="1:21" s="106" customFormat="1">
      <c r="A18" s="208" t="s">
        <v>1830</v>
      </c>
      <c r="B18" s="264">
        <f t="shared" si="3"/>
        <v>0</v>
      </c>
      <c r="C18" s="900">
        <v>0</v>
      </c>
      <c r="D18" s="900">
        <v>0</v>
      </c>
      <c r="E18" s="900">
        <f t="shared" si="4"/>
        <v>0</v>
      </c>
      <c r="F18" s="900"/>
      <c r="G18" s="900"/>
      <c r="H18" s="900"/>
      <c r="I18" s="900"/>
      <c r="J18" s="900"/>
      <c r="K18" s="900"/>
      <c r="L18" s="900"/>
      <c r="M18" s="900"/>
      <c r="N18" s="900"/>
      <c r="O18" s="900"/>
      <c r="P18" s="900"/>
      <c r="Q18" s="900"/>
      <c r="R18" s="441">
        <f>SUM(E18:Q18)</f>
        <v>0</v>
      </c>
      <c r="S18" s="900">
        <f t="shared" si="5"/>
        <v>0</v>
      </c>
      <c r="T18" s="900">
        <v>0</v>
      </c>
      <c r="U18" s="1198"/>
    </row>
    <row r="19" spans="1:21" s="106" customFormat="1">
      <c r="A19" s="208" t="s">
        <v>1831</v>
      </c>
      <c r="B19" s="264">
        <f t="shared" si="3"/>
        <v>0</v>
      </c>
      <c r="C19" s="900">
        <v>0</v>
      </c>
      <c r="D19" s="900">
        <v>0</v>
      </c>
      <c r="E19" s="900">
        <f t="shared" si="4"/>
        <v>0</v>
      </c>
      <c r="F19" s="900"/>
      <c r="G19" s="900"/>
      <c r="H19" s="900"/>
      <c r="I19" s="900"/>
      <c r="J19" s="900"/>
      <c r="K19" s="900"/>
      <c r="L19" s="900"/>
      <c r="M19" s="900"/>
      <c r="N19" s="900"/>
      <c r="O19" s="900"/>
      <c r="P19" s="900"/>
      <c r="Q19" s="900"/>
      <c r="R19" s="441">
        <f>SUM(E19:Q19)</f>
        <v>0</v>
      </c>
      <c r="S19" s="900">
        <f t="shared" si="5"/>
        <v>0</v>
      </c>
      <c r="T19" s="900">
        <v>0</v>
      </c>
      <c r="U19" s="1198"/>
    </row>
    <row r="20" spans="1:21" s="106" customFormat="1">
      <c r="A20" s="208" t="s">
        <v>1832</v>
      </c>
      <c r="B20" s="264">
        <f t="shared" si="3"/>
        <v>0</v>
      </c>
      <c r="C20" s="900">
        <v>0</v>
      </c>
      <c r="D20" s="900">
        <v>0</v>
      </c>
      <c r="E20" s="900">
        <f t="shared" si="4"/>
        <v>0</v>
      </c>
      <c r="F20" s="900"/>
      <c r="G20" s="900"/>
      <c r="H20" s="900"/>
      <c r="I20" s="900"/>
      <c r="J20" s="900"/>
      <c r="K20" s="900"/>
      <c r="L20" s="900"/>
      <c r="M20" s="900"/>
      <c r="N20" s="900"/>
      <c r="O20" s="900"/>
      <c r="P20" s="900"/>
      <c r="Q20" s="900"/>
      <c r="R20" s="441">
        <f t="shared" ref="R20:R27" si="6">SUM(E20:Q20)</f>
        <v>0</v>
      </c>
      <c r="S20" s="900">
        <f t="shared" si="5"/>
        <v>0</v>
      </c>
      <c r="T20" s="900">
        <v>0</v>
      </c>
      <c r="U20" s="1198"/>
    </row>
    <row r="21" spans="1:21" s="106" customFormat="1">
      <c r="A21" s="208" t="s">
        <v>1833</v>
      </c>
      <c r="B21" s="264">
        <f t="shared" si="3"/>
        <v>0</v>
      </c>
      <c r="C21" s="900">
        <v>0</v>
      </c>
      <c r="D21" s="900">
        <v>0</v>
      </c>
      <c r="E21" s="900">
        <f t="shared" si="4"/>
        <v>0</v>
      </c>
      <c r="F21" s="900"/>
      <c r="G21" s="900"/>
      <c r="H21" s="900"/>
      <c r="I21" s="900"/>
      <c r="J21" s="900"/>
      <c r="K21" s="900"/>
      <c r="L21" s="900"/>
      <c r="M21" s="900"/>
      <c r="N21" s="900"/>
      <c r="O21" s="900"/>
      <c r="P21" s="900"/>
      <c r="Q21" s="900"/>
      <c r="R21" s="441">
        <f t="shared" si="6"/>
        <v>0</v>
      </c>
      <c r="S21" s="900">
        <f t="shared" si="5"/>
        <v>0</v>
      </c>
      <c r="T21" s="900">
        <v>0</v>
      </c>
      <c r="U21" s="1198"/>
    </row>
    <row r="22" spans="1:21" s="106" customFormat="1">
      <c r="A22" s="208" t="s">
        <v>1834</v>
      </c>
      <c r="B22" s="264">
        <f t="shared" si="3"/>
        <v>0</v>
      </c>
      <c r="C22" s="900">
        <v>0</v>
      </c>
      <c r="D22" s="900">
        <v>0</v>
      </c>
      <c r="E22" s="900">
        <f t="shared" si="4"/>
        <v>0</v>
      </c>
      <c r="F22" s="900"/>
      <c r="G22" s="900"/>
      <c r="H22" s="900"/>
      <c r="I22" s="900"/>
      <c r="J22" s="900"/>
      <c r="K22" s="900"/>
      <c r="L22" s="900"/>
      <c r="M22" s="900"/>
      <c r="N22" s="900"/>
      <c r="O22" s="900"/>
      <c r="P22" s="900"/>
      <c r="Q22" s="900"/>
      <c r="R22" s="441">
        <f t="shared" si="6"/>
        <v>0</v>
      </c>
      <c r="S22" s="900">
        <f t="shared" si="5"/>
        <v>0</v>
      </c>
      <c r="T22" s="900">
        <v>0</v>
      </c>
      <c r="U22" s="1198"/>
    </row>
    <row r="23" spans="1:21" s="106" customFormat="1">
      <c r="A23" s="208" t="s">
        <v>1835</v>
      </c>
      <c r="B23" s="264">
        <f t="shared" si="3"/>
        <v>0</v>
      </c>
      <c r="C23" s="900">
        <v>0</v>
      </c>
      <c r="D23" s="900">
        <v>0</v>
      </c>
      <c r="E23" s="900">
        <f t="shared" si="4"/>
        <v>0</v>
      </c>
      <c r="F23" s="900"/>
      <c r="G23" s="900"/>
      <c r="H23" s="900"/>
      <c r="I23" s="900"/>
      <c r="J23" s="900"/>
      <c r="K23" s="900"/>
      <c r="L23" s="900"/>
      <c r="M23" s="900"/>
      <c r="N23" s="900"/>
      <c r="O23" s="900"/>
      <c r="P23" s="900"/>
      <c r="Q23" s="900"/>
      <c r="R23" s="441">
        <f t="shared" si="6"/>
        <v>0</v>
      </c>
      <c r="S23" s="900">
        <f t="shared" si="5"/>
        <v>0</v>
      </c>
      <c r="T23" s="900">
        <v>0</v>
      </c>
      <c r="U23" s="1198"/>
    </row>
    <row r="24" spans="1:21" s="106" customFormat="1">
      <c r="A24" s="434" t="s">
        <v>1836</v>
      </c>
      <c r="B24" s="264">
        <f t="shared" si="3"/>
        <v>0</v>
      </c>
      <c r="C24" s="900"/>
      <c r="D24" s="900"/>
      <c r="E24" s="900">
        <f t="shared" si="4"/>
        <v>0</v>
      </c>
      <c r="F24" s="900"/>
      <c r="G24" s="900"/>
      <c r="H24" s="900"/>
      <c r="I24" s="900"/>
      <c r="J24" s="900"/>
      <c r="K24" s="900"/>
      <c r="L24" s="900"/>
      <c r="M24" s="900"/>
      <c r="N24" s="900"/>
      <c r="O24" s="900"/>
      <c r="P24" s="900"/>
      <c r="Q24" s="900"/>
      <c r="R24" s="441">
        <f t="shared" si="6"/>
        <v>0</v>
      </c>
      <c r="S24" s="900">
        <f t="shared" si="5"/>
        <v>0</v>
      </c>
      <c r="T24" s="900"/>
      <c r="U24" s="1198"/>
    </row>
    <row r="25" spans="1:21" s="106" customFormat="1">
      <c r="A25" s="1081" t="s">
        <v>1837</v>
      </c>
      <c r="B25" s="264">
        <f t="shared" si="3"/>
        <v>0</v>
      </c>
      <c r="C25" s="900">
        <v>0</v>
      </c>
      <c r="D25" s="900">
        <v>0</v>
      </c>
      <c r="E25" s="900">
        <f t="shared" si="4"/>
        <v>0</v>
      </c>
      <c r="F25" s="900"/>
      <c r="G25" s="900"/>
      <c r="H25" s="900"/>
      <c r="I25" s="900"/>
      <c r="J25" s="900"/>
      <c r="K25" s="900"/>
      <c r="L25" s="900"/>
      <c r="M25" s="900"/>
      <c r="N25" s="900"/>
      <c r="O25" s="900"/>
      <c r="P25" s="900"/>
      <c r="Q25" s="900"/>
      <c r="R25" s="441">
        <f t="shared" si="6"/>
        <v>0</v>
      </c>
      <c r="S25" s="900">
        <f t="shared" si="5"/>
        <v>0</v>
      </c>
      <c r="T25" s="900">
        <v>0</v>
      </c>
      <c r="U25" s="1198"/>
    </row>
    <row r="26" spans="1:21" s="106" customFormat="1">
      <c r="A26" s="107" t="s">
        <v>1838</v>
      </c>
      <c r="B26" s="264">
        <f t="shared" si="3"/>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198"/>
    </row>
    <row r="27" spans="1:21" s="106" customFormat="1">
      <c r="A27" s="107" t="s">
        <v>1839</v>
      </c>
      <c r="B27" s="264">
        <f>SUM(C27:D27)</f>
        <v>0</v>
      </c>
      <c r="C27" s="900">
        <v>0</v>
      </c>
      <c r="D27" s="900">
        <v>0</v>
      </c>
      <c r="E27" s="900">
        <f>B27-SUM(F27:Q27)</f>
        <v>0</v>
      </c>
      <c r="F27" s="900"/>
      <c r="G27" s="900"/>
      <c r="H27" s="900"/>
      <c r="I27" s="900"/>
      <c r="J27" s="900"/>
      <c r="K27" s="900"/>
      <c r="L27" s="900"/>
      <c r="M27" s="900"/>
      <c r="N27" s="900"/>
      <c r="O27" s="900"/>
      <c r="P27" s="900"/>
      <c r="Q27" s="900"/>
      <c r="R27" s="441">
        <f t="shared" si="6"/>
        <v>0</v>
      </c>
      <c r="S27" s="900">
        <f>C27</f>
        <v>0</v>
      </c>
      <c r="T27" s="900">
        <v>0</v>
      </c>
      <c r="U27" s="1198"/>
    </row>
    <row r="28" spans="1:21" s="106" customFormat="1">
      <c r="A28" s="105" t="s">
        <v>1840</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1829</v>
      </c>
      <c r="B29" s="264">
        <f t="shared" ref="B29:B38" si="8">SUM(C29+D29)</f>
        <v>3168135</v>
      </c>
      <c r="C29" s="900">
        <v>3168135</v>
      </c>
      <c r="D29" s="900">
        <v>0</v>
      </c>
      <c r="E29" s="900">
        <f t="shared" ref="E29:E37" si="9">B29-SUM(F29:Q29)</f>
        <v>168135</v>
      </c>
      <c r="F29" s="900"/>
      <c r="G29" s="900"/>
      <c r="H29" s="900">
        <v>3000000</v>
      </c>
      <c r="I29" s="900"/>
      <c r="J29" s="900"/>
      <c r="K29" s="900"/>
      <c r="L29" s="900"/>
      <c r="M29" s="900"/>
      <c r="N29" s="900"/>
      <c r="O29" s="900"/>
      <c r="P29" s="900"/>
      <c r="Q29" s="900"/>
      <c r="R29" s="441">
        <f t="shared" ref="R29:R37" si="10">SUM(E29:Q29)</f>
        <v>3168135</v>
      </c>
      <c r="S29" s="900">
        <f t="shared" ref="S29:S37" si="11">C29</f>
        <v>3168135</v>
      </c>
      <c r="T29" s="900">
        <v>0</v>
      </c>
      <c r="U29" s="1198"/>
    </row>
    <row r="30" spans="1:21" s="106" customFormat="1">
      <c r="A30" s="208" t="s">
        <v>1830</v>
      </c>
      <c r="B30" s="264">
        <f t="shared" si="8"/>
        <v>41115239</v>
      </c>
      <c r="C30" s="900">
        <f>44244995-3129756</f>
        <v>41115239</v>
      </c>
      <c r="D30" s="900">
        <v>0</v>
      </c>
      <c r="E30" s="900">
        <f t="shared" si="9"/>
        <v>172239</v>
      </c>
      <c r="F30" s="900">
        <f>Application!AO623</f>
        <v>14743000</v>
      </c>
      <c r="G30" s="900">
        <f>Application!AO624</f>
        <v>16000000</v>
      </c>
      <c r="H30" s="900">
        <f>Application!AO625-H29-H31-H79</f>
        <v>10200000</v>
      </c>
      <c r="I30" s="900"/>
      <c r="J30" s="900"/>
      <c r="K30" s="900"/>
      <c r="L30" s="900"/>
      <c r="M30" s="900"/>
      <c r="N30" s="900"/>
      <c r="O30" s="900"/>
      <c r="P30" s="900"/>
      <c r="Q30" s="900"/>
      <c r="R30" s="441">
        <f t="shared" si="10"/>
        <v>41115239</v>
      </c>
      <c r="S30" s="900">
        <f t="shared" si="11"/>
        <v>41115239</v>
      </c>
      <c r="T30" s="900">
        <v>0</v>
      </c>
      <c r="U30" s="1198"/>
    </row>
    <row r="31" spans="1:21" s="106" customFormat="1">
      <c r="A31" s="208" t="s">
        <v>1831</v>
      </c>
      <c r="B31" s="264">
        <f t="shared" si="8"/>
        <v>1827409</v>
      </c>
      <c r="C31" s="900">
        <v>1827409</v>
      </c>
      <c r="D31" s="900">
        <v>0</v>
      </c>
      <c r="E31" s="900">
        <f t="shared" si="9"/>
        <v>27409</v>
      </c>
      <c r="F31" s="900"/>
      <c r="G31" s="900"/>
      <c r="H31" s="900">
        <v>1800000</v>
      </c>
      <c r="I31" s="900"/>
      <c r="J31" s="900"/>
      <c r="K31" s="900"/>
      <c r="L31" s="900"/>
      <c r="M31" s="900"/>
      <c r="N31" s="900"/>
      <c r="O31" s="900"/>
      <c r="P31" s="900"/>
      <c r="Q31" s="900"/>
      <c r="R31" s="441">
        <f t="shared" si="10"/>
        <v>1827409</v>
      </c>
      <c r="S31" s="900">
        <f t="shared" si="11"/>
        <v>1827409</v>
      </c>
      <c r="T31" s="900">
        <v>0</v>
      </c>
      <c r="U31" s="1198"/>
    </row>
    <row r="32" spans="1:21" s="106" customFormat="1">
      <c r="A32" s="208" t="s">
        <v>1832</v>
      </c>
      <c r="B32" s="264">
        <f t="shared" si="8"/>
        <v>773272</v>
      </c>
      <c r="C32" s="900">
        <v>773272</v>
      </c>
      <c r="D32" s="900">
        <v>0</v>
      </c>
      <c r="E32" s="900">
        <f t="shared" si="9"/>
        <v>773272</v>
      </c>
      <c r="F32" s="900"/>
      <c r="G32" s="900"/>
      <c r="H32" s="900"/>
      <c r="I32" s="900"/>
      <c r="J32" s="900"/>
      <c r="K32" s="900"/>
      <c r="L32" s="900"/>
      <c r="M32" s="900"/>
      <c r="N32" s="900"/>
      <c r="O32" s="900"/>
      <c r="P32" s="900"/>
      <c r="Q32" s="900"/>
      <c r="R32" s="441">
        <f t="shared" si="10"/>
        <v>773272</v>
      </c>
      <c r="S32" s="900">
        <f t="shared" si="11"/>
        <v>773272</v>
      </c>
      <c r="T32" s="900">
        <v>0</v>
      </c>
      <c r="U32" s="1198"/>
    </row>
    <row r="33" spans="1:21" s="106" customFormat="1">
      <c r="A33" s="208" t="s">
        <v>1833</v>
      </c>
      <c r="B33" s="264">
        <f t="shared" si="8"/>
        <v>773272</v>
      </c>
      <c r="C33" s="900">
        <v>773272</v>
      </c>
      <c r="D33" s="900">
        <v>0</v>
      </c>
      <c r="E33" s="900">
        <f t="shared" si="9"/>
        <v>773272</v>
      </c>
      <c r="F33" s="900"/>
      <c r="G33" s="900"/>
      <c r="H33" s="900"/>
      <c r="I33" s="900"/>
      <c r="J33" s="900"/>
      <c r="K33" s="900"/>
      <c r="L33" s="900"/>
      <c r="M33" s="900"/>
      <c r="N33" s="900"/>
      <c r="O33" s="900"/>
      <c r="P33" s="900"/>
      <c r="Q33" s="900"/>
      <c r="R33" s="441">
        <f t="shared" si="10"/>
        <v>773272</v>
      </c>
      <c r="S33" s="900">
        <f t="shared" si="11"/>
        <v>773272</v>
      </c>
      <c r="T33" s="900">
        <v>0</v>
      </c>
      <c r="U33" s="1198"/>
    </row>
    <row r="34" spans="1:21" s="106" customFormat="1">
      <c r="A34" s="208" t="s">
        <v>1834</v>
      </c>
      <c r="B34" s="264">
        <f t="shared" si="8"/>
        <v>0</v>
      </c>
      <c r="C34" s="900">
        <v>0</v>
      </c>
      <c r="D34" s="900">
        <v>0</v>
      </c>
      <c r="E34" s="900">
        <f t="shared" si="9"/>
        <v>0</v>
      </c>
      <c r="F34" s="900"/>
      <c r="G34" s="900"/>
      <c r="H34" s="900"/>
      <c r="I34" s="900"/>
      <c r="J34" s="900"/>
      <c r="K34" s="900"/>
      <c r="L34" s="900"/>
      <c r="M34" s="900"/>
      <c r="N34" s="900"/>
      <c r="O34" s="900"/>
      <c r="P34" s="900"/>
      <c r="Q34" s="900"/>
      <c r="R34" s="441">
        <f t="shared" si="10"/>
        <v>0</v>
      </c>
      <c r="S34" s="900">
        <f t="shared" si="11"/>
        <v>0</v>
      </c>
      <c r="T34" s="900">
        <v>0</v>
      </c>
      <c r="U34" s="1198"/>
    </row>
    <row r="35" spans="1:21" s="106" customFormat="1">
      <c r="A35" s="208" t="s">
        <v>1835</v>
      </c>
      <c r="B35" s="264">
        <f t="shared" si="8"/>
        <v>515006</v>
      </c>
      <c r="C35" s="900">
        <v>515006</v>
      </c>
      <c r="D35" s="900">
        <v>0</v>
      </c>
      <c r="E35" s="900">
        <f t="shared" si="9"/>
        <v>515006</v>
      </c>
      <c r="F35" s="900"/>
      <c r="G35" s="900"/>
      <c r="H35" s="900"/>
      <c r="I35" s="900"/>
      <c r="J35" s="900"/>
      <c r="K35" s="900"/>
      <c r="L35" s="900"/>
      <c r="M35" s="900"/>
      <c r="N35" s="900"/>
      <c r="O35" s="900"/>
      <c r="P35" s="900"/>
      <c r="Q35" s="900"/>
      <c r="R35" s="441">
        <f t="shared" si="10"/>
        <v>515006</v>
      </c>
      <c r="S35" s="900">
        <f t="shared" si="11"/>
        <v>515006</v>
      </c>
      <c r="T35" s="900">
        <v>0</v>
      </c>
      <c r="U35" s="1198"/>
    </row>
    <row r="36" spans="1:21" s="106" customFormat="1">
      <c r="A36" s="208" t="s">
        <v>1836</v>
      </c>
      <c r="B36" s="264">
        <f t="shared" si="8"/>
        <v>0</v>
      </c>
      <c r="C36" s="900"/>
      <c r="D36" s="900"/>
      <c r="E36" s="900">
        <f t="shared" si="9"/>
        <v>0</v>
      </c>
      <c r="F36" s="900"/>
      <c r="G36" s="900"/>
      <c r="H36" s="900"/>
      <c r="I36" s="900"/>
      <c r="J36" s="900"/>
      <c r="K36" s="900"/>
      <c r="L36" s="900"/>
      <c r="M36" s="900"/>
      <c r="N36" s="900"/>
      <c r="O36" s="900"/>
      <c r="P36" s="900"/>
      <c r="Q36" s="900"/>
      <c r="R36" s="441">
        <f t="shared" si="10"/>
        <v>0</v>
      </c>
      <c r="S36" s="900">
        <f t="shared" si="11"/>
        <v>0</v>
      </c>
      <c r="T36" s="900"/>
      <c r="U36" s="1198"/>
    </row>
    <row r="37" spans="1:21" s="106" customFormat="1">
      <c r="A37" s="1081" t="s">
        <v>1837</v>
      </c>
      <c r="B37" s="264">
        <f t="shared" si="8"/>
        <v>0</v>
      </c>
      <c r="C37" s="900">
        <v>0</v>
      </c>
      <c r="D37" s="900">
        <v>0</v>
      </c>
      <c r="E37" s="900">
        <f t="shared" si="9"/>
        <v>0</v>
      </c>
      <c r="F37" s="900"/>
      <c r="G37" s="900"/>
      <c r="H37" s="900"/>
      <c r="I37" s="900"/>
      <c r="J37" s="900"/>
      <c r="K37" s="900"/>
      <c r="L37" s="900"/>
      <c r="M37" s="900"/>
      <c r="N37" s="900"/>
      <c r="O37" s="900"/>
      <c r="P37" s="900"/>
      <c r="Q37" s="900"/>
      <c r="R37" s="441">
        <f t="shared" si="10"/>
        <v>0</v>
      </c>
      <c r="S37" s="900">
        <f t="shared" si="11"/>
        <v>0</v>
      </c>
      <c r="T37" s="900">
        <v>0</v>
      </c>
      <c r="U37" s="1198"/>
    </row>
    <row r="38" spans="1:21" s="106" customFormat="1">
      <c r="A38" s="107" t="s">
        <v>1841</v>
      </c>
      <c r="B38" s="264">
        <f t="shared" si="8"/>
        <v>48172333</v>
      </c>
      <c r="C38" s="264">
        <f>SUM(C29:C37)</f>
        <v>48172333</v>
      </c>
      <c r="D38" s="264">
        <f t="shared" ref="D38:Q38" si="12">SUM(D29:D37)</f>
        <v>0</v>
      </c>
      <c r="E38" s="264">
        <f t="shared" si="12"/>
        <v>2429333</v>
      </c>
      <c r="F38" s="264">
        <f t="shared" si="12"/>
        <v>14743000</v>
      </c>
      <c r="G38" s="264">
        <f t="shared" si="12"/>
        <v>16000000</v>
      </c>
      <c r="H38" s="264">
        <f t="shared" si="12"/>
        <v>15000000</v>
      </c>
      <c r="I38" s="264">
        <f t="shared" si="12"/>
        <v>0</v>
      </c>
      <c r="J38" s="264">
        <f t="shared" si="12"/>
        <v>0</v>
      </c>
      <c r="K38" s="264">
        <f t="shared" si="12"/>
        <v>0</v>
      </c>
      <c r="L38" s="264">
        <f t="shared" si="12"/>
        <v>0</v>
      </c>
      <c r="M38" s="264">
        <f t="shared" si="12"/>
        <v>0</v>
      </c>
      <c r="N38" s="264">
        <f t="shared" si="12"/>
        <v>0</v>
      </c>
      <c r="O38" s="264">
        <f t="shared" si="12"/>
        <v>0</v>
      </c>
      <c r="P38" s="264">
        <f t="shared" si="12"/>
        <v>0</v>
      </c>
      <c r="Q38" s="264">
        <f t="shared" si="12"/>
        <v>0</v>
      </c>
      <c r="R38" s="264">
        <f>SUM(R29:R37)</f>
        <v>48172333</v>
      </c>
      <c r="S38" s="108">
        <f>SUM(S29:S37)</f>
        <v>48172333</v>
      </c>
      <c r="T38" s="108">
        <f>SUM(T29:T37)</f>
        <v>0</v>
      </c>
      <c r="U38" s="1198"/>
    </row>
    <row r="39" spans="1:21" s="106" customFormat="1">
      <c r="A39" s="105" t="s">
        <v>1842</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1843</v>
      </c>
      <c r="B40" s="264">
        <f>SUM(C40+D40)</f>
        <v>1450000</v>
      </c>
      <c r="C40" s="900">
        <v>1450000</v>
      </c>
      <c r="D40" s="900">
        <v>0</v>
      </c>
      <c r="E40" s="900">
        <f>B40-SUM(F40:Q40)</f>
        <v>1450000</v>
      </c>
      <c r="F40" s="900"/>
      <c r="G40" s="900"/>
      <c r="H40" s="900"/>
      <c r="I40" s="900"/>
      <c r="J40" s="900"/>
      <c r="K40" s="900"/>
      <c r="L40" s="900"/>
      <c r="M40" s="900"/>
      <c r="N40" s="900"/>
      <c r="O40" s="900"/>
      <c r="P40" s="900"/>
      <c r="Q40" s="900"/>
      <c r="R40" s="441">
        <f>SUM(E40:Q40)</f>
        <v>1450000</v>
      </c>
      <c r="S40" s="900">
        <f>C40</f>
        <v>1450000</v>
      </c>
      <c r="T40" s="900">
        <v>0</v>
      </c>
      <c r="U40" s="1198"/>
    </row>
    <row r="41" spans="1:21" s="106" customFormat="1">
      <c r="A41" s="208" t="s">
        <v>1844</v>
      </c>
      <c r="B41" s="264">
        <f>SUM(C41+D41)</f>
        <v>300000</v>
      </c>
      <c r="C41" s="900">
        <v>300000</v>
      </c>
      <c r="D41" s="900">
        <v>0</v>
      </c>
      <c r="E41" s="900">
        <f>B41-SUM(F41:Q41)</f>
        <v>300000</v>
      </c>
      <c r="F41" s="900"/>
      <c r="G41" s="900"/>
      <c r="H41" s="900"/>
      <c r="I41" s="900"/>
      <c r="J41" s="900"/>
      <c r="K41" s="900"/>
      <c r="L41" s="900"/>
      <c r="M41" s="900"/>
      <c r="N41" s="900"/>
      <c r="O41" s="900"/>
      <c r="P41" s="900"/>
      <c r="Q41" s="900"/>
      <c r="R41" s="441">
        <f>SUM(E41:Q41)</f>
        <v>300000</v>
      </c>
      <c r="S41" s="900">
        <f>C41</f>
        <v>300000</v>
      </c>
      <c r="T41" s="900">
        <v>0</v>
      </c>
      <c r="U41" s="1198"/>
    </row>
    <row r="42" spans="1:21" s="106" customFormat="1">
      <c r="A42" s="107" t="s">
        <v>1845</v>
      </c>
      <c r="B42" s="264">
        <f>SUM(C42:D42)</f>
        <v>1750000</v>
      </c>
      <c r="C42" s="264">
        <f>SUM(C39:C41)</f>
        <v>1750000</v>
      </c>
      <c r="D42" s="264">
        <f>SUM(D39:D41)</f>
        <v>0</v>
      </c>
      <c r="E42" s="264">
        <f t="shared" ref="E42:T42" si="13">SUM(E40:E41)</f>
        <v>1750000</v>
      </c>
      <c r="F42" s="264">
        <f t="shared" si="13"/>
        <v>0</v>
      </c>
      <c r="G42" s="264">
        <f t="shared" si="13"/>
        <v>0</v>
      </c>
      <c r="H42" s="264">
        <f t="shared" si="13"/>
        <v>0</v>
      </c>
      <c r="I42" s="264">
        <f t="shared" si="13"/>
        <v>0</v>
      </c>
      <c r="J42" s="264">
        <f t="shared" si="13"/>
        <v>0</v>
      </c>
      <c r="K42" s="264">
        <f t="shared" si="13"/>
        <v>0</v>
      </c>
      <c r="L42" s="264">
        <f t="shared" si="13"/>
        <v>0</v>
      </c>
      <c r="M42" s="264">
        <f t="shared" si="13"/>
        <v>0</v>
      </c>
      <c r="N42" s="264">
        <f t="shared" si="13"/>
        <v>0</v>
      </c>
      <c r="O42" s="264">
        <f t="shared" si="13"/>
        <v>0</v>
      </c>
      <c r="P42" s="264">
        <f t="shared" si="13"/>
        <v>0</v>
      </c>
      <c r="Q42" s="264">
        <f t="shared" si="13"/>
        <v>0</v>
      </c>
      <c r="R42" s="264">
        <f>SUM(R40:R41)</f>
        <v>1750000</v>
      </c>
      <c r="S42" s="108">
        <f t="shared" si="13"/>
        <v>1750000</v>
      </c>
      <c r="T42" s="108">
        <f t="shared" si="13"/>
        <v>0</v>
      </c>
      <c r="U42" s="1198"/>
    </row>
    <row r="43" spans="1:21" s="106" customFormat="1">
      <c r="A43" s="107" t="s">
        <v>1846</v>
      </c>
      <c r="B43" s="264">
        <f>SUM(C43:D43)</f>
        <v>390000</v>
      </c>
      <c r="C43" s="900">
        <v>390000</v>
      </c>
      <c r="D43" s="900">
        <v>0</v>
      </c>
      <c r="E43" s="900">
        <f>B43-SUM(F43:Q43)</f>
        <v>390000</v>
      </c>
      <c r="F43" s="900"/>
      <c r="G43" s="900"/>
      <c r="H43" s="900"/>
      <c r="I43" s="900"/>
      <c r="J43" s="900"/>
      <c r="K43" s="900"/>
      <c r="L43" s="900"/>
      <c r="M43" s="900"/>
      <c r="N43" s="900"/>
      <c r="O43" s="900"/>
      <c r="P43" s="900"/>
      <c r="Q43" s="900"/>
      <c r="R43" s="441">
        <f>SUM(E43:Q43)</f>
        <v>390000</v>
      </c>
      <c r="S43" s="900">
        <f>C43</f>
        <v>390000</v>
      </c>
      <c r="T43" s="900">
        <v>0</v>
      </c>
      <c r="U43" s="1198"/>
    </row>
    <row r="44" spans="1:21" s="106" customFormat="1">
      <c r="A44" s="105" t="s">
        <v>1847</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1848</v>
      </c>
      <c r="B45" s="264">
        <f t="shared" ref="B45:B53" si="14">SUM(C45+D45)</f>
        <v>5495736</v>
      </c>
      <c r="C45" s="900">
        <v>5495736</v>
      </c>
      <c r="D45" s="900">
        <v>0</v>
      </c>
      <c r="E45" s="900">
        <f t="shared" ref="E45:E53" si="15">B45-SUM(F45:Q45)</f>
        <v>5495736</v>
      </c>
      <c r="F45" s="900"/>
      <c r="G45" s="900"/>
      <c r="H45" s="900"/>
      <c r="I45" s="900"/>
      <c r="J45" s="900"/>
      <c r="K45" s="900"/>
      <c r="L45" s="900"/>
      <c r="M45" s="900"/>
      <c r="N45" s="900"/>
      <c r="O45" s="900"/>
      <c r="P45" s="900"/>
      <c r="Q45" s="900"/>
      <c r="R45" s="441">
        <f t="shared" ref="R45:R53" si="16">SUM(E45:Q45)</f>
        <v>5495736</v>
      </c>
      <c r="S45" s="900">
        <v>1864193</v>
      </c>
      <c r="T45" s="900">
        <v>0</v>
      </c>
      <c r="U45" s="1198"/>
    </row>
    <row r="46" spans="1:21" s="106" customFormat="1">
      <c r="A46" s="208" t="s">
        <v>1849</v>
      </c>
      <c r="B46" s="264">
        <f t="shared" si="14"/>
        <v>451123</v>
      </c>
      <c r="C46" s="900">
        <v>451123</v>
      </c>
      <c r="D46" s="900">
        <v>0</v>
      </c>
      <c r="E46" s="900">
        <f t="shared" si="15"/>
        <v>451123</v>
      </c>
      <c r="F46" s="900"/>
      <c r="G46" s="900"/>
      <c r="H46" s="900"/>
      <c r="I46" s="900"/>
      <c r="J46" s="900"/>
      <c r="K46" s="900"/>
      <c r="L46" s="900"/>
      <c r="M46" s="900"/>
      <c r="N46" s="900"/>
      <c r="O46" s="900"/>
      <c r="P46" s="900"/>
      <c r="Q46" s="900"/>
      <c r="R46" s="441">
        <f t="shared" si="16"/>
        <v>451123</v>
      </c>
      <c r="S46" s="900">
        <v>153024</v>
      </c>
      <c r="T46" s="900">
        <v>0</v>
      </c>
      <c r="U46" s="1198"/>
    </row>
    <row r="47" spans="1:21" s="106" customFormat="1">
      <c r="A47" s="1200" t="s">
        <v>1850</v>
      </c>
      <c r="B47" s="264">
        <f t="shared" si="14"/>
        <v>0</v>
      </c>
      <c r="C47" s="900"/>
      <c r="D47" s="900"/>
      <c r="E47" s="900">
        <f t="shared" si="15"/>
        <v>0</v>
      </c>
      <c r="F47" s="900"/>
      <c r="G47" s="900"/>
      <c r="H47" s="900"/>
      <c r="I47" s="900"/>
      <c r="J47" s="900"/>
      <c r="K47" s="900"/>
      <c r="L47" s="900"/>
      <c r="M47" s="900"/>
      <c r="N47" s="900"/>
      <c r="O47" s="900"/>
      <c r="P47" s="900"/>
      <c r="Q47" s="900"/>
      <c r="R47" s="441">
        <f t="shared" si="16"/>
        <v>0</v>
      </c>
      <c r="S47" s="900">
        <f>C47</f>
        <v>0</v>
      </c>
      <c r="T47" s="900"/>
      <c r="U47" s="1198"/>
    </row>
    <row r="48" spans="1:21" s="106" customFormat="1">
      <c r="A48" s="208" t="s">
        <v>1851</v>
      </c>
      <c r="B48" s="264">
        <f t="shared" si="14"/>
        <v>241261</v>
      </c>
      <c r="C48" s="900">
        <v>241261</v>
      </c>
      <c r="D48" s="900">
        <v>0</v>
      </c>
      <c r="E48" s="900">
        <f t="shared" si="15"/>
        <v>241261</v>
      </c>
      <c r="F48" s="900"/>
      <c r="G48" s="900"/>
      <c r="H48" s="900"/>
      <c r="I48" s="900"/>
      <c r="J48" s="900"/>
      <c r="K48" s="900"/>
      <c r="L48" s="900"/>
      <c r="M48" s="900"/>
      <c r="N48" s="900"/>
      <c r="O48" s="900"/>
      <c r="P48" s="900"/>
      <c r="Q48" s="900"/>
      <c r="R48" s="441">
        <f t="shared" si="16"/>
        <v>241261</v>
      </c>
      <c r="S48" s="900">
        <f>C48</f>
        <v>241261</v>
      </c>
      <c r="T48" s="900">
        <v>0</v>
      </c>
      <c r="U48" s="1198"/>
    </row>
    <row r="49" spans="1:21" s="106" customFormat="1">
      <c r="A49" s="208" t="s">
        <v>1852</v>
      </c>
      <c r="B49" s="264">
        <f t="shared" si="14"/>
        <v>271714</v>
      </c>
      <c r="C49" s="900">
        <v>271714</v>
      </c>
      <c r="D49" s="900">
        <v>0</v>
      </c>
      <c r="E49" s="900">
        <f t="shared" si="15"/>
        <v>271714</v>
      </c>
      <c r="F49" s="900"/>
      <c r="G49" s="900"/>
      <c r="H49" s="900"/>
      <c r="I49" s="900"/>
      <c r="J49" s="900"/>
      <c r="K49" s="900"/>
      <c r="L49" s="900"/>
      <c r="M49" s="900"/>
      <c r="N49" s="900"/>
      <c r="O49" s="900"/>
      <c r="P49" s="900"/>
      <c r="Q49" s="900"/>
      <c r="R49" s="441">
        <f t="shared" si="16"/>
        <v>271714</v>
      </c>
      <c r="S49" s="900">
        <v>0</v>
      </c>
      <c r="T49" s="900">
        <v>0</v>
      </c>
      <c r="U49" s="1198"/>
    </row>
    <row r="50" spans="1:21" s="106" customFormat="1">
      <c r="A50" s="208" t="s">
        <v>1853</v>
      </c>
      <c r="B50" s="264">
        <f t="shared" si="14"/>
        <v>60000</v>
      </c>
      <c r="C50" s="900">
        <v>60000</v>
      </c>
      <c r="D50" s="900">
        <v>0</v>
      </c>
      <c r="E50" s="900">
        <f t="shared" si="15"/>
        <v>60000</v>
      </c>
      <c r="F50" s="900"/>
      <c r="G50" s="900"/>
      <c r="H50" s="900"/>
      <c r="I50" s="900"/>
      <c r="J50" s="900"/>
      <c r="K50" s="900"/>
      <c r="L50" s="900"/>
      <c r="M50" s="900"/>
      <c r="N50" s="900"/>
      <c r="O50" s="900"/>
      <c r="P50" s="900"/>
      <c r="Q50" s="900"/>
      <c r="R50" s="441">
        <f t="shared" si="16"/>
        <v>60000</v>
      </c>
      <c r="S50" s="900">
        <v>50000</v>
      </c>
      <c r="T50" s="900">
        <v>0</v>
      </c>
      <c r="U50" s="1198"/>
    </row>
    <row r="51" spans="1:21" s="106" customFormat="1">
      <c r="A51" s="208" t="s">
        <v>1854</v>
      </c>
      <c r="B51" s="264">
        <f t="shared" si="14"/>
        <v>420000</v>
      </c>
      <c r="C51" s="900">
        <v>420000</v>
      </c>
      <c r="D51" s="900">
        <v>0</v>
      </c>
      <c r="E51" s="900">
        <f t="shared" si="15"/>
        <v>420000</v>
      </c>
      <c r="F51" s="900"/>
      <c r="G51" s="900"/>
      <c r="H51" s="900"/>
      <c r="I51" s="900"/>
      <c r="J51" s="900"/>
      <c r="K51" s="900"/>
      <c r="L51" s="900"/>
      <c r="M51" s="900"/>
      <c r="N51" s="900"/>
      <c r="O51" s="900"/>
      <c r="P51" s="900"/>
      <c r="Q51" s="900"/>
      <c r="R51" s="441">
        <f t="shared" si="16"/>
        <v>420000</v>
      </c>
      <c r="S51" s="900">
        <f>C51</f>
        <v>420000</v>
      </c>
      <c r="T51" s="900">
        <v>0</v>
      </c>
      <c r="U51" s="1198"/>
    </row>
    <row r="52" spans="1:21" s="106" customFormat="1">
      <c r="A52" s="208" t="s">
        <v>1855</v>
      </c>
      <c r="B52" s="264">
        <f t="shared" si="14"/>
        <v>1147598</v>
      </c>
      <c r="C52" s="900">
        <v>1147598</v>
      </c>
      <c r="D52" s="900">
        <v>0</v>
      </c>
      <c r="E52" s="900">
        <f t="shared" si="15"/>
        <v>1147598</v>
      </c>
      <c r="F52" s="900"/>
      <c r="G52" s="900"/>
      <c r="H52" s="900"/>
      <c r="I52" s="900"/>
      <c r="J52" s="900"/>
      <c r="K52" s="900"/>
      <c r="L52" s="900"/>
      <c r="M52" s="900"/>
      <c r="N52" s="900"/>
      <c r="O52" s="900"/>
      <c r="P52" s="900"/>
      <c r="Q52" s="900"/>
      <c r="R52" s="441">
        <f t="shared" si="16"/>
        <v>1147598</v>
      </c>
      <c r="S52" s="900">
        <f>C52</f>
        <v>1147598</v>
      </c>
      <c r="T52" s="900">
        <v>0</v>
      </c>
      <c r="U52" s="1198"/>
    </row>
    <row r="53" spans="1:21" s="106" customFormat="1" ht="24">
      <c r="A53" s="1081" t="s">
        <v>1856</v>
      </c>
      <c r="B53" s="264">
        <f t="shared" si="14"/>
        <v>3012853</v>
      </c>
      <c r="C53" s="900">
        <v>3012853</v>
      </c>
      <c r="D53" s="900">
        <v>0</v>
      </c>
      <c r="E53" s="900">
        <f t="shared" si="15"/>
        <v>1417135</v>
      </c>
      <c r="F53" s="900"/>
      <c r="G53" s="900"/>
      <c r="H53" s="900"/>
      <c r="I53" s="900">
        <f>Application!AO626</f>
        <v>1595718</v>
      </c>
      <c r="J53" s="900"/>
      <c r="K53" s="900"/>
      <c r="L53" s="900"/>
      <c r="M53" s="900"/>
      <c r="N53" s="900"/>
      <c r="O53" s="900"/>
      <c r="P53" s="900"/>
      <c r="Q53" s="900"/>
      <c r="R53" s="441">
        <f t="shared" si="16"/>
        <v>3012853</v>
      </c>
      <c r="S53" s="900">
        <v>1667623</v>
      </c>
      <c r="T53" s="900">
        <v>0</v>
      </c>
      <c r="U53" s="1198"/>
    </row>
    <row r="54" spans="1:21" s="110" customFormat="1">
      <c r="A54" s="107" t="s">
        <v>1857</v>
      </c>
      <c r="B54" s="108">
        <f>SUM(C54:D54)</f>
        <v>11100285</v>
      </c>
      <c r="C54" s="108">
        <f t="shared" ref="C54:T54" si="17">SUM(C45:C53)</f>
        <v>11100285</v>
      </c>
      <c r="D54" s="108">
        <f t="shared" si="17"/>
        <v>0</v>
      </c>
      <c r="E54" s="108">
        <f t="shared" si="17"/>
        <v>9504567</v>
      </c>
      <c r="F54" s="108">
        <f t="shared" si="17"/>
        <v>0</v>
      </c>
      <c r="G54" s="108">
        <f t="shared" si="17"/>
        <v>0</v>
      </c>
      <c r="H54" s="108">
        <f t="shared" si="17"/>
        <v>0</v>
      </c>
      <c r="I54" s="108">
        <f t="shared" si="17"/>
        <v>1595718</v>
      </c>
      <c r="J54" s="108">
        <f t="shared" si="17"/>
        <v>0</v>
      </c>
      <c r="K54" s="108">
        <f t="shared" si="17"/>
        <v>0</v>
      </c>
      <c r="L54" s="108">
        <f t="shared" si="17"/>
        <v>0</v>
      </c>
      <c r="M54" s="108">
        <f t="shared" si="17"/>
        <v>0</v>
      </c>
      <c r="N54" s="108">
        <f t="shared" si="17"/>
        <v>0</v>
      </c>
      <c r="O54" s="108">
        <f t="shared" si="17"/>
        <v>0</v>
      </c>
      <c r="P54" s="108">
        <f t="shared" si="17"/>
        <v>0</v>
      </c>
      <c r="Q54" s="108">
        <f t="shared" si="17"/>
        <v>0</v>
      </c>
      <c r="R54" s="264">
        <f t="shared" si="17"/>
        <v>11100285</v>
      </c>
      <c r="S54" s="108">
        <f t="shared" si="17"/>
        <v>5543699</v>
      </c>
      <c r="T54" s="108">
        <f t="shared" si="17"/>
        <v>0</v>
      </c>
      <c r="U54" s="109"/>
    </row>
    <row r="55" spans="1:21" s="106" customFormat="1">
      <c r="A55" s="105" t="s">
        <v>1434</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1858</v>
      </c>
      <c r="B56" s="264">
        <f t="shared" ref="B56:B61" si="18">SUM(C56+D56)</f>
        <v>187430</v>
      </c>
      <c r="C56" s="900">
        <v>187430</v>
      </c>
      <c r="D56" s="900">
        <v>0</v>
      </c>
      <c r="E56" s="900">
        <f t="shared" ref="E56:E61" si="19">B56-SUM(F56:Q56)</f>
        <v>187430</v>
      </c>
      <c r="F56" s="900"/>
      <c r="G56" s="900"/>
      <c r="H56" s="900"/>
      <c r="I56" s="900"/>
      <c r="J56" s="900"/>
      <c r="K56" s="900"/>
      <c r="L56" s="900"/>
      <c r="M56" s="900"/>
      <c r="N56" s="900"/>
      <c r="O56" s="900"/>
      <c r="P56" s="900"/>
      <c r="Q56" s="900"/>
      <c r="R56" s="441">
        <f t="shared" ref="R56:R61" si="20">SUM(E56:Q56)</f>
        <v>187430</v>
      </c>
      <c r="S56" s="1199"/>
      <c r="T56" s="1199"/>
      <c r="U56" s="1198"/>
    </row>
    <row r="57" spans="1:21" s="137" customFormat="1">
      <c r="A57" s="1200" t="s">
        <v>1850</v>
      </c>
      <c r="B57" s="1201">
        <f t="shared" si="18"/>
        <v>0</v>
      </c>
      <c r="C57" s="1202">
        <v>0</v>
      </c>
      <c r="D57" s="1202">
        <v>0</v>
      </c>
      <c r="E57" s="1202">
        <f t="shared" si="19"/>
        <v>0</v>
      </c>
      <c r="F57" s="1202"/>
      <c r="G57" s="1202"/>
      <c r="H57" s="1202"/>
      <c r="I57" s="1202"/>
      <c r="J57" s="1202"/>
      <c r="K57" s="1202"/>
      <c r="L57" s="1202"/>
      <c r="M57" s="1202"/>
      <c r="N57" s="1202"/>
      <c r="O57" s="1202"/>
      <c r="P57" s="1202"/>
      <c r="Q57" s="1202"/>
      <c r="R57" s="441">
        <f t="shared" si="20"/>
        <v>0</v>
      </c>
      <c r="S57" s="1203"/>
      <c r="T57" s="1203"/>
      <c r="U57" s="1204"/>
    </row>
    <row r="58" spans="1:21" s="106" customFormat="1">
      <c r="A58" s="208" t="s">
        <v>1853</v>
      </c>
      <c r="B58" s="264">
        <f t="shared" si="18"/>
        <v>15000</v>
      </c>
      <c r="C58" s="900">
        <v>15000</v>
      </c>
      <c r="D58" s="900">
        <v>0</v>
      </c>
      <c r="E58" s="900">
        <f t="shared" si="19"/>
        <v>15000</v>
      </c>
      <c r="F58" s="900"/>
      <c r="G58" s="900"/>
      <c r="H58" s="900"/>
      <c r="I58" s="900"/>
      <c r="J58" s="900"/>
      <c r="K58" s="900"/>
      <c r="L58" s="900"/>
      <c r="M58" s="900"/>
      <c r="N58" s="900"/>
      <c r="O58" s="900"/>
      <c r="P58" s="900"/>
      <c r="Q58" s="900"/>
      <c r="R58" s="441">
        <f t="shared" si="20"/>
        <v>15000</v>
      </c>
      <c r="S58" s="1199"/>
      <c r="T58" s="1199"/>
      <c r="U58" s="1198"/>
    </row>
    <row r="59" spans="1:21" s="106" customFormat="1">
      <c r="A59" s="208" t="s">
        <v>1854</v>
      </c>
      <c r="B59" s="264">
        <f t="shared" si="18"/>
        <v>0</v>
      </c>
      <c r="C59" s="900"/>
      <c r="D59" s="900"/>
      <c r="E59" s="900">
        <f t="shared" si="19"/>
        <v>0</v>
      </c>
      <c r="F59" s="900"/>
      <c r="G59" s="900"/>
      <c r="H59" s="900"/>
      <c r="I59" s="900"/>
      <c r="J59" s="900"/>
      <c r="K59" s="900"/>
      <c r="L59" s="900"/>
      <c r="M59" s="900"/>
      <c r="N59" s="900"/>
      <c r="O59" s="900"/>
      <c r="P59" s="900"/>
      <c r="Q59" s="900"/>
      <c r="R59" s="441">
        <f t="shared" si="20"/>
        <v>0</v>
      </c>
      <c r="S59" s="1199"/>
      <c r="T59" s="1199"/>
      <c r="U59" s="1198"/>
    </row>
    <row r="60" spans="1:21" s="106" customFormat="1">
      <c r="A60" s="208" t="s">
        <v>1855</v>
      </c>
      <c r="B60" s="264">
        <f t="shared" si="18"/>
        <v>0</v>
      </c>
      <c r="C60" s="900"/>
      <c r="D60" s="900"/>
      <c r="E60" s="900">
        <f t="shared" si="19"/>
        <v>0</v>
      </c>
      <c r="F60" s="900"/>
      <c r="G60" s="900"/>
      <c r="H60" s="900"/>
      <c r="I60" s="900"/>
      <c r="J60" s="900"/>
      <c r="K60" s="900"/>
      <c r="L60" s="900"/>
      <c r="M60" s="900"/>
      <c r="N60" s="900"/>
      <c r="O60" s="900"/>
      <c r="P60" s="900"/>
      <c r="Q60" s="900"/>
      <c r="R60" s="441">
        <f t="shared" si="20"/>
        <v>0</v>
      </c>
      <c r="S60" s="1199"/>
      <c r="T60" s="1199"/>
      <c r="U60" s="1198"/>
    </row>
    <row r="61" spans="1:21" s="106" customFormat="1">
      <c r="A61" s="1081" t="s">
        <v>1859</v>
      </c>
      <c r="B61" s="264">
        <f t="shared" si="18"/>
        <v>10000</v>
      </c>
      <c r="C61" s="900">
        <v>10000</v>
      </c>
      <c r="D61" s="900">
        <v>0</v>
      </c>
      <c r="E61" s="900">
        <f t="shared" si="19"/>
        <v>10000</v>
      </c>
      <c r="F61" s="900"/>
      <c r="G61" s="900"/>
      <c r="H61" s="900"/>
      <c r="I61" s="900"/>
      <c r="J61" s="900"/>
      <c r="K61" s="900"/>
      <c r="L61" s="900"/>
      <c r="M61" s="900"/>
      <c r="N61" s="900"/>
      <c r="O61" s="900"/>
      <c r="P61" s="900"/>
      <c r="Q61" s="900"/>
      <c r="R61" s="441">
        <f t="shared" si="20"/>
        <v>10000</v>
      </c>
      <c r="S61" s="1199"/>
      <c r="T61" s="1199"/>
      <c r="U61" s="1198"/>
    </row>
    <row r="62" spans="1:21" s="106" customFormat="1" ht="13.7" customHeight="1">
      <c r="A62" s="107" t="s">
        <v>1860</v>
      </c>
      <c r="B62" s="264">
        <f>SUM(C62:D62)</f>
        <v>212430</v>
      </c>
      <c r="C62" s="264">
        <f t="shared" ref="C62:R62" si="21">SUM(C56:C61)</f>
        <v>212430</v>
      </c>
      <c r="D62" s="264">
        <f t="shared" si="21"/>
        <v>0</v>
      </c>
      <c r="E62" s="264">
        <f t="shared" si="21"/>
        <v>212430</v>
      </c>
      <c r="F62" s="264">
        <f t="shared" si="21"/>
        <v>0</v>
      </c>
      <c r="G62" s="264">
        <f t="shared" si="21"/>
        <v>0</v>
      </c>
      <c r="H62" s="264">
        <f t="shared" si="21"/>
        <v>0</v>
      </c>
      <c r="I62" s="264">
        <f t="shared" si="21"/>
        <v>0</v>
      </c>
      <c r="J62" s="264">
        <f t="shared" si="21"/>
        <v>0</v>
      </c>
      <c r="K62" s="264">
        <f t="shared" si="21"/>
        <v>0</v>
      </c>
      <c r="L62" s="264">
        <f t="shared" si="21"/>
        <v>0</v>
      </c>
      <c r="M62" s="264">
        <f t="shared" si="21"/>
        <v>0</v>
      </c>
      <c r="N62" s="264">
        <f t="shared" si="21"/>
        <v>0</v>
      </c>
      <c r="O62" s="264">
        <f t="shared" si="21"/>
        <v>0</v>
      </c>
      <c r="P62" s="264">
        <f t="shared" si="21"/>
        <v>0</v>
      </c>
      <c r="Q62" s="264">
        <f t="shared" si="21"/>
        <v>0</v>
      </c>
      <c r="R62" s="264">
        <f t="shared" si="21"/>
        <v>212430</v>
      </c>
      <c r="S62" s="1199"/>
      <c r="T62" s="1199"/>
      <c r="U62" s="1198"/>
    </row>
    <row r="63" spans="1:21" s="106" customFormat="1">
      <c r="A63" s="111" t="s">
        <v>1861</v>
      </c>
      <c r="B63" s="264">
        <f t="shared" ref="B63:R63" si="22">SUM(B8+B11+B13+B14+B15+B26+B27+B38+B42+B43+B54+B62)</f>
        <v>71748870</v>
      </c>
      <c r="C63" s="264">
        <f t="shared" si="22"/>
        <v>71748870</v>
      </c>
      <c r="D63" s="264">
        <f t="shared" si="22"/>
        <v>0</v>
      </c>
      <c r="E63" s="264">
        <f t="shared" si="22"/>
        <v>24410152</v>
      </c>
      <c r="F63" s="264">
        <f t="shared" si="22"/>
        <v>14743000</v>
      </c>
      <c r="G63" s="264">
        <f t="shared" si="22"/>
        <v>16000000</v>
      </c>
      <c r="H63" s="264">
        <f t="shared" si="22"/>
        <v>15000000</v>
      </c>
      <c r="I63" s="264">
        <f t="shared" si="22"/>
        <v>1595718</v>
      </c>
      <c r="J63" s="264">
        <f t="shared" si="22"/>
        <v>0</v>
      </c>
      <c r="K63" s="264">
        <f t="shared" si="22"/>
        <v>0</v>
      </c>
      <c r="L63" s="264">
        <f t="shared" si="22"/>
        <v>0</v>
      </c>
      <c r="M63" s="264">
        <f t="shared" si="22"/>
        <v>0</v>
      </c>
      <c r="N63" s="264">
        <f t="shared" si="22"/>
        <v>0</v>
      </c>
      <c r="O63" s="264">
        <f t="shared" si="22"/>
        <v>0</v>
      </c>
      <c r="P63" s="264">
        <f t="shared" si="22"/>
        <v>0</v>
      </c>
      <c r="Q63" s="264">
        <f t="shared" si="22"/>
        <v>0</v>
      </c>
      <c r="R63" s="264">
        <f t="shared" si="22"/>
        <v>71748870</v>
      </c>
      <c r="S63" s="264">
        <f>SUM(S10+S13+S14+S15+S26+S27+S38+S42+S43+S54)</f>
        <v>56049983</v>
      </c>
      <c r="T63" s="264">
        <f>SUM(T11+T13+T14+T15+T26+T27+T38+T42+T43+T54)</f>
        <v>0</v>
      </c>
      <c r="U63" s="1198"/>
    </row>
    <row r="64" spans="1:21" s="106" customFormat="1" ht="24">
      <c r="A64" s="105" t="s">
        <v>1862</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1863</v>
      </c>
      <c r="B65" s="264">
        <f>SUM(C65+D65)</f>
        <v>100000</v>
      </c>
      <c r="C65" s="900">
        <v>100000</v>
      </c>
      <c r="D65" s="900">
        <v>0</v>
      </c>
      <c r="E65" s="900">
        <f>B65-SUM(F65:Q65)</f>
        <v>100000</v>
      </c>
      <c r="F65" s="900"/>
      <c r="G65" s="900"/>
      <c r="H65" s="900"/>
      <c r="I65" s="900"/>
      <c r="J65" s="900"/>
      <c r="K65" s="900"/>
      <c r="L65" s="900"/>
      <c r="M65" s="900"/>
      <c r="N65" s="900"/>
      <c r="O65" s="900"/>
      <c r="P65" s="900"/>
      <c r="Q65" s="900"/>
      <c r="R65" s="441">
        <f>SUM(E65:Q65)</f>
        <v>100000</v>
      </c>
      <c r="S65" s="900">
        <v>23744</v>
      </c>
      <c r="T65" s="900">
        <v>0</v>
      </c>
      <c r="U65" s="1198"/>
    </row>
    <row r="66" spans="1:21" s="106" customFormat="1" ht="24" customHeight="1">
      <c r="A66" s="208" t="s">
        <v>1864</v>
      </c>
      <c r="B66" s="264">
        <f>SUM(C66+D66)</f>
        <v>0</v>
      </c>
      <c r="C66" s="900"/>
      <c r="D66" s="900"/>
      <c r="E66" s="900">
        <f>B66-SUM(F66:Q66)</f>
        <v>0</v>
      </c>
      <c r="F66" s="900"/>
      <c r="G66" s="900"/>
      <c r="H66" s="900"/>
      <c r="I66" s="900"/>
      <c r="J66" s="900"/>
      <c r="K66" s="900"/>
      <c r="L66" s="900"/>
      <c r="M66" s="900"/>
      <c r="N66" s="900"/>
      <c r="O66" s="900"/>
      <c r="P66" s="900"/>
      <c r="Q66" s="900"/>
      <c r="R66" s="441">
        <f>SUM(E66:Q66)</f>
        <v>0</v>
      </c>
      <c r="S66" s="900">
        <f>C66</f>
        <v>0</v>
      </c>
      <c r="T66" s="900"/>
      <c r="U66" s="1198"/>
    </row>
    <row r="67" spans="1:21" s="106" customFormat="1" ht="24" customHeight="1">
      <c r="A67" s="208" t="s">
        <v>1865</v>
      </c>
      <c r="B67" s="264">
        <f>SUM(C67+D67)</f>
        <v>0</v>
      </c>
      <c r="C67" s="900"/>
      <c r="D67" s="900"/>
      <c r="E67" s="900">
        <f>B67-SUM(F67:Q67)</f>
        <v>0</v>
      </c>
      <c r="F67" s="900"/>
      <c r="G67" s="900"/>
      <c r="H67" s="900"/>
      <c r="I67" s="900"/>
      <c r="J67" s="900"/>
      <c r="K67" s="900"/>
      <c r="L67" s="900"/>
      <c r="M67" s="900"/>
      <c r="N67" s="900"/>
      <c r="O67" s="900"/>
      <c r="P67" s="900"/>
      <c r="Q67" s="900"/>
      <c r="R67" s="441">
        <f>SUM(E67:Q67)</f>
        <v>0</v>
      </c>
      <c r="S67" s="900">
        <f>C67</f>
        <v>0</v>
      </c>
      <c r="T67" s="900"/>
      <c r="U67" s="1198"/>
    </row>
    <row r="68" spans="1:21" s="106" customFormat="1" ht="12" customHeight="1">
      <c r="A68" s="208" t="s">
        <v>1866</v>
      </c>
      <c r="B68" s="264">
        <f>SUM(C68+D68)</f>
        <v>0</v>
      </c>
      <c r="C68" s="900"/>
      <c r="D68" s="900"/>
      <c r="E68" s="900">
        <f>B68-SUM(F68:Q68)</f>
        <v>0</v>
      </c>
      <c r="F68" s="900"/>
      <c r="G68" s="900"/>
      <c r="H68" s="900"/>
      <c r="I68" s="900"/>
      <c r="J68" s="900"/>
      <c r="K68" s="900"/>
      <c r="L68" s="900"/>
      <c r="M68" s="900"/>
      <c r="N68" s="900"/>
      <c r="O68" s="900"/>
      <c r="P68" s="900"/>
      <c r="Q68" s="900"/>
      <c r="R68" s="441">
        <f>SUM(E68:Q68)</f>
        <v>0</v>
      </c>
      <c r="S68" s="900">
        <f>C68</f>
        <v>0</v>
      </c>
      <c r="T68" s="900"/>
      <c r="U68" s="1198"/>
    </row>
    <row r="69" spans="1:21" s="106" customFormat="1">
      <c r="A69" s="1081" t="s">
        <v>1867</v>
      </c>
      <c r="B69" s="264">
        <f>SUM(C69+D69)</f>
        <v>80000</v>
      </c>
      <c r="C69" s="900">
        <v>80000</v>
      </c>
      <c r="D69" s="900">
        <v>0</v>
      </c>
      <c r="E69" s="900">
        <f>B69-SUM(F69:Q69)</f>
        <v>80000</v>
      </c>
      <c r="F69" s="900"/>
      <c r="G69" s="900"/>
      <c r="H69" s="900"/>
      <c r="I69" s="900"/>
      <c r="J69" s="900"/>
      <c r="K69" s="900"/>
      <c r="L69" s="900"/>
      <c r="M69" s="900"/>
      <c r="N69" s="900"/>
      <c r="O69" s="900"/>
      <c r="P69" s="900"/>
      <c r="Q69" s="900"/>
      <c r="R69" s="441">
        <f>SUM(E69:Q69)</f>
        <v>80000</v>
      </c>
      <c r="S69" s="900">
        <f>C69</f>
        <v>80000</v>
      </c>
      <c r="T69" s="900">
        <v>0</v>
      </c>
      <c r="U69" s="1198"/>
    </row>
    <row r="70" spans="1:21" s="106" customFormat="1">
      <c r="A70" s="107" t="s">
        <v>1868</v>
      </c>
      <c r="B70" s="264">
        <f>SUM(C70:D70)</f>
        <v>180000</v>
      </c>
      <c r="C70" s="264">
        <f>SUM(C65:C69)</f>
        <v>180000</v>
      </c>
      <c r="D70" s="264">
        <f>SUM(D65:D69)</f>
        <v>0</v>
      </c>
      <c r="E70" s="264">
        <f t="shared" ref="E70:T70" si="23">SUM(E65:E69)</f>
        <v>180000</v>
      </c>
      <c r="F70" s="264">
        <f t="shared" si="23"/>
        <v>0</v>
      </c>
      <c r="G70" s="264">
        <f t="shared" si="23"/>
        <v>0</v>
      </c>
      <c r="H70" s="264">
        <f t="shared" si="23"/>
        <v>0</v>
      </c>
      <c r="I70" s="264">
        <f t="shared" si="23"/>
        <v>0</v>
      </c>
      <c r="J70" s="264">
        <f t="shared" si="23"/>
        <v>0</v>
      </c>
      <c r="K70" s="264">
        <f t="shared" si="23"/>
        <v>0</v>
      </c>
      <c r="L70" s="264">
        <f t="shared" si="23"/>
        <v>0</v>
      </c>
      <c r="M70" s="264">
        <f t="shared" si="23"/>
        <v>0</v>
      </c>
      <c r="N70" s="264">
        <f t="shared" si="23"/>
        <v>0</v>
      </c>
      <c r="O70" s="264">
        <f t="shared" si="23"/>
        <v>0</v>
      </c>
      <c r="P70" s="264">
        <f t="shared" si="23"/>
        <v>0</v>
      </c>
      <c r="Q70" s="264">
        <f t="shared" si="23"/>
        <v>0</v>
      </c>
      <c r="R70" s="264">
        <f t="shared" si="23"/>
        <v>180000</v>
      </c>
      <c r="S70" s="108">
        <f t="shared" si="23"/>
        <v>103744</v>
      </c>
      <c r="T70" s="108">
        <f t="shared" si="23"/>
        <v>0</v>
      </c>
      <c r="U70" s="1198"/>
    </row>
    <row r="71" spans="1:21" s="106" customFormat="1">
      <c r="A71" s="105" t="s">
        <v>1869</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1870</v>
      </c>
      <c r="B72" s="264">
        <f>SUM(C72+D72)</f>
        <v>0</v>
      </c>
      <c r="C72" s="900"/>
      <c r="D72" s="900"/>
      <c r="E72" s="900">
        <f>B72-SUM(F72:Q72)</f>
        <v>0</v>
      </c>
      <c r="F72" s="900"/>
      <c r="G72" s="900"/>
      <c r="H72" s="900"/>
      <c r="I72" s="900"/>
      <c r="J72" s="900"/>
      <c r="K72" s="900"/>
      <c r="L72" s="900"/>
      <c r="M72" s="900"/>
      <c r="N72" s="900"/>
      <c r="O72" s="900"/>
      <c r="P72" s="900"/>
      <c r="Q72" s="900"/>
      <c r="R72" s="441">
        <f>SUM(E72:Q72)</f>
        <v>0</v>
      </c>
      <c r="S72" s="1199"/>
      <c r="T72" s="1199"/>
      <c r="U72" s="1198"/>
    </row>
    <row r="73" spans="1:21" s="106" customFormat="1">
      <c r="A73" s="208" t="s">
        <v>1871</v>
      </c>
      <c r="B73" s="264">
        <f>SUM(C73+D73)</f>
        <v>143048</v>
      </c>
      <c r="C73" s="900">
        <v>143048</v>
      </c>
      <c r="D73" s="900">
        <v>0</v>
      </c>
      <c r="E73" s="900">
        <f>B73-SUM(F73:Q73)</f>
        <v>143048</v>
      </c>
      <c r="F73" s="900"/>
      <c r="G73" s="900"/>
      <c r="H73" s="900"/>
      <c r="I73" s="900"/>
      <c r="J73" s="900"/>
      <c r="K73" s="900"/>
      <c r="L73" s="900"/>
      <c r="M73" s="900"/>
      <c r="N73" s="900"/>
      <c r="O73" s="900"/>
      <c r="P73" s="900"/>
      <c r="Q73" s="900"/>
      <c r="R73" s="441">
        <f>SUM(E73:Q73)</f>
        <v>143048</v>
      </c>
      <c r="S73" s="1199"/>
      <c r="T73" s="1199"/>
      <c r="U73" s="1198"/>
    </row>
    <row r="74" spans="1:21" s="106" customFormat="1">
      <c r="A74" s="377" t="s">
        <v>1872</v>
      </c>
      <c r="B74" s="264">
        <f>SUM(C74+D74)</f>
        <v>0</v>
      </c>
      <c r="C74" s="900">
        <v>0</v>
      </c>
      <c r="D74" s="900">
        <v>0</v>
      </c>
      <c r="E74" s="900">
        <f>B74-SUM(F74:Q74)</f>
        <v>0</v>
      </c>
      <c r="F74" s="900"/>
      <c r="G74" s="900"/>
      <c r="H74" s="900"/>
      <c r="I74" s="900"/>
      <c r="J74" s="900"/>
      <c r="K74" s="900"/>
      <c r="L74" s="900"/>
      <c r="M74" s="900"/>
      <c r="N74" s="900"/>
      <c r="O74" s="900"/>
      <c r="P74" s="900"/>
      <c r="Q74" s="900"/>
      <c r="R74" s="441">
        <f>SUM(E74:Q74)</f>
        <v>0</v>
      </c>
      <c r="S74" s="1199"/>
      <c r="T74" s="1199"/>
      <c r="U74" s="1198"/>
    </row>
    <row r="75" spans="1:21" s="106" customFormat="1">
      <c r="A75" s="208" t="s">
        <v>1873</v>
      </c>
      <c r="B75" s="264">
        <f>SUM(C75+D75)</f>
        <v>941372</v>
      </c>
      <c r="C75" s="900">
        <v>941372</v>
      </c>
      <c r="D75" s="900">
        <v>0</v>
      </c>
      <c r="E75" s="900">
        <f>B75-SUM(F75:Q75)</f>
        <v>941372</v>
      </c>
      <c r="F75" s="900"/>
      <c r="G75" s="900"/>
      <c r="H75" s="900"/>
      <c r="I75" s="900"/>
      <c r="J75" s="900"/>
      <c r="K75" s="900"/>
      <c r="L75" s="900"/>
      <c r="M75" s="900"/>
      <c r="N75" s="900"/>
      <c r="O75" s="900"/>
      <c r="P75" s="900"/>
      <c r="Q75" s="900"/>
      <c r="R75" s="441">
        <f>SUM(E75:Q75)</f>
        <v>941372</v>
      </c>
      <c r="S75" s="1199"/>
      <c r="T75" s="1199"/>
      <c r="U75" s="1198"/>
    </row>
    <row r="76" spans="1:21" s="106" customFormat="1">
      <c r="A76" s="1081" t="s">
        <v>1837</v>
      </c>
      <c r="B76" s="264">
        <f>SUM(C76+D76)</f>
        <v>0</v>
      </c>
      <c r="C76" s="900">
        <v>0</v>
      </c>
      <c r="D76" s="900">
        <v>0</v>
      </c>
      <c r="E76" s="900">
        <f>B76-SUM(F76:Q76)</f>
        <v>0</v>
      </c>
      <c r="F76" s="900"/>
      <c r="G76" s="900"/>
      <c r="H76" s="900"/>
      <c r="I76" s="900"/>
      <c r="J76" s="900"/>
      <c r="K76" s="900"/>
      <c r="L76" s="900"/>
      <c r="M76" s="900"/>
      <c r="N76" s="900"/>
      <c r="O76" s="900"/>
      <c r="P76" s="900"/>
      <c r="Q76" s="900"/>
      <c r="R76" s="441">
        <f>SUM(E76:Q76)</f>
        <v>0</v>
      </c>
      <c r="S76" s="1199"/>
      <c r="T76" s="1199"/>
      <c r="U76" s="1198"/>
    </row>
    <row r="77" spans="1:21" s="106" customFormat="1">
      <c r="A77" s="107" t="s">
        <v>1874</v>
      </c>
      <c r="B77" s="264">
        <f>SUM(C77:D77)</f>
        <v>1084420</v>
      </c>
      <c r="C77" s="264">
        <f>SUM(C72:C76)</f>
        <v>1084420</v>
      </c>
      <c r="D77" s="264">
        <f>SUM(D72:D76)</f>
        <v>0</v>
      </c>
      <c r="E77" s="264">
        <f t="shared" ref="E77:Q77" si="24">SUM(E72:E76)</f>
        <v>1084420</v>
      </c>
      <c r="F77" s="264">
        <f t="shared" si="24"/>
        <v>0</v>
      </c>
      <c r="G77" s="264">
        <f t="shared" si="24"/>
        <v>0</v>
      </c>
      <c r="H77" s="264">
        <f t="shared" si="24"/>
        <v>0</v>
      </c>
      <c r="I77" s="264">
        <f t="shared" si="24"/>
        <v>0</v>
      </c>
      <c r="J77" s="264">
        <f t="shared" si="24"/>
        <v>0</v>
      </c>
      <c r="K77" s="264">
        <f t="shared" si="24"/>
        <v>0</v>
      </c>
      <c r="L77" s="264">
        <f t="shared" si="24"/>
        <v>0</v>
      </c>
      <c r="M77" s="264">
        <f t="shared" si="24"/>
        <v>0</v>
      </c>
      <c r="N77" s="264">
        <f t="shared" si="24"/>
        <v>0</v>
      </c>
      <c r="O77" s="264">
        <f t="shared" si="24"/>
        <v>0</v>
      </c>
      <c r="P77" s="264">
        <f t="shared" si="24"/>
        <v>0</v>
      </c>
      <c r="Q77" s="264">
        <f t="shared" si="24"/>
        <v>0</v>
      </c>
      <c r="R77" s="264">
        <f>SUM(R72:R76)</f>
        <v>1084420</v>
      </c>
      <c r="S77" s="1199"/>
      <c r="T77" s="1199"/>
      <c r="U77" s="1198"/>
    </row>
    <row r="78" spans="1:21" s="106" customFormat="1">
      <c r="A78" s="105" t="s">
        <v>1875</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1876</v>
      </c>
      <c r="B79" s="264">
        <f>SUM(C79:D79)</f>
        <v>5713945</v>
      </c>
      <c r="C79" s="900">
        <f>2598662+3129756-14473</f>
        <v>5713945</v>
      </c>
      <c r="D79" s="900">
        <v>0</v>
      </c>
      <c r="E79" s="900">
        <f>B79-SUM(F79:Q79)</f>
        <v>2713945</v>
      </c>
      <c r="F79" s="900"/>
      <c r="G79" s="900"/>
      <c r="H79" s="900">
        <f>3000000</f>
        <v>3000000</v>
      </c>
      <c r="I79" s="900"/>
      <c r="J79" s="900"/>
      <c r="K79" s="900"/>
      <c r="L79" s="900"/>
      <c r="M79" s="900"/>
      <c r="N79" s="900"/>
      <c r="O79" s="900"/>
      <c r="P79" s="900"/>
      <c r="Q79" s="900"/>
      <c r="R79" s="441">
        <f>SUM(E79:Q79)</f>
        <v>5713945</v>
      </c>
      <c r="S79" s="900">
        <f>C79</f>
        <v>5713945</v>
      </c>
      <c r="T79" s="900">
        <v>0</v>
      </c>
      <c r="U79" s="1198"/>
    </row>
    <row r="80" spans="1:21" s="106" customFormat="1">
      <c r="A80" s="208" t="s">
        <v>1877</v>
      </c>
      <c r="B80" s="264">
        <f>SUM(C80:D80)</f>
        <v>384239</v>
      </c>
      <c r="C80" s="900">
        <v>384239</v>
      </c>
      <c r="D80" s="900">
        <v>0</v>
      </c>
      <c r="E80" s="900">
        <f>B80-SUM(F80:Q80)</f>
        <v>384239</v>
      </c>
      <c r="F80" s="900"/>
      <c r="G80" s="900"/>
      <c r="H80" s="900"/>
      <c r="I80" s="900"/>
      <c r="J80" s="900"/>
      <c r="K80" s="900"/>
      <c r="L80" s="900"/>
      <c r="M80" s="900"/>
      <c r="N80" s="900"/>
      <c r="O80" s="900"/>
      <c r="P80" s="900"/>
      <c r="Q80" s="900"/>
      <c r="R80" s="441">
        <f>SUM(E80:Q80)</f>
        <v>384239</v>
      </c>
      <c r="S80" s="900">
        <f>C80</f>
        <v>384239</v>
      </c>
      <c r="T80" s="900">
        <v>0</v>
      </c>
      <c r="U80" s="1198"/>
    </row>
    <row r="81" spans="1:21" s="106" customFormat="1">
      <c r="A81" s="107" t="s">
        <v>1878</v>
      </c>
      <c r="B81" s="264">
        <f>SUM(C81:D81)</f>
        <v>6098184</v>
      </c>
      <c r="C81" s="1205">
        <f>SUM(C79:C80)</f>
        <v>6098184</v>
      </c>
      <c r="D81" s="1205">
        <f t="shared" ref="D81:T81" si="25">SUM(D79:D80)</f>
        <v>0</v>
      </c>
      <c r="E81" s="1205">
        <f t="shared" si="25"/>
        <v>3098184</v>
      </c>
      <c r="F81" s="1205">
        <f t="shared" si="25"/>
        <v>0</v>
      </c>
      <c r="G81" s="1205">
        <f t="shared" si="25"/>
        <v>0</v>
      </c>
      <c r="H81" s="1205">
        <f t="shared" si="25"/>
        <v>3000000</v>
      </c>
      <c r="I81" s="1205">
        <f t="shared" si="25"/>
        <v>0</v>
      </c>
      <c r="J81" s="1205">
        <f t="shared" si="25"/>
        <v>0</v>
      </c>
      <c r="K81" s="1205">
        <f t="shared" si="25"/>
        <v>0</v>
      </c>
      <c r="L81" s="1205">
        <f t="shared" si="25"/>
        <v>0</v>
      </c>
      <c r="M81" s="1205">
        <f t="shared" si="25"/>
        <v>0</v>
      </c>
      <c r="N81" s="1205">
        <f t="shared" si="25"/>
        <v>0</v>
      </c>
      <c r="O81" s="1205">
        <f t="shared" si="25"/>
        <v>0</v>
      </c>
      <c r="P81" s="1205">
        <f t="shared" si="25"/>
        <v>0</v>
      </c>
      <c r="Q81" s="1205">
        <f t="shared" si="25"/>
        <v>0</v>
      </c>
      <c r="R81" s="1205">
        <f t="shared" si="25"/>
        <v>6098184</v>
      </c>
      <c r="S81" s="1205">
        <f t="shared" si="25"/>
        <v>6098184</v>
      </c>
      <c r="T81" s="1205">
        <f t="shared" si="25"/>
        <v>0</v>
      </c>
      <c r="U81" s="1198"/>
    </row>
    <row r="82" spans="1:21" s="106" customFormat="1">
      <c r="A82" s="105" t="s">
        <v>1879</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1880</v>
      </c>
      <c r="B83" s="264">
        <f t="shared" ref="B83:B95" si="26">SUM(C83+D83)</f>
        <v>74948</v>
      </c>
      <c r="C83" s="900">
        <v>74948</v>
      </c>
      <c r="D83" s="900">
        <v>0</v>
      </c>
      <c r="E83" s="900">
        <f t="shared" ref="E83:E95" si="27">B83-SUM(F83:Q83)</f>
        <v>74948</v>
      </c>
      <c r="F83" s="900"/>
      <c r="G83" s="900"/>
      <c r="H83" s="900"/>
      <c r="I83" s="900"/>
      <c r="J83" s="900"/>
      <c r="K83" s="900"/>
      <c r="L83" s="900"/>
      <c r="M83" s="900"/>
      <c r="N83" s="900"/>
      <c r="O83" s="900"/>
      <c r="P83" s="900"/>
      <c r="Q83" s="900"/>
      <c r="R83" s="441">
        <f t="shared" ref="R83:R95" si="28">SUM(E83:Q83)</f>
        <v>74948</v>
      </c>
      <c r="S83" s="1199"/>
      <c r="T83" s="1199"/>
      <c r="U83" s="1198"/>
    </row>
    <row r="84" spans="1:21" s="106" customFormat="1">
      <c r="A84" s="208" t="s">
        <v>1881</v>
      </c>
      <c r="B84" s="264">
        <f t="shared" si="26"/>
        <v>7500</v>
      </c>
      <c r="C84" s="900">
        <v>7500</v>
      </c>
      <c r="D84" s="900">
        <v>0</v>
      </c>
      <c r="E84" s="900">
        <f t="shared" si="27"/>
        <v>7500</v>
      </c>
      <c r="F84" s="900"/>
      <c r="G84" s="900"/>
      <c r="H84" s="900"/>
      <c r="I84" s="900"/>
      <c r="J84" s="900"/>
      <c r="K84" s="900"/>
      <c r="L84" s="900"/>
      <c r="M84" s="900"/>
      <c r="N84" s="900"/>
      <c r="O84" s="900"/>
      <c r="P84" s="900"/>
      <c r="Q84" s="900"/>
      <c r="R84" s="441">
        <f t="shared" si="28"/>
        <v>7500</v>
      </c>
      <c r="S84" s="900">
        <f>C84</f>
        <v>7500</v>
      </c>
      <c r="T84" s="900">
        <v>0</v>
      </c>
      <c r="U84" s="1198"/>
    </row>
    <row r="85" spans="1:21" s="106" customFormat="1">
      <c r="A85" s="208" t="s">
        <v>1882</v>
      </c>
      <c r="B85" s="264">
        <f t="shared" si="26"/>
        <v>1093253</v>
      </c>
      <c r="C85" s="900">
        <f>1078780+14473</f>
        <v>1093253</v>
      </c>
      <c r="D85" s="900">
        <v>0</v>
      </c>
      <c r="E85" s="900">
        <f t="shared" si="27"/>
        <v>1093253</v>
      </c>
      <c r="F85" s="900"/>
      <c r="G85" s="900"/>
      <c r="H85" s="900"/>
      <c r="I85" s="900"/>
      <c r="J85" s="900"/>
      <c r="K85" s="900"/>
      <c r="L85" s="900"/>
      <c r="M85" s="900"/>
      <c r="N85" s="900"/>
      <c r="O85" s="900"/>
      <c r="P85" s="900"/>
      <c r="Q85" s="900"/>
      <c r="R85" s="441">
        <f t="shared" si="28"/>
        <v>1093253</v>
      </c>
      <c r="S85" s="900">
        <f>C85</f>
        <v>1093253</v>
      </c>
      <c r="T85" s="900">
        <v>0</v>
      </c>
      <c r="U85" s="1198"/>
    </row>
    <row r="86" spans="1:21" s="106" customFormat="1">
      <c r="A86" s="208" t="s">
        <v>1883</v>
      </c>
      <c r="B86" s="264">
        <f t="shared" si="26"/>
        <v>600000</v>
      </c>
      <c r="C86" s="900">
        <v>600000</v>
      </c>
      <c r="D86" s="900">
        <v>0</v>
      </c>
      <c r="E86" s="900">
        <f t="shared" si="27"/>
        <v>600000</v>
      </c>
      <c r="F86" s="900"/>
      <c r="G86" s="900"/>
      <c r="H86" s="900"/>
      <c r="I86" s="900"/>
      <c r="J86" s="900"/>
      <c r="K86" s="900"/>
      <c r="L86" s="900"/>
      <c r="M86" s="900"/>
      <c r="N86" s="900"/>
      <c r="O86" s="900"/>
      <c r="P86" s="900"/>
      <c r="Q86" s="900"/>
      <c r="R86" s="441">
        <f t="shared" si="28"/>
        <v>600000</v>
      </c>
      <c r="S86" s="900">
        <f>C86</f>
        <v>600000</v>
      </c>
      <c r="T86" s="900">
        <v>0</v>
      </c>
      <c r="U86" s="1198"/>
    </row>
    <row r="87" spans="1:21" s="106" customFormat="1">
      <c r="A87" s="208" t="s">
        <v>1884</v>
      </c>
      <c r="B87" s="264">
        <f t="shared" si="26"/>
        <v>500000</v>
      </c>
      <c r="C87" s="900">
        <v>500000</v>
      </c>
      <c r="D87" s="900">
        <v>0</v>
      </c>
      <c r="E87" s="900">
        <f t="shared" si="27"/>
        <v>500000</v>
      </c>
      <c r="F87" s="900"/>
      <c r="G87" s="900"/>
      <c r="H87" s="900"/>
      <c r="I87" s="900"/>
      <c r="J87" s="900"/>
      <c r="K87" s="900"/>
      <c r="L87" s="900"/>
      <c r="M87" s="900"/>
      <c r="N87" s="900"/>
      <c r="O87" s="900"/>
      <c r="P87" s="900"/>
      <c r="Q87" s="900"/>
      <c r="R87" s="441">
        <f t="shared" si="28"/>
        <v>500000</v>
      </c>
      <c r="S87" s="900">
        <f>C87</f>
        <v>500000</v>
      </c>
      <c r="T87" s="900">
        <v>0</v>
      </c>
      <c r="U87" s="1198"/>
    </row>
    <row r="88" spans="1:21" s="106" customFormat="1">
      <c r="A88" s="208" t="s">
        <v>1885</v>
      </c>
      <c r="B88" s="264">
        <f t="shared" si="26"/>
        <v>514397</v>
      </c>
      <c r="C88" s="900">
        <v>514397</v>
      </c>
      <c r="D88" s="900">
        <v>0</v>
      </c>
      <c r="E88" s="900">
        <f t="shared" si="27"/>
        <v>514397</v>
      </c>
      <c r="F88" s="900"/>
      <c r="G88" s="900"/>
      <c r="H88" s="900"/>
      <c r="I88" s="900"/>
      <c r="J88" s="900"/>
      <c r="K88" s="900"/>
      <c r="L88" s="900"/>
      <c r="M88" s="900"/>
      <c r="N88" s="900"/>
      <c r="O88" s="900"/>
      <c r="P88" s="900"/>
      <c r="Q88" s="900"/>
      <c r="R88" s="441">
        <f t="shared" si="28"/>
        <v>514397</v>
      </c>
      <c r="S88" s="1199"/>
      <c r="T88" s="1199"/>
      <c r="U88" s="1198"/>
    </row>
    <row r="89" spans="1:21" s="106" customFormat="1">
      <c r="A89" s="208" t="s">
        <v>1886</v>
      </c>
      <c r="B89" s="264">
        <f t="shared" si="26"/>
        <v>262500</v>
      </c>
      <c r="C89" s="900">
        <v>262500</v>
      </c>
      <c r="D89" s="900">
        <v>0</v>
      </c>
      <c r="E89" s="900">
        <f t="shared" si="27"/>
        <v>262500</v>
      </c>
      <c r="F89" s="900"/>
      <c r="G89" s="900"/>
      <c r="H89" s="900"/>
      <c r="I89" s="900"/>
      <c r="J89" s="900"/>
      <c r="K89" s="900"/>
      <c r="L89" s="900"/>
      <c r="M89" s="900"/>
      <c r="N89" s="900"/>
      <c r="O89" s="900"/>
      <c r="P89" s="900"/>
      <c r="Q89" s="900"/>
      <c r="R89" s="441">
        <f t="shared" si="28"/>
        <v>262500</v>
      </c>
      <c r="S89" s="900">
        <f>C89</f>
        <v>262500</v>
      </c>
      <c r="T89" s="900">
        <v>0</v>
      </c>
      <c r="U89" s="1198"/>
    </row>
    <row r="90" spans="1:21" s="106" customFormat="1">
      <c r="A90" s="208" t="s">
        <v>1887</v>
      </c>
      <c r="B90" s="264">
        <f t="shared" si="26"/>
        <v>8500</v>
      </c>
      <c r="C90" s="900">
        <v>8500</v>
      </c>
      <c r="D90" s="900">
        <v>0</v>
      </c>
      <c r="E90" s="900">
        <f t="shared" si="27"/>
        <v>8500</v>
      </c>
      <c r="F90" s="900"/>
      <c r="G90" s="900"/>
      <c r="H90" s="900"/>
      <c r="I90" s="900"/>
      <c r="J90" s="900"/>
      <c r="K90" s="900"/>
      <c r="L90" s="900"/>
      <c r="M90" s="900"/>
      <c r="N90" s="900"/>
      <c r="O90" s="900"/>
      <c r="P90" s="900"/>
      <c r="Q90" s="900"/>
      <c r="R90" s="441">
        <f t="shared" si="28"/>
        <v>8500</v>
      </c>
      <c r="S90" s="900">
        <v>0</v>
      </c>
      <c r="T90" s="900">
        <v>0</v>
      </c>
      <c r="U90" s="1198"/>
    </row>
    <row r="91" spans="1:21" s="106" customFormat="1">
      <c r="A91" s="208" t="s">
        <v>1888</v>
      </c>
      <c r="B91" s="264">
        <f t="shared" si="26"/>
        <v>0</v>
      </c>
      <c r="C91" s="900">
        <v>0</v>
      </c>
      <c r="D91" s="900">
        <v>0</v>
      </c>
      <c r="E91" s="900">
        <f t="shared" si="27"/>
        <v>0</v>
      </c>
      <c r="F91" s="900"/>
      <c r="G91" s="900"/>
      <c r="H91" s="900"/>
      <c r="I91" s="900"/>
      <c r="J91" s="900"/>
      <c r="K91" s="900"/>
      <c r="L91" s="900"/>
      <c r="M91" s="900"/>
      <c r="N91" s="900"/>
      <c r="O91" s="900"/>
      <c r="P91" s="900"/>
      <c r="Q91" s="900"/>
      <c r="R91" s="441">
        <f t="shared" si="28"/>
        <v>0</v>
      </c>
      <c r="S91" s="900">
        <f>C91</f>
        <v>0</v>
      </c>
      <c r="T91" s="900">
        <v>0</v>
      </c>
      <c r="U91" s="1198"/>
    </row>
    <row r="92" spans="1:21" s="106" customFormat="1">
      <c r="A92" s="208" t="s">
        <v>1889</v>
      </c>
      <c r="B92" s="264">
        <f t="shared" si="26"/>
        <v>6500</v>
      </c>
      <c r="C92" s="900">
        <v>6500</v>
      </c>
      <c r="D92" s="900">
        <v>0</v>
      </c>
      <c r="E92" s="900">
        <f t="shared" si="27"/>
        <v>6500</v>
      </c>
      <c r="F92" s="900"/>
      <c r="G92" s="900"/>
      <c r="H92" s="900"/>
      <c r="I92" s="900"/>
      <c r="J92" s="900"/>
      <c r="K92" s="900"/>
      <c r="L92" s="900"/>
      <c r="M92" s="900"/>
      <c r="N92" s="900"/>
      <c r="O92" s="900"/>
      <c r="P92" s="900"/>
      <c r="Q92" s="900"/>
      <c r="R92" s="441">
        <f t="shared" si="28"/>
        <v>6500</v>
      </c>
      <c r="S92" s="900">
        <f>C92</f>
        <v>6500</v>
      </c>
      <c r="T92" s="900">
        <v>0</v>
      </c>
      <c r="U92" s="1198"/>
    </row>
    <row r="93" spans="1:21" s="106" customFormat="1">
      <c r="A93" s="1081" t="s">
        <v>1890</v>
      </c>
      <c r="B93" s="264">
        <f t="shared" si="26"/>
        <v>250000</v>
      </c>
      <c r="C93" s="900">
        <v>250000</v>
      </c>
      <c r="D93" s="900">
        <v>0</v>
      </c>
      <c r="E93" s="900">
        <f t="shared" si="27"/>
        <v>250000</v>
      </c>
      <c r="F93" s="900"/>
      <c r="G93" s="900"/>
      <c r="H93" s="900"/>
      <c r="I93" s="900"/>
      <c r="J93" s="900"/>
      <c r="K93" s="900"/>
      <c r="L93" s="900"/>
      <c r="M93" s="900"/>
      <c r="N93" s="900"/>
      <c r="O93" s="900"/>
      <c r="P93" s="900"/>
      <c r="Q93" s="900"/>
      <c r="R93" s="441">
        <f t="shared" si="28"/>
        <v>250000</v>
      </c>
      <c r="S93" s="900">
        <f>C93</f>
        <v>250000</v>
      </c>
      <c r="T93" s="900">
        <v>0</v>
      </c>
      <c r="U93" s="1198"/>
    </row>
    <row r="94" spans="1:21" s="106" customFormat="1">
      <c r="A94" s="1081" t="s">
        <v>1891</v>
      </c>
      <c r="B94" s="264">
        <f t="shared" si="26"/>
        <v>9000</v>
      </c>
      <c r="C94" s="900">
        <v>9000</v>
      </c>
      <c r="D94" s="900">
        <v>0</v>
      </c>
      <c r="E94" s="900">
        <f t="shared" si="27"/>
        <v>9000</v>
      </c>
      <c r="F94" s="900"/>
      <c r="G94" s="900"/>
      <c r="H94" s="900"/>
      <c r="I94" s="900"/>
      <c r="J94" s="900"/>
      <c r="K94" s="900"/>
      <c r="L94" s="900"/>
      <c r="M94" s="900"/>
      <c r="N94" s="900"/>
      <c r="O94" s="900"/>
      <c r="P94" s="900"/>
      <c r="Q94" s="900"/>
      <c r="R94" s="441">
        <f t="shared" si="28"/>
        <v>9000</v>
      </c>
      <c r="S94" s="900">
        <f>C94</f>
        <v>9000</v>
      </c>
      <c r="T94" s="900">
        <v>0</v>
      </c>
      <c r="U94" s="1198"/>
    </row>
    <row r="95" spans="1:21" s="106" customFormat="1">
      <c r="A95" s="1081" t="s">
        <v>1892</v>
      </c>
      <c r="B95" s="264">
        <f t="shared" si="26"/>
        <v>400000</v>
      </c>
      <c r="C95" s="900">
        <v>400000</v>
      </c>
      <c r="D95" s="900">
        <v>0</v>
      </c>
      <c r="E95" s="900">
        <f t="shared" si="27"/>
        <v>400000</v>
      </c>
      <c r="F95" s="900"/>
      <c r="G95" s="900"/>
      <c r="H95" s="900"/>
      <c r="I95" s="900"/>
      <c r="J95" s="900"/>
      <c r="K95" s="900"/>
      <c r="L95" s="900"/>
      <c r="M95" s="900"/>
      <c r="N95" s="900"/>
      <c r="O95" s="900"/>
      <c r="P95" s="900"/>
      <c r="Q95" s="900"/>
      <c r="R95" s="441">
        <f t="shared" si="28"/>
        <v>400000</v>
      </c>
      <c r="S95" s="900">
        <f>C95</f>
        <v>400000</v>
      </c>
      <c r="T95" s="900">
        <v>0</v>
      </c>
      <c r="U95" s="1198"/>
    </row>
    <row r="96" spans="1:21" s="106" customFormat="1">
      <c r="A96" s="107" t="s">
        <v>1893</v>
      </c>
      <c r="B96" s="264">
        <f>SUM(C96:D96)</f>
        <v>3726598</v>
      </c>
      <c r="C96" s="264">
        <f t="shared" ref="C96:R96" si="29">SUM(C83:C95)</f>
        <v>3726598</v>
      </c>
      <c r="D96" s="264">
        <f t="shared" si="29"/>
        <v>0</v>
      </c>
      <c r="E96" s="264">
        <f t="shared" si="29"/>
        <v>3726598</v>
      </c>
      <c r="F96" s="264">
        <f t="shared" si="29"/>
        <v>0</v>
      </c>
      <c r="G96" s="264">
        <f t="shared" si="29"/>
        <v>0</v>
      </c>
      <c r="H96" s="264">
        <f t="shared" si="29"/>
        <v>0</v>
      </c>
      <c r="I96" s="264">
        <f t="shared" si="29"/>
        <v>0</v>
      </c>
      <c r="J96" s="264">
        <f t="shared" si="29"/>
        <v>0</v>
      </c>
      <c r="K96" s="264">
        <f t="shared" si="29"/>
        <v>0</v>
      </c>
      <c r="L96" s="264">
        <f t="shared" si="29"/>
        <v>0</v>
      </c>
      <c r="M96" s="264">
        <f t="shared" si="29"/>
        <v>0</v>
      </c>
      <c r="N96" s="264">
        <f t="shared" si="29"/>
        <v>0</v>
      </c>
      <c r="O96" s="264">
        <f t="shared" si="29"/>
        <v>0</v>
      </c>
      <c r="P96" s="264">
        <f t="shared" si="29"/>
        <v>0</v>
      </c>
      <c r="Q96" s="264">
        <f t="shared" si="29"/>
        <v>0</v>
      </c>
      <c r="R96" s="264">
        <f t="shared" si="29"/>
        <v>3726598</v>
      </c>
      <c r="S96" s="108">
        <f>SUM(S84:S87,S89:S95)</f>
        <v>3128753</v>
      </c>
      <c r="T96" s="264">
        <f>SUM(T84:T87,T89:T95)</f>
        <v>0</v>
      </c>
      <c r="U96" s="1198"/>
    </row>
    <row r="97" spans="1:21" s="106" customFormat="1">
      <c r="A97" s="107" t="s">
        <v>1894</v>
      </c>
      <c r="B97" s="264">
        <f>SUM(C97:D97)</f>
        <v>82838072</v>
      </c>
      <c r="C97" s="264">
        <f t="shared" ref="C97:R97" si="30">SUM(C63+C70+C77+C81+C96)</f>
        <v>82838072</v>
      </c>
      <c r="D97" s="264">
        <f t="shared" si="30"/>
        <v>0</v>
      </c>
      <c r="E97" s="264">
        <f t="shared" si="30"/>
        <v>32499354</v>
      </c>
      <c r="F97" s="264">
        <f t="shared" si="30"/>
        <v>14743000</v>
      </c>
      <c r="G97" s="264">
        <f t="shared" si="30"/>
        <v>16000000</v>
      </c>
      <c r="H97" s="264">
        <f t="shared" si="30"/>
        <v>18000000</v>
      </c>
      <c r="I97" s="264">
        <f t="shared" si="30"/>
        <v>1595718</v>
      </c>
      <c r="J97" s="264">
        <f t="shared" si="30"/>
        <v>0</v>
      </c>
      <c r="K97" s="264">
        <f t="shared" si="30"/>
        <v>0</v>
      </c>
      <c r="L97" s="264">
        <f t="shared" si="30"/>
        <v>0</v>
      </c>
      <c r="M97" s="264">
        <f t="shared" si="30"/>
        <v>0</v>
      </c>
      <c r="N97" s="264">
        <f t="shared" si="30"/>
        <v>0</v>
      </c>
      <c r="O97" s="264">
        <f t="shared" si="30"/>
        <v>0</v>
      </c>
      <c r="P97" s="264">
        <f t="shared" si="30"/>
        <v>0</v>
      </c>
      <c r="Q97" s="264">
        <f t="shared" si="30"/>
        <v>0</v>
      </c>
      <c r="R97" s="264">
        <f t="shared" si="30"/>
        <v>82838072</v>
      </c>
      <c r="S97" s="264">
        <f>SUM(S63+S70+S81+S96)</f>
        <v>65380664</v>
      </c>
      <c r="T97" s="264">
        <f>SUM(T63+T70+T81+T96)</f>
        <v>0</v>
      </c>
      <c r="U97" s="1198"/>
    </row>
    <row r="98" spans="1:21" s="106" customFormat="1">
      <c r="A98" s="105" t="s">
        <v>1895</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1896</v>
      </c>
      <c r="B99" s="264">
        <f>SUM(C99+D99)</f>
        <v>9807100</v>
      </c>
      <c r="C99" s="900">
        <v>9807100</v>
      </c>
      <c r="D99" s="900">
        <v>0</v>
      </c>
      <c r="E99" s="900">
        <f>B99-SUM(F99:Q99)</f>
        <v>2500000</v>
      </c>
      <c r="F99" s="900"/>
      <c r="G99" s="900"/>
      <c r="H99" s="900"/>
      <c r="I99" s="900"/>
      <c r="J99" s="900">
        <f>Application!AO627</f>
        <v>7307100</v>
      </c>
      <c r="K99" s="900"/>
      <c r="L99" s="900"/>
      <c r="M99" s="900"/>
      <c r="N99" s="900"/>
      <c r="O99" s="900"/>
      <c r="P99" s="900"/>
      <c r="Q99" s="900"/>
      <c r="R99" s="441">
        <f>SUM(E99:Q99)</f>
        <v>9807100</v>
      </c>
      <c r="S99" s="900">
        <f>C99</f>
        <v>9807100</v>
      </c>
      <c r="T99" s="900">
        <v>0</v>
      </c>
      <c r="U99" s="1198"/>
    </row>
    <row r="100" spans="1:21" s="106" customFormat="1">
      <c r="A100" s="208" t="s">
        <v>1897</v>
      </c>
      <c r="B100" s="264">
        <f>SUM(C100+D100)</f>
        <v>0</v>
      </c>
      <c r="C100" s="900"/>
      <c r="D100" s="900"/>
      <c r="E100" s="900">
        <f>B100-SUM(F100:Q100)</f>
        <v>0</v>
      </c>
      <c r="F100" s="900"/>
      <c r="G100" s="900"/>
      <c r="H100" s="900"/>
      <c r="I100" s="900"/>
      <c r="J100" s="900"/>
      <c r="K100" s="900"/>
      <c r="L100" s="900"/>
      <c r="M100" s="900"/>
      <c r="N100" s="900"/>
      <c r="O100" s="900"/>
      <c r="P100" s="900"/>
      <c r="Q100" s="900"/>
      <c r="R100" s="441">
        <f>SUM(E100:Q100)</f>
        <v>0</v>
      </c>
      <c r="S100" s="900">
        <f>C100</f>
        <v>0</v>
      </c>
      <c r="T100" s="900"/>
      <c r="U100" s="1198"/>
    </row>
    <row r="101" spans="1:21" s="106" customFormat="1" ht="12" customHeight="1">
      <c r="A101" s="208" t="s">
        <v>1898</v>
      </c>
      <c r="B101" s="264">
        <f>SUM(C101+D101)</f>
        <v>0</v>
      </c>
      <c r="C101" s="900"/>
      <c r="D101" s="900"/>
      <c r="E101" s="900">
        <f>B101-SUM(F101:Q101)</f>
        <v>0</v>
      </c>
      <c r="F101" s="900"/>
      <c r="G101" s="900"/>
      <c r="H101" s="900"/>
      <c r="I101" s="900"/>
      <c r="J101" s="900"/>
      <c r="K101" s="900"/>
      <c r="L101" s="900"/>
      <c r="M101" s="900"/>
      <c r="N101" s="900"/>
      <c r="O101" s="900"/>
      <c r="P101" s="900"/>
      <c r="Q101" s="900"/>
      <c r="R101" s="441">
        <f>SUM(E101:Q101)</f>
        <v>0</v>
      </c>
      <c r="S101" s="900">
        <f>C101</f>
        <v>0</v>
      </c>
      <c r="T101" s="900"/>
      <c r="U101" s="1198"/>
    </row>
    <row r="102" spans="1:21" s="106" customFormat="1">
      <c r="A102" s="208" t="s">
        <v>1899</v>
      </c>
      <c r="B102" s="264">
        <f>SUM(C102+D102)</f>
        <v>0</v>
      </c>
      <c r="C102" s="900"/>
      <c r="D102" s="900"/>
      <c r="E102" s="900">
        <f>B102-SUM(F102:Q102)</f>
        <v>0</v>
      </c>
      <c r="F102" s="900"/>
      <c r="G102" s="900"/>
      <c r="H102" s="900"/>
      <c r="I102" s="900"/>
      <c r="J102" s="900"/>
      <c r="K102" s="900"/>
      <c r="L102" s="900"/>
      <c r="M102" s="900"/>
      <c r="N102" s="900"/>
      <c r="O102" s="900"/>
      <c r="P102" s="900"/>
      <c r="Q102" s="900"/>
      <c r="R102" s="441">
        <f>SUM(E102:Q102)</f>
        <v>0</v>
      </c>
      <c r="S102" s="900">
        <f>C102</f>
        <v>0</v>
      </c>
      <c r="T102" s="900"/>
      <c r="U102" s="1198"/>
    </row>
    <row r="103" spans="1:21" s="106" customFormat="1">
      <c r="A103" s="1081" t="s">
        <v>1837</v>
      </c>
      <c r="B103" s="264">
        <f>SUM(C103+D103)</f>
        <v>0</v>
      </c>
      <c r="C103" s="900"/>
      <c r="D103" s="900"/>
      <c r="E103" s="900">
        <f>B103-SUM(F103:Q103)</f>
        <v>0</v>
      </c>
      <c r="F103" s="900"/>
      <c r="G103" s="900"/>
      <c r="H103" s="900"/>
      <c r="I103" s="900"/>
      <c r="J103" s="900"/>
      <c r="K103" s="900"/>
      <c r="L103" s="900"/>
      <c r="M103" s="900"/>
      <c r="N103" s="900"/>
      <c r="O103" s="900"/>
      <c r="P103" s="900"/>
      <c r="Q103" s="900"/>
      <c r="R103" s="441">
        <f>SUM(E103:Q103)</f>
        <v>0</v>
      </c>
      <c r="S103" s="900">
        <f>C103</f>
        <v>0</v>
      </c>
      <c r="T103" s="900"/>
      <c r="U103" s="1198"/>
    </row>
    <row r="104" spans="1:21" s="106" customFormat="1">
      <c r="A104" s="107" t="s">
        <v>1900</v>
      </c>
      <c r="B104" s="264">
        <f>SUM(C104:D104)</f>
        <v>9807100</v>
      </c>
      <c r="C104" s="264">
        <f>SUM(C99:C103)</f>
        <v>9807100</v>
      </c>
      <c r="D104" s="264">
        <f t="shared" ref="D104:T104" si="31">SUM(D99:D103)</f>
        <v>0</v>
      </c>
      <c r="E104" s="264">
        <f t="shared" si="31"/>
        <v>2500000</v>
      </c>
      <c r="F104" s="264">
        <f t="shared" si="31"/>
        <v>0</v>
      </c>
      <c r="G104" s="264">
        <f t="shared" si="31"/>
        <v>0</v>
      </c>
      <c r="H104" s="264">
        <f t="shared" si="31"/>
        <v>0</v>
      </c>
      <c r="I104" s="264">
        <f t="shared" si="31"/>
        <v>0</v>
      </c>
      <c r="J104" s="264">
        <f t="shared" si="31"/>
        <v>7307100</v>
      </c>
      <c r="K104" s="264">
        <f t="shared" si="31"/>
        <v>0</v>
      </c>
      <c r="L104" s="264">
        <f t="shared" si="31"/>
        <v>0</v>
      </c>
      <c r="M104" s="264">
        <f t="shared" si="31"/>
        <v>0</v>
      </c>
      <c r="N104" s="264">
        <f t="shared" si="31"/>
        <v>0</v>
      </c>
      <c r="O104" s="264">
        <f t="shared" si="31"/>
        <v>0</v>
      </c>
      <c r="P104" s="264">
        <f t="shared" si="31"/>
        <v>0</v>
      </c>
      <c r="Q104" s="264">
        <f t="shared" si="31"/>
        <v>0</v>
      </c>
      <c r="R104" s="264">
        <f t="shared" si="31"/>
        <v>9807100</v>
      </c>
      <c r="S104" s="108">
        <f t="shared" si="31"/>
        <v>9807100</v>
      </c>
      <c r="T104" s="108">
        <f t="shared" si="31"/>
        <v>0</v>
      </c>
      <c r="U104" s="1198"/>
    </row>
    <row r="105" spans="1:21" s="106" customFormat="1">
      <c r="A105" s="107" t="s">
        <v>1901</v>
      </c>
      <c r="B105" s="108">
        <f>SUM(C105:D105)</f>
        <v>92645172</v>
      </c>
      <c r="C105" s="108">
        <f t="shared" ref="C105:R105" si="32">SUM(C97+C104)</f>
        <v>92645172</v>
      </c>
      <c r="D105" s="108">
        <f t="shared" si="32"/>
        <v>0</v>
      </c>
      <c r="E105" s="108">
        <f t="shared" si="32"/>
        <v>34999354</v>
      </c>
      <c r="F105" s="108">
        <f t="shared" si="32"/>
        <v>14743000</v>
      </c>
      <c r="G105" s="108">
        <f t="shared" si="32"/>
        <v>16000000</v>
      </c>
      <c r="H105" s="108">
        <f t="shared" si="32"/>
        <v>18000000</v>
      </c>
      <c r="I105" s="108">
        <f t="shared" si="32"/>
        <v>1595718</v>
      </c>
      <c r="J105" s="108">
        <f t="shared" si="32"/>
        <v>7307100</v>
      </c>
      <c r="K105" s="108">
        <f t="shared" si="32"/>
        <v>0</v>
      </c>
      <c r="L105" s="108">
        <f t="shared" si="32"/>
        <v>0</v>
      </c>
      <c r="M105" s="108">
        <f t="shared" si="32"/>
        <v>0</v>
      </c>
      <c r="N105" s="108">
        <f t="shared" si="32"/>
        <v>0</v>
      </c>
      <c r="O105" s="108">
        <f t="shared" si="32"/>
        <v>0</v>
      </c>
      <c r="P105" s="108">
        <f t="shared" si="32"/>
        <v>0</v>
      </c>
      <c r="Q105" s="108">
        <f t="shared" si="32"/>
        <v>0</v>
      </c>
      <c r="R105" s="264">
        <f t="shared" si="32"/>
        <v>92645172</v>
      </c>
      <c r="S105" s="108">
        <f>S97+S104</f>
        <v>75187764</v>
      </c>
      <c r="T105" s="108">
        <f>T97+T104</f>
        <v>0</v>
      </c>
      <c r="U105" s="1198"/>
    </row>
    <row r="106" spans="1:21">
      <c r="A106" s="439" t="s">
        <v>1902</v>
      </c>
      <c r="B106" s="1206"/>
      <c r="C106" s="1206"/>
      <c r="D106" s="1206"/>
      <c r="E106" s="248"/>
      <c r="F106" s="248"/>
      <c r="G106" s="248"/>
      <c r="H106" s="249" t="s">
        <v>1903</v>
      </c>
      <c r="I106" s="249"/>
      <c r="J106" s="249"/>
      <c r="K106" s="248"/>
      <c r="L106" s="248"/>
      <c r="M106" s="248"/>
      <c r="N106" s="248"/>
      <c r="O106" s="248"/>
      <c r="P106" s="248"/>
      <c r="Q106" s="248"/>
      <c r="R106" s="114" t="s">
        <v>1904</v>
      </c>
      <c r="S106" s="900"/>
      <c r="T106" s="900"/>
      <c r="U106" s="250"/>
    </row>
    <row r="107" spans="1:21">
      <c r="A107" s="1206" t="s">
        <v>1905</v>
      </c>
      <c r="B107" s="248"/>
      <c r="C107" s="1206"/>
      <c r="D107" s="1206"/>
      <c r="E107" s="248"/>
      <c r="F107" s="248"/>
      <c r="G107" s="248"/>
      <c r="H107" s="248"/>
      <c r="I107" s="116" t="s">
        <v>1906</v>
      </c>
      <c r="J107" s="116"/>
      <c r="K107" s="248"/>
      <c r="L107" s="248"/>
      <c r="M107" s="248"/>
      <c r="N107" s="248"/>
      <c r="O107" s="248"/>
      <c r="P107" s="248"/>
      <c r="Q107" s="248"/>
      <c r="R107" s="114" t="s">
        <v>1907</v>
      </c>
      <c r="S107" s="108">
        <f>S105+S106</f>
        <v>75187764</v>
      </c>
      <c r="T107" s="108">
        <f>T105+T106</f>
        <v>0</v>
      </c>
      <c r="U107" s="250"/>
    </row>
    <row r="108" spans="1:21" s="136" customFormat="1">
      <c r="A108" s="116" t="s">
        <v>1908</v>
      </c>
      <c r="B108" s="1206"/>
      <c r="C108" s="1206"/>
      <c r="D108" s="1206"/>
      <c r="E108" s="1207">
        <f>Application!AO636</f>
        <v>34999354</v>
      </c>
      <c r="F108" s="1207">
        <f>Application!AO623</f>
        <v>14743000</v>
      </c>
      <c r="G108" s="1207">
        <f>Application!AO624</f>
        <v>16000000</v>
      </c>
      <c r="H108" s="1207">
        <f>Application!AO625</f>
        <v>18000000</v>
      </c>
      <c r="I108" s="1207">
        <f>Application!AO626</f>
        <v>1595718</v>
      </c>
      <c r="J108" s="1207">
        <f>Application!AO627</f>
        <v>7307100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1909</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1910</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1911</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1912</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1913</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1914</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1915</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1916</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75">
      <c r="A121" s="260" t="s">
        <v>1917</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1918</v>
      </c>
      <c r="B122" s="248"/>
      <c r="C122" s="248"/>
      <c r="D122" s="1796" t="s">
        <v>1919</v>
      </c>
      <c r="E122" s="1796"/>
      <c r="F122" s="1796"/>
      <c r="G122" s="248"/>
      <c r="H122" s="248"/>
      <c r="I122" s="248"/>
      <c r="J122" s="248"/>
      <c r="K122" s="248"/>
      <c r="L122" s="248"/>
      <c r="M122" s="248"/>
      <c r="N122" s="248"/>
      <c r="O122" s="248"/>
      <c r="P122" s="248"/>
      <c r="Q122" s="248"/>
      <c r="R122" s="248"/>
      <c r="S122" s="248"/>
      <c r="T122" s="248"/>
      <c r="U122" s="250"/>
    </row>
    <row r="123" spans="1:21">
      <c r="A123" s="248" t="s">
        <v>1920</v>
      </c>
      <c r="B123" s="257"/>
      <c r="C123" s="248"/>
      <c r="D123" s="1798" t="s">
        <v>1921</v>
      </c>
      <c r="E123" s="1799"/>
      <c r="F123" s="1799"/>
      <c r="G123" s="1799"/>
      <c r="H123" s="1799"/>
      <c r="I123" s="1799"/>
      <c r="J123" s="1799"/>
      <c r="K123" s="1799"/>
      <c r="L123" s="1799"/>
      <c r="M123" s="1799"/>
      <c r="N123" s="1799"/>
      <c r="O123" s="1799"/>
      <c r="P123" s="1799"/>
      <c r="Q123" s="1799"/>
      <c r="R123" s="1799"/>
      <c r="S123" s="1799"/>
      <c r="T123" s="248"/>
      <c r="U123" s="250"/>
    </row>
    <row r="124" spans="1:21" ht="12.75">
      <c r="A124" s="382" t="s">
        <v>1922</v>
      </c>
      <c r="B124" s="257"/>
      <c r="C124" s="382"/>
      <c r="D124" s="1799"/>
      <c r="E124" s="1799"/>
      <c r="F124" s="1799"/>
      <c r="G124" s="1799"/>
      <c r="H124" s="1799"/>
      <c r="I124" s="1799"/>
      <c r="J124" s="1799"/>
      <c r="K124" s="1799"/>
      <c r="L124" s="1799"/>
      <c r="M124" s="1799"/>
      <c r="N124" s="1799"/>
      <c r="O124" s="1799"/>
      <c r="P124" s="1799"/>
      <c r="Q124" s="1799"/>
      <c r="R124" s="1799"/>
      <c r="S124" s="1799"/>
      <c r="T124" s="248"/>
      <c r="U124" s="250"/>
    </row>
    <row r="125" spans="1:21" ht="12.75">
      <c r="A125" s="382" t="s">
        <v>1923</v>
      </c>
      <c r="B125" s="257"/>
      <c r="C125" s="382"/>
      <c r="D125" s="1799"/>
      <c r="E125" s="1799"/>
      <c r="F125" s="1799"/>
      <c r="G125" s="1799"/>
      <c r="H125" s="1799"/>
      <c r="I125" s="1799"/>
      <c r="J125" s="1799"/>
      <c r="K125" s="1799"/>
      <c r="L125" s="1799"/>
      <c r="M125" s="1799"/>
      <c r="N125" s="1799"/>
      <c r="O125" s="1799"/>
      <c r="P125" s="1799"/>
      <c r="Q125" s="1799"/>
      <c r="R125" s="1799"/>
      <c r="S125" s="1799"/>
      <c r="T125" s="248"/>
      <c r="U125" s="250"/>
    </row>
    <row r="126" spans="1:21" ht="12.75">
      <c r="A126" s="382" t="s">
        <v>1924</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1925</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1926</v>
      </c>
      <c r="B128" s="257"/>
      <c r="C128" s="382"/>
      <c r="D128" s="1793"/>
      <c r="E128" s="1793"/>
      <c r="F128" s="1793"/>
      <c r="G128" s="1793"/>
      <c r="H128" s="1793"/>
      <c r="I128" s="382"/>
      <c r="J128" s="1794"/>
      <c r="K128" s="1794"/>
      <c r="L128" s="382"/>
      <c r="M128" s="382"/>
      <c r="N128" s="382"/>
      <c r="O128" s="382"/>
      <c r="P128" s="382"/>
      <c r="Q128" s="382"/>
      <c r="R128" s="382"/>
      <c r="S128" s="382"/>
      <c r="T128" s="248"/>
      <c r="U128" s="250"/>
    </row>
    <row r="129" spans="1:21" ht="12.75">
      <c r="A129" s="382" t="s">
        <v>1143</v>
      </c>
      <c r="B129" s="257"/>
      <c r="C129" s="382"/>
      <c r="D129" s="1795" t="s">
        <v>1927</v>
      </c>
      <c r="E129" s="1795"/>
      <c r="F129" s="1795"/>
      <c r="G129" s="1795"/>
      <c r="H129" s="1795"/>
      <c r="I129" s="382"/>
      <c r="J129" s="382" t="s">
        <v>1928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1929</v>
      </c>
      <c r="B131" s="258">
        <f>SUM(B123:B129)</f>
        <v>0</v>
      </c>
      <c r="C131" s="382"/>
      <c r="D131" s="1787"/>
      <c r="E131" s="1787"/>
      <c r="F131" s="1787"/>
      <c r="G131" s="1787"/>
      <c r="H131" s="1787"/>
      <c r="I131" s="382"/>
      <c r="J131" s="1787"/>
      <c r="K131" s="1787"/>
      <c r="L131" s="1787"/>
      <c r="M131" s="1787"/>
      <c r="N131" s="382"/>
      <c r="O131" s="382"/>
      <c r="P131" s="382"/>
      <c r="Q131" s="382"/>
      <c r="R131" s="382"/>
      <c r="S131" s="382"/>
      <c r="T131" s="248"/>
      <c r="U131" s="250"/>
    </row>
    <row r="132" spans="1:21" ht="12" customHeight="1">
      <c r="A132" s="1209"/>
      <c r="B132" s="382"/>
      <c r="C132" s="382"/>
      <c r="D132" s="1279" t="s">
        <v>1930</v>
      </c>
      <c r="E132" s="1279"/>
      <c r="F132" s="1279"/>
      <c r="G132" s="1279"/>
      <c r="H132" s="1279"/>
      <c r="I132" s="382"/>
      <c r="J132" s="1279" t="s">
        <v>1931</v>
      </c>
      <c r="K132" s="1279"/>
      <c r="L132" s="1279"/>
      <c r="M132" s="1279"/>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1932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1933</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0"/>
      <c r="B138" s="1793"/>
      <c r="C138" s="1793"/>
      <c r="D138" s="252"/>
      <c r="E138" s="1794"/>
      <c r="F138" s="1794"/>
      <c r="G138" s="382"/>
      <c r="H138" s="382"/>
      <c r="I138" s="382"/>
      <c r="J138" s="382"/>
      <c r="K138" s="382"/>
      <c r="L138" s="382"/>
      <c r="M138" s="382"/>
      <c r="N138" s="382"/>
      <c r="O138" s="382"/>
      <c r="P138" s="382"/>
      <c r="Q138" s="382"/>
      <c r="R138" s="382"/>
      <c r="S138" s="382"/>
      <c r="T138" s="254"/>
      <c r="U138" s="255"/>
    </row>
    <row r="139" spans="1:21" ht="12.75">
      <c r="A139" s="1797" t="s">
        <v>1934</v>
      </c>
      <c r="B139" s="1797"/>
      <c r="C139" s="1797"/>
      <c r="D139" s="252"/>
      <c r="E139" s="382" t="s">
        <v>1928</v>
      </c>
      <c r="F139" s="382"/>
      <c r="G139" s="382"/>
      <c r="H139" s="382"/>
      <c r="I139" s="382"/>
      <c r="J139" s="382"/>
      <c r="K139" s="382"/>
      <c r="L139" s="382"/>
      <c r="M139" s="382"/>
      <c r="N139" s="382"/>
      <c r="O139" s="382"/>
      <c r="P139" s="382"/>
      <c r="Q139" s="382"/>
      <c r="R139" s="382"/>
      <c r="S139" s="382"/>
      <c r="T139" s="254"/>
      <c r="U139" s="255"/>
    </row>
    <row r="140" spans="1:21" ht="12.7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3" zoomScaleNormal="100" zoomScaleSheetLayoutView="100" workbookViewId="0">
      <selection activeCell="C4" sqref="C4"/>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3" t="s">
        <v>1935</v>
      </c>
      <c r="B1" s="1804"/>
      <c r="C1" s="1804"/>
      <c r="D1" s="1804"/>
      <c r="E1" s="1804"/>
      <c r="F1" s="1804"/>
      <c r="G1" s="1804"/>
      <c r="H1" s="1804"/>
      <c r="I1" s="1804"/>
      <c r="J1" s="1805"/>
      <c r="K1" s="280"/>
    </row>
    <row r="2" spans="1:11" s="326" customFormat="1" ht="72">
      <c r="A2" s="323"/>
      <c r="B2" s="324" t="s">
        <v>1936</v>
      </c>
      <c r="C2" s="324" t="s">
        <v>1937</v>
      </c>
      <c r="D2" s="324" t="s">
        <v>1938</v>
      </c>
      <c r="E2" s="324" t="s">
        <v>1939</v>
      </c>
      <c r="F2" s="324" t="s">
        <v>1940</v>
      </c>
      <c r="G2" s="324" t="s">
        <v>1941</v>
      </c>
      <c r="H2" s="324" t="s">
        <v>1942</v>
      </c>
      <c r="I2" s="324" t="s">
        <v>1943</v>
      </c>
      <c r="J2" s="324" t="s">
        <v>1944</v>
      </c>
      <c r="K2" s="325"/>
    </row>
    <row r="3" spans="1:11" s="285" customFormat="1">
      <c r="A3" s="282" t="s">
        <v>1815</v>
      </c>
      <c r="B3" s="283"/>
      <c r="C3" s="283"/>
      <c r="D3" s="283"/>
      <c r="E3" s="283"/>
      <c r="F3" s="283"/>
      <c r="G3" s="283"/>
      <c r="H3" s="283"/>
      <c r="I3" s="283"/>
      <c r="J3" s="283"/>
      <c r="K3" s="284"/>
    </row>
    <row r="4" spans="1:11" s="285" customFormat="1">
      <c r="A4" s="289" t="s">
        <v>1816</v>
      </c>
      <c r="B4" s="286">
        <f>'Sources and Uses Budget'!C4</f>
        <v>9500000</v>
      </c>
      <c r="C4" s="287"/>
      <c r="D4" s="287"/>
      <c r="E4" s="288"/>
      <c r="F4" s="288"/>
      <c r="G4" s="288"/>
      <c r="H4" s="288"/>
      <c r="I4" s="288"/>
      <c r="J4" s="288"/>
      <c r="K4" s="284"/>
    </row>
    <row r="5" spans="1:11" s="285" customFormat="1">
      <c r="A5" s="289" t="s">
        <v>1817</v>
      </c>
      <c r="B5" s="286">
        <f>'Sources and Uses Budget'!C5</f>
        <v>235939</v>
      </c>
      <c r="C5" s="287"/>
      <c r="D5" s="287"/>
      <c r="E5" s="288"/>
      <c r="F5" s="288"/>
      <c r="G5" s="288"/>
      <c r="H5" s="288"/>
      <c r="I5" s="288"/>
      <c r="J5" s="288"/>
      <c r="K5" s="284"/>
    </row>
    <row r="6" spans="1:11" s="285" customFormat="1">
      <c r="A6" s="289" t="s">
        <v>1818</v>
      </c>
      <c r="B6" s="286">
        <f>'Sources and Uses Budget'!C6</f>
        <v>32536</v>
      </c>
      <c r="C6" s="287"/>
      <c r="D6" s="287"/>
      <c r="E6" s="288"/>
      <c r="F6" s="288"/>
      <c r="G6" s="288"/>
      <c r="H6" s="288"/>
      <c r="I6" s="288"/>
      <c r="J6" s="288"/>
      <c r="K6" s="284"/>
    </row>
    <row r="7" spans="1:11" s="285" customFormat="1">
      <c r="A7" s="289" t="s">
        <v>1819</v>
      </c>
      <c r="B7" s="286">
        <f>'Sources and Uses Budget'!C7</f>
        <v>0</v>
      </c>
      <c r="C7" s="287"/>
      <c r="D7" s="287"/>
      <c r="E7" s="288"/>
      <c r="F7" s="288"/>
      <c r="G7" s="288"/>
      <c r="H7" s="288"/>
      <c r="I7" s="288"/>
      <c r="J7" s="288"/>
      <c r="K7" s="284"/>
    </row>
    <row r="8" spans="1:11" s="285" customFormat="1">
      <c r="A8" s="290" t="s">
        <v>1820</v>
      </c>
      <c r="B8" s="286">
        <f>'Sources and Uses Budget'!C8</f>
        <v>9768475</v>
      </c>
      <c r="C8" s="286">
        <f>SUM(C4:C7)</f>
        <v>0</v>
      </c>
      <c r="D8" s="286">
        <f>SUM(D4:D7)</f>
        <v>0</v>
      </c>
      <c r="E8" s="288"/>
      <c r="F8" s="288"/>
      <c r="G8" s="288"/>
      <c r="H8" s="288"/>
      <c r="I8" s="288"/>
      <c r="J8" s="288"/>
      <c r="K8" s="284"/>
    </row>
    <row r="9" spans="1:11" s="285" customFormat="1">
      <c r="A9" s="289" t="s">
        <v>1821</v>
      </c>
      <c r="B9" s="286">
        <f>'Sources and Uses Budget'!C9</f>
        <v>0</v>
      </c>
      <c r="C9" s="287"/>
      <c r="D9" s="287"/>
      <c r="E9" s="288"/>
      <c r="F9" s="288"/>
      <c r="G9" s="288"/>
      <c r="H9" s="286">
        <f>'Sources and Uses Budget'!T9</f>
        <v>0</v>
      </c>
      <c r="I9" s="287"/>
      <c r="J9" s="287"/>
      <c r="K9" s="284"/>
    </row>
    <row r="10" spans="1:11" s="285" customFormat="1">
      <c r="A10" s="289" t="s">
        <v>1822</v>
      </c>
      <c r="B10" s="286">
        <f>'Sources and Uses Budget'!C10</f>
        <v>193951</v>
      </c>
      <c r="C10" s="287"/>
      <c r="D10" s="287"/>
      <c r="E10" s="286">
        <f>'Sources and Uses Budget'!S10</f>
        <v>193951</v>
      </c>
      <c r="F10" s="287"/>
      <c r="G10" s="287"/>
      <c r="H10" s="286">
        <f>'Sources and Uses Budget'!T10</f>
        <v>0</v>
      </c>
      <c r="I10" s="287"/>
      <c r="J10" s="287"/>
      <c r="K10" s="284"/>
    </row>
    <row r="11" spans="1:11" s="285" customFormat="1">
      <c r="A11" s="290" t="s">
        <v>1823</v>
      </c>
      <c r="B11" s="286">
        <f>'Sources and Uses Budget'!C11</f>
        <v>193951</v>
      </c>
      <c r="C11" s="286">
        <f>SUM(C9:C10)</f>
        <v>0</v>
      </c>
      <c r="D11" s="286">
        <f>SUM(D9:D10)</f>
        <v>0</v>
      </c>
      <c r="E11" s="288"/>
      <c r="F11" s="288"/>
      <c r="G11" s="288"/>
      <c r="H11" s="286">
        <f>'Sources and Uses Budget'!T11</f>
        <v>0</v>
      </c>
      <c r="I11" s="286">
        <f>SUM(I9:I10)</f>
        <v>0</v>
      </c>
      <c r="J11" s="286">
        <f>SUM(J9:J10)</f>
        <v>0</v>
      </c>
      <c r="K11" s="284"/>
    </row>
    <row r="12" spans="1:11" s="285" customFormat="1">
      <c r="A12" s="290" t="s">
        <v>1824</v>
      </c>
      <c r="B12" s="286">
        <f>'Sources and Uses Budget'!C12</f>
        <v>9962426</v>
      </c>
      <c r="C12" s="286">
        <f>SUM(C8+C11)</f>
        <v>0</v>
      </c>
      <c r="D12" s="286">
        <f>SUM(D8+D11)</f>
        <v>0</v>
      </c>
      <c r="E12" s="288"/>
      <c r="F12" s="288"/>
      <c r="G12" s="288"/>
      <c r="H12" s="288"/>
      <c r="I12" s="288"/>
      <c r="J12" s="288"/>
      <c r="K12" s="284"/>
    </row>
    <row r="13" spans="1:11" s="285" customFormat="1">
      <c r="A13" s="291" t="s">
        <v>1825</v>
      </c>
      <c r="B13" s="286">
        <f>'Sources and Uses Budget'!C13</f>
        <v>161396</v>
      </c>
      <c r="C13" s="287"/>
      <c r="D13" s="287"/>
      <c r="E13" s="286">
        <f>'Sources and Uses Budget'!S13</f>
        <v>0</v>
      </c>
      <c r="F13" s="287"/>
      <c r="G13" s="287"/>
      <c r="H13" s="286">
        <f>'Sources and Uses Budget'!T13</f>
        <v>0</v>
      </c>
      <c r="I13" s="287"/>
      <c r="J13" s="287"/>
      <c r="K13" s="284"/>
    </row>
    <row r="14" spans="1:11" s="285" customFormat="1" ht="24">
      <c r="A14" s="289" t="s">
        <v>1945</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1827</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1828</v>
      </c>
      <c r="B16" s="283"/>
      <c r="C16" s="283"/>
      <c r="D16" s="283"/>
      <c r="E16" s="283"/>
      <c r="F16" s="283"/>
      <c r="G16" s="283"/>
      <c r="H16" s="283"/>
      <c r="I16" s="283"/>
      <c r="J16" s="283"/>
      <c r="K16" s="284"/>
    </row>
    <row r="17" spans="1:11" s="285" customFormat="1">
      <c r="A17" s="289" t="s">
        <v>1829</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1830</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1831</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1832</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1833</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1834</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1835</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1836</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1838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1839</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1840</v>
      </c>
      <c r="B28" s="283"/>
      <c r="C28" s="283"/>
      <c r="D28" s="283"/>
      <c r="E28" s="283"/>
      <c r="F28" s="283"/>
      <c r="G28" s="283"/>
      <c r="H28" s="283"/>
      <c r="I28" s="283"/>
      <c r="J28" s="283"/>
      <c r="K28" s="284"/>
    </row>
    <row r="29" spans="1:11" s="285" customFormat="1">
      <c r="A29" s="208" t="s">
        <v>1829</v>
      </c>
      <c r="B29" s="286">
        <f>'Sources and Uses Budget'!C29</f>
        <v>3168135</v>
      </c>
      <c r="C29" s="287"/>
      <c r="D29" s="287"/>
      <c r="E29" s="286">
        <f>'Sources and Uses Budget'!S29</f>
        <v>3168135</v>
      </c>
      <c r="F29" s="287"/>
      <c r="G29" s="287"/>
      <c r="H29" s="286">
        <f>'Sources and Uses Budget'!T29</f>
        <v>0</v>
      </c>
      <c r="I29" s="287"/>
      <c r="J29" s="287"/>
      <c r="K29" s="284"/>
    </row>
    <row r="30" spans="1:11" s="285" customFormat="1">
      <c r="A30" s="208" t="s">
        <v>1830</v>
      </c>
      <c r="B30" s="286">
        <f>'Sources and Uses Budget'!C30</f>
        <v>41115239</v>
      </c>
      <c r="C30" s="287"/>
      <c r="D30" s="287"/>
      <c r="E30" s="286">
        <f>'Sources and Uses Budget'!S30</f>
        <v>41115239</v>
      </c>
      <c r="F30" s="287"/>
      <c r="G30" s="287"/>
      <c r="H30" s="286">
        <f>'Sources and Uses Budget'!T30</f>
        <v>0</v>
      </c>
      <c r="I30" s="287"/>
      <c r="J30" s="287"/>
      <c r="K30" s="284"/>
    </row>
    <row r="31" spans="1:11" s="285" customFormat="1">
      <c r="A31" s="208" t="s">
        <v>1831</v>
      </c>
      <c r="B31" s="286">
        <f>'Sources and Uses Budget'!C31</f>
        <v>1827409</v>
      </c>
      <c r="C31" s="287"/>
      <c r="D31" s="287"/>
      <c r="E31" s="286">
        <f>'Sources and Uses Budget'!S31</f>
        <v>1827409</v>
      </c>
      <c r="F31" s="287"/>
      <c r="G31" s="287"/>
      <c r="H31" s="286">
        <f>'Sources and Uses Budget'!T31</f>
        <v>0</v>
      </c>
      <c r="I31" s="287"/>
      <c r="J31" s="287"/>
      <c r="K31" s="284"/>
    </row>
    <row r="32" spans="1:11" s="285" customFormat="1">
      <c r="A32" s="208" t="s">
        <v>1832</v>
      </c>
      <c r="B32" s="286">
        <f>'Sources and Uses Budget'!C32</f>
        <v>773272</v>
      </c>
      <c r="C32" s="287"/>
      <c r="D32" s="287"/>
      <c r="E32" s="286">
        <f>'Sources and Uses Budget'!S32</f>
        <v>773272</v>
      </c>
      <c r="F32" s="287"/>
      <c r="G32" s="287"/>
      <c r="H32" s="286">
        <f>'Sources and Uses Budget'!T32</f>
        <v>0</v>
      </c>
      <c r="I32" s="287"/>
      <c r="J32" s="287"/>
      <c r="K32" s="284"/>
    </row>
    <row r="33" spans="1:11" s="285" customFormat="1">
      <c r="A33" s="208" t="s">
        <v>1833</v>
      </c>
      <c r="B33" s="286">
        <f>'Sources and Uses Budget'!C33</f>
        <v>773272</v>
      </c>
      <c r="C33" s="287"/>
      <c r="D33" s="287"/>
      <c r="E33" s="286">
        <f>'Sources and Uses Budget'!S33</f>
        <v>773272</v>
      </c>
      <c r="F33" s="287"/>
      <c r="G33" s="287"/>
      <c r="H33" s="286">
        <f>'Sources and Uses Budget'!T33</f>
        <v>0</v>
      </c>
      <c r="I33" s="287"/>
      <c r="J33" s="287"/>
      <c r="K33" s="284"/>
    </row>
    <row r="34" spans="1:11" s="285" customFormat="1">
      <c r="A34" s="208" t="s">
        <v>1834</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1835</v>
      </c>
      <c r="B35" s="286">
        <f>'Sources and Uses Budget'!C35</f>
        <v>515006</v>
      </c>
      <c r="C35" s="287"/>
      <c r="D35" s="287"/>
      <c r="E35" s="286">
        <f>'Sources and Uses Budget'!S35</f>
        <v>515006</v>
      </c>
      <c r="F35" s="287"/>
      <c r="G35" s="287"/>
      <c r="H35" s="286">
        <f>'Sources and Uses Budget'!T35</f>
        <v>0</v>
      </c>
      <c r="I35" s="287"/>
      <c r="J35" s="287"/>
      <c r="K35" s="284"/>
    </row>
    <row r="36" spans="1:11" s="285" customFormat="1">
      <c r="A36" s="434" t="s">
        <v>1836</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1841</v>
      </c>
      <c r="B38" s="286">
        <f>'Sources and Uses Budget'!C38</f>
        <v>48172333</v>
      </c>
      <c r="C38" s="286">
        <f>SUM(C29:C37)</f>
        <v>0</v>
      </c>
      <c r="D38" s="286">
        <f>SUM(D29:D37)</f>
        <v>0</v>
      </c>
      <c r="E38" s="286">
        <f>'Sources and Uses Budget'!S38</f>
        <v>48172333</v>
      </c>
      <c r="F38" s="292">
        <f>SUM(F29:F37)</f>
        <v>0</v>
      </c>
      <c r="G38" s="292">
        <f>SUM(G29:G37)</f>
        <v>0</v>
      </c>
      <c r="H38" s="286">
        <f>'Sources and Uses Budget'!T38</f>
        <v>0</v>
      </c>
      <c r="I38" s="292">
        <f>SUM(I29:I37)</f>
        <v>0</v>
      </c>
      <c r="J38" s="292">
        <f>SUM(J29:J37)</f>
        <v>0</v>
      </c>
      <c r="K38" s="284"/>
    </row>
    <row r="39" spans="1:11" s="285" customFormat="1">
      <c r="A39" s="282" t="s">
        <v>1842</v>
      </c>
      <c r="B39" s="283"/>
      <c r="C39" s="283"/>
      <c r="D39" s="283"/>
      <c r="E39" s="283"/>
      <c r="F39" s="283"/>
      <c r="G39" s="283"/>
      <c r="H39" s="283"/>
      <c r="I39" s="283"/>
      <c r="J39" s="283"/>
      <c r="K39" s="284"/>
    </row>
    <row r="40" spans="1:11" s="285" customFormat="1">
      <c r="A40" s="289" t="s">
        <v>1843</v>
      </c>
      <c r="B40" s="286">
        <f>'Sources and Uses Budget'!C40</f>
        <v>1450000</v>
      </c>
      <c r="C40" s="287"/>
      <c r="D40" s="287"/>
      <c r="E40" s="286">
        <f>'Sources and Uses Budget'!S40</f>
        <v>1450000</v>
      </c>
      <c r="F40" s="287"/>
      <c r="G40" s="287"/>
      <c r="H40" s="286">
        <f>'Sources and Uses Budget'!T40</f>
        <v>0</v>
      </c>
      <c r="I40" s="287"/>
      <c r="J40" s="287"/>
      <c r="K40" s="284"/>
    </row>
    <row r="41" spans="1:11" s="285" customFormat="1">
      <c r="A41" s="289" t="s">
        <v>1844</v>
      </c>
      <c r="B41" s="286">
        <f>'Sources and Uses Budget'!C41</f>
        <v>300000</v>
      </c>
      <c r="C41" s="287"/>
      <c r="D41" s="287"/>
      <c r="E41" s="286">
        <f>'Sources and Uses Budget'!S41</f>
        <v>300000</v>
      </c>
      <c r="F41" s="287"/>
      <c r="G41" s="287"/>
      <c r="H41" s="286">
        <f>'Sources and Uses Budget'!T41</f>
        <v>0</v>
      </c>
      <c r="I41" s="287"/>
      <c r="J41" s="287"/>
      <c r="K41" s="284"/>
    </row>
    <row r="42" spans="1:11" s="285" customFormat="1">
      <c r="A42" s="290" t="s">
        <v>1845</v>
      </c>
      <c r="B42" s="286">
        <f>'Sources and Uses Budget'!C42</f>
        <v>1750000</v>
      </c>
      <c r="C42" s="286">
        <f>SUM(C39:C41)</f>
        <v>0</v>
      </c>
      <c r="D42" s="286">
        <f>SUM(D39:D41)</f>
        <v>0</v>
      </c>
      <c r="E42" s="286">
        <f>'Sources and Uses Budget'!S42</f>
        <v>1750000</v>
      </c>
      <c r="F42" s="292">
        <f>SUM(F40:F41)</f>
        <v>0</v>
      </c>
      <c r="G42" s="292">
        <f>SUM(G40:G41)</f>
        <v>0</v>
      </c>
      <c r="H42" s="286">
        <f>'Sources and Uses Budget'!T42</f>
        <v>0</v>
      </c>
      <c r="I42" s="292">
        <f>SUM(I40:I41)</f>
        <v>0</v>
      </c>
      <c r="J42" s="292">
        <f>SUM(J40:J41)</f>
        <v>0</v>
      </c>
      <c r="K42" s="284"/>
    </row>
    <row r="43" spans="1:11" s="285" customFormat="1">
      <c r="A43" s="290" t="s">
        <v>1846</v>
      </c>
      <c r="B43" s="286">
        <f>'Sources and Uses Budget'!C43</f>
        <v>390000</v>
      </c>
      <c r="C43" s="287"/>
      <c r="D43" s="287"/>
      <c r="E43" s="286">
        <f>'Sources and Uses Budget'!S43</f>
        <v>390000</v>
      </c>
      <c r="F43" s="287"/>
      <c r="G43" s="287"/>
      <c r="H43" s="286">
        <f>'Sources and Uses Budget'!T43</f>
        <v>0</v>
      </c>
      <c r="I43" s="287"/>
      <c r="J43" s="287"/>
      <c r="K43" s="284"/>
    </row>
    <row r="44" spans="1:11" s="285" customFormat="1">
      <c r="A44" s="282" t="s">
        <v>1847</v>
      </c>
      <c r="B44" s="283"/>
      <c r="C44" s="283"/>
      <c r="D44" s="283"/>
      <c r="E44" s="283"/>
      <c r="F44" s="283"/>
      <c r="G44" s="283"/>
      <c r="H44" s="283"/>
      <c r="I44" s="283"/>
      <c r="J44" s="283"/>
      <c r="K44" s="284"/>
    </row>
    <row r="45" spans="1:11" s="285" customFormat="1">
      <c r="A45" s="289" t="s">
        <v>1848</v>
      </c>
      <c r="B45" s="286">
        <f>'Sources and Uses Budget'!C45</f>
        <v>5495736</v>
      </c>
      <c r="C45" s="287"/>
      <c r="D45" s="287"/>
      <c r="E45" s="286">
        <f>'Sources and Uses Budget'!S45</f>
        <v>1864193</v>
      </c>
      <c r="F45" s="287"/>
      <c r="G45" s="287"/>
      <c r="H45" s="286">
        <f>'Sources and Uses Budget'!T45</f>
        <v>0</v>
      </c>
      <c r="I45" s="287"/>
      <c r="J45" s="287"/>
      <c r="K45" s="284"/>
    </row>
    <row r="46" spans="1:11" s="285" customFormat="1">
      <c r="A46" s="289" t="s">
        <v>1849</v>
      </c>
      <c r="B46" s="286">
        <f>'Sources and Uses Budget'!C46</f>
        <v>451123</v>
      </c>
      <c r="C46" s="287"/>
      <c r="D46" s="287"/>
      <c r="E46" s="286">
        <f>'Sources and Uses Budget'!S46</f>
        <v>153024</v>
      </c>
      <c r="F46" s="287"/>
      <c r="G46" s="287"/>
      <c r="H46" s="286">
        <f>'Sources and Uses Budget'!T46</f>
        <v>0</v>
      </c>
      <c r="I46" s="287"/>
      <c r="J46" s="287"/>
      <c r="K46" s="284"/>
    </row>
    <row r="47" spans="1:11" s="285" customFormat="1" ht="12" customHeight="1">
      <c r="A47" s="289" t="s">
        <v>1850</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1851</v>
      </c>
      <c r="B48" s="286">
        <f>'Sources and Uses Budget'!C48</f>
        <v>241261</v>
      </c>
      <c r="C48" s="287"/>
      <c r="D48" s="287"/>
      <c r="E48" s="286">
        <f>'Sources and Uses Budget'!S48</f>
        <v>241261</v>
      </c>
      <c r="F48" s="287"/>
      <c r="G48" s="287"/>
      <c r="H48" s="286">
        <f>'Sources and Uses Budget'!T48</f>
        <v>0</v>
      </c>
      <c r="I48" s="287"/>
      <c r="J48" s="287"/>
      <c r="K48" s="284"/>
    </row>
    <row r="49" spans="1:11" s="285" customFormat="1">
      <c r="A49" s="208" t="s">
        <v>1852</v>
      </c>
      <c r="B49" s="286">
        <f>'Sources and Uses Budget'!C49</f>
        <v>271714</v>
      </c>
      <c r="C49" s="287"/>
      <c r="D49" s="287"/>
      <c r="E49" s="286">
        <f>'Sources and Uses Budget'!S49</f>
        <v>0</v>
      </c>
      <c r="F49" s="287"/>
      <c r="G49" s="287"/>
      <c r="H49" s="286">
        <f>'Sources and Uses Budget'!T49</f>
        <v>0</v>
      </c>
      <c r="I49" s="287"/>
      <c r="J49" s="287"/>
      <c r="K49" s="284"/>
    </row>
    <row r="50" spans="1:11" s="285" customFormat="1">
      <c r="A50" s="289" t="s">
        <v>1853</v>
      </c>
      <c r="B50" s="286">
        <f>'Sources and Uses Budget'!C50</f>
        <v>60000</v>
      </c>
      <c r="C50" s="287"/>
      <c r="D50" s="287"/>
      <c r="E50" s="286">
        <f>'Sources and Uses Budget'!S50</f>
        <v>50000</v>
      </c>
      <c r="F50" s="287"/>
      <c r="G50" s="287"/>
      <c r="H50" s="286">
        <f>'Sources and Uses Budget'!T50</f>
        <v>0</v>
      </c>
      <c r="I50" s="287"/>
      <c r="J50" s="287"/>
      <c r="K50" s="284"/>
    </row>
    <row r="51" spans="1:11" s="285" customFormat="1">
      <c r="A51" s="289" t="s">
        <v>1854</v>
      </c>
      <c r="B51" s="286">
        <f>'Sources and Uses Budget'!C51</f>
        <v>420000</v>
      </c>
      <c r="C51" s="287"/>
      <c r="D51" s="287"/>
      <c r="E51" s="286">
        <f>'Sources and Uses Budget'!S51</f>
        <v>420000</v>
      </c>
      <c r="F51" s="287"/>
      <c r="G51" s="287"/>
      <c r="H51" s="286">
        <f>'Sources and Uses Budget'!T51</f>
        <v>0</v>
      </c>
      <c r="I51" s="287"/>
      <c r="J51" s="287"/>
      <c r="K51" s="284"/>
    </row>
    <row r="52" spans="1:11" s="285" customFormat="1">
      <c r="A52" s="289" t="s">
        <v>1855</v>
      </c>
      <c r="B52" s="286">
        <f>'Sources and Uses Budget'!C52</f>
        <v>1147598</v>
      </c>
      <c r="C52" s="287"/>
      <c r="D52" s="287"/>
      <c r="E52" s="286">
        <f>'Sources and Uses Budget'!S52</f>
        <v>1147598</v>
      </c>
      <c r="F52" s="287"/>
      <c r="G52" s="287"/>
      <c r="H52" s="286">
        <f>'Sources and Uses Budget'!T52</f>
        <v>0</v>
      </c>
      <c r="I52" s="287"/>
      <c r="J52" s="287"/>
      <c r="K52" s="284"/>
    </row>
    <row r="53" spans="1:11" s="285" customFormat="1" ht="24">
      <c r="A53" s="289" t="str">
        <f>'Sources and Uses Budget'!$A53</f>
        <v>Other: Predev and Accrued Interest and Expenses</v>
      </c>
      <c r="B53" s="286">
        <f>'Sources and Uses Budget'!C53</f>
        <v>3012853</v>
      </c>
      <c r="C53" s="287"/>
      <c r="D53" s="287"/>
      <c r="E53" s="286">
        <f>'Sources and Uses Budget'!S53</f>
        <v>1667623</v>
      </c>
      <c r="F53" s="287"/>
      <c r="G53" s="287"/>
      <c r="H53" s="286">
        <f>'Sources and Uses Budget'!T53</f>
        <v>0</v>
      </c>
      <c r="I53" s="287"/>
      <c r="J53" s="287"/>
      <c r="K53" s="284"/>
    </row>
    <row r="54" spans="1:11" s="294" customFormat="1">
      <c r="A54" s="290" t="s">
        <v>1857</v>
      </c>
      <c r="B54" s="286">
        <f>'Sources and Uses Budget'!C54</f>
        <v>11100285</v>
      </c>
      <c r="C54" s="292">
        <f>SUM(C45:C53)</f>
        <v>0</v>
      </c>
      <c r="D54" s="292">
        <f>SUM(D45:D53)</f>
        <v>0</v>
      </c>
      <c r="E54" s="286">
        <f>'Sources and Uses Budget'!S54</f>
        <v>5543699</v>
      </c>
      <c r="F54" s="292">
        <f>SUM(F45:F53)</f>
        <v>0</v>
      </c>
      <c r="G54" s="292">
        <f>SUM(G45:G53)</f>
        <v>0</v>
      </c>
      <c r="H54" s="286">
        <f>'Sources and Uses Budget'!T54</f>
        <v>0</v>
      </c>
      <c r="I54" s="292">
        <f>SUM(I45:I53)</f>
        <v>0</v>
      </c>
      <c r="J54" s="292">
        <f>SUM(J45:J53)</f>
        <v>0</v>
      </c>
      <c r="K54" s="293"/>
    </row>
    <row r="55" spans="1:11" s="285" customFormat="1">
      <c r="A55" s="282" t="s">
        <v>1434</v>
      </c>
      <c r="B55" s="283"/>
      <c r="C55" s="283"/>
      <c r="D55" s="283"/>
      <c r="E55" s="283"/>
      <c r="F55" s="283"/>
      <c r="G55" s="283"/>
      <c r="H55" s="283"/>
      <c r="I55" s="283"/>
      <c r="J55" s="283"/>
      <c r="K55" s="284"/>
    </row>
    <row r="56" spans="1:11" s="285" customFormat="1">
      <c r="A56" s="289" t="s">
        <v>1858</v>
      </c>
      <c r="B56" s="286">
        <f>'Sources and Uses Budget'!C56</f>
        <v>187430</v>
      </c>
      <c r="C56" s="287"/>
      <c r="D56" s="287"/>
      <c r="E56" s="288"/>
      <c r="F56" s="288"/>
      <c r="G56" s="288"/>
      <c r="H56" s="288"/>
      <c r="I56" s="288"/>
      <c r="J56" s="288"/>
      <c r="K56" s="284"/>
    </row>
    <row r="57" spans="1:11" s="285" customFormat="1" ht="12" customHeight="1">
      <c r="A57" s="289" t="s">
        <v>1850</v>
      </c>
      <c r="B57" s="286">
        <f>'Sources and Uses Budget'!C57</f>
        <v>0</v>
      </c>
      <c r="C57" s="287"/>
      <c r="D57" s="287"/>
      <c r="E57" s="288"/>
      <c r="F57" s="288"/>
      <c r="G57" s="288"/>
      <c r="H57" s="288"/>
      <c r="I57" s="288"/>
      <c r="J57" s="288"/>
      <c r="K57" s="284"/>
    </row>
    <row r="58" spans="1:11" s="285" customFormat="1">
      <c r="A58" s="289" t="s">
        <v>1853</v>
      </c>
      <c r="B58" s="286">
        <f>'Sources and Uses Budget'!C58</f>
        <v>15000</v>
      </c>
      <c r="C58" s="287"/>
      <c r="D58" s="287"/>
      <c r="E58" s="288"/>
      <c r="F58" s="288"/>
      <c r="G58" s="288"/>
      <c r="H58" s="288"/>
      <c r="I58" s="288"/>
      <c r="J58" s="288"/>
      <c r="K58" s="284"/>
    </row>
    <row r="59" spans="1:11" s="285" customFormat="1">
      <c r="A59" s="289" t="s">
        <v>1854</v>
      </c>
      <c r="B59" s="286">
        <f>'Sources and Uses Budget'!C59</f>
        <v>0</v>
      </c>
      <c r="C59" s="287"/>
      <c r="D59" s="287"/>
      <c r="E59" s="288"/>
      <c r="F59" s="288"/>
      <c r="G59" s="288"/>
      <c r="H59" s="288"/>
      <c r="I59" s="288"/>
      <c r="J59" s="288"/>
      <c r="K59" s="284"/>
    </row>
    <row r="60" spans="1:11" s="285" customFormat="1">
      <c r="A60" s="289" t="s">
        <v>1855</v>
      </c>
      <c r="B60" s="286">
        <f>'Sources and Uses Budget'!C60</f>
        <v>0</v>
      </c>
      <c r="C60" s="287"/>
      <c r="D60" s="287"/>
      <c r="E60" s="288"/>
      <c r="F60" s="288"/>
      <c r="G60" s="288"/>
      <c r="H60" s="288"/>
      <c r="I60" s="288"/>
      <c r="J60" s="288"/>
      <c r="K60" s="284"/>
    </row>
    <row r="61" spans="1:11" s="285" customFormat="1">
      <c r="A61" s="289" t="str">
        <f>'Sources and Uses Budget'!$A61</f>
        <v>Other: Perm Lender Expenses</v>
      </c>
      <c r="B61" s="286">
        <f>'Sources and Uses Budget'!C61</f>
        <v>10000</v>
      </c>
      <c r="C61" s="287"/>
      <c r="D61" s="287"/>
      <c r="E61" s="288"/>
      <c r="F61" s="288"/>
      <c r="G61" s="288"/>
      <c r="H61" s="288"/>
      <c r="I61" s="288"/>
      <c r="J61" s="288"/>
      <c r="K61" s="284"/>
    </row>
    <row r="62" spans="1:11" s="285" customFormat="1" ht="13.7" customHeight="1">
      <c r="A62" s="290" t="s">
        <v>1860</v>
      </c>
      <c r="B62" s="286">
        <f>'Sources and Uses Budget'!C62</f>
        <v>212430</v>
      </c>
      <c r="C62" s="286">
        <f>SUM(C56:C61)</f>
        <v>0</v>
      </c>
      <c r="D62" s="286">
        <f>SUM(D56:D61)</f>
        <v>0</v>
      </c>
      <c r="E62" s="288"/>
      <c r="F62" s="288"/>
      <c r="G62" s="288"/>
      <c r="H62" s="288"/>
      <c r="I62" s="288"/>
      <c r="J62" s="288"/>
      <c r="K62" s="284"/>
    </row>
    <row r="63" spans="1:11" s="285" customFormat="1">
      <c r="A63" s="295" t="s">
        <v>1861</v>
      </c>
      <c r="B63" s="286">
        <f>'Sources and Uses Budget'!C63</f>
        <v>71748870</v>
      </c>
      <c r="C63" s="286">
        <f>SUM(C8+C11+C13+C14+C15+C26+C27+C38+C42+C43+C54+C62)</f>
        <v>0</v>
      </c>
      <c r="D63" s="286">
        <f>SUM(D8+D11+D13+D14+D15+D26+D27+D38+D42+D43+D54+D62)</f>
        <v>0</v>
      </c>
      <c r="E63" s="286">
        <f>'Sources and Uses Budget'!S63</f>
        <v>56049983</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1862</v>
      </c>
      <c r="B64" s="283"/>
      <c r="C64" s="283"/>
      <c r="D64" s="283"/>
      <c r="E64" s="283"/>
      <c r="F64" s="283"/>
      <c r="G64" s="283"/>
      <c r="H64" s="283"/>
      <c r="I64" s="283"/>
      <c r="J64" s="283"/>
      <c r="K64" s="284"/>
    </row>
    <row r="65" spans="1:11" s="285" customFormat="1">
      <c r="A65" s="208" t="s">
        <v>1863</v>
      </c>
      <c r="B65" s="286">
        <f>'Sources and Uses Budget'!C65</f>
        <v>100000</v>
      </c>
      <c r="C65" s="287"/>
      <c r="D65" s="287"/>
      <c r="E65" s="286">
        <f>'Sources and Uses Budget'!S65</f>
        <v>23744</v>
      </c>
      <c r="F65" s="287"/>
      <c r="G65" s="287"/>
      <c r="H65" s="286">
        <f>'Sources and Uses Budget'!T65</f>
        <v>0</v>
      </c>
      <c r="I65" s="287"/>
      <c r="J65" s="287"/>
      <c r="K65" s="284"/>
    </row>
    <row r="66" spans="1:11" s="285" customFormat="1" ht="24">
      <c r="A66" s="208" t="s">
        <v>1864</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1865</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1866</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Owner Legal Expenses</v>
      </c>
      <c r="B69" s="286">
        <f>'Sources and Uses Budget'!C69</f>
        <v>80000</v>
      </c>
      <c r="C69" s="287"/>
      <c r="D69" s="287"/>
      <c r="E69" s="286">
        <f>'Sources and Uses Budget'!S69</f>
        <v>80000</v>
      </c>
      <c r="F69" s="287"/>
      <c r="G69" s="287"/>
      <c r="H69" s="286">
        <f>'Sources and Uses Budget'!T69</f>
        <v>0</v>
      </c>
      <c r="I69" s="287"/>
      <c r="J69" s="287"/>
      <c r="K69" s="284"/>
    </row>
    <row r="70" spans="1:11" s="285" customFormat="1">
      <c r="A70" s="290" t="s">
        <v>1946</v>
      </c>
      <c r="B70" s="286">
        <f>'Sources and Uses Budget'!C70</f>
        <v>180000</v>
      </c>
      <c r="C70" s="286">
        <f>SUM(C64:C69)</f>
        <v>0</v>
      </c>
      <c r="D70" s="286">
        <f>SUM(D64:D69)</f>
        <v>0</v>
      </c>
      <c r="E70" s="286">
        <f>'Sources and Uses Budget'!S70</f>
        <v>103744</v>
      </c>
      <c r="F70" s="292">
        <f>SUM(F65:F69)</f>
        <v>0</v>
      </c>
      <c r="G70" s="292">
        <f>SUM(G65:G69)</f>
        <v>0</v>
      </c>
      <c r="H70" s="286">
        <f>'Sources and Uses Budget'!T70</f>
        <v>0</v>
      </c>
      <c r="I70" s="292">
        <f>SUM(I65:I69)</f>
        <v>0</v>
      </c>
      <c r="J70" s="292">
        <f>SUM(J65:J69)</f>
        <v>0</v>
      </c>
      <c r="K70" s="284"/>
    </row>
    <row r="71" spans="1:11" s="285" customFormat="1">
      <c r="A71" s="282" t="s">
        <v>1869</v>
      </c>
      <c r="B71" s="283"/>
      <c r="C71" s="283"/>
      <c r="D71" s="283"/>
      <c r="E71" s="283"/>
      <c r="F71" s="283"/>
      <c r="G71" s="283"/>
      <c r="H71" s="283"/>
      <c r="I71" s="283"/>
      <c r="J71" s="283"/>
      <c r="K71" s="284"/>
    </row>
    <row r="72" spans="1:11" s="285" customFormat="1">
      <c r="A72" s="289" t="s">
        <v>1870</v>
      </c>
      <c r="B72" s="286">
        <f>'Sources and Uses Budget'!C72</f>
        <v>0</v>
      </c>
      <c r="C72" s="287"/>
      <c r="D72" s="287"/>
      <c r="E72" s="288"/>
      <c r="F72" s="288"/>
      <c r="G72" s="288"/>
      <c r="H72" s="288"/>
      <c r="I72" s="288"/>
      <c r="J72" s="288"/>
      <c r="K72" s="284"/>
    </row>
    <row r="73" spans="1:11" s="285" customFormat="1">
      <c r="A73" s="289" t="s">
        <v>1871</v>
      </c>
      <c r="B73" s="286">
        <f>'Sources and Uses Budget'!C73</f>
        <v>143048</v>
      </c>
      <c r="C73" s="287"/>
      <c r="D73" s="287"/>
      <c r="E73" s="288"/>
      <c r="F73" s="288"/>
      <c r="G73" s="288"/>
      <c r="H73" s="288"/>
      <c r="I73" s="288"/>
      <c r="J73" s="288"/>
      <c r="K73" s="284"/>
    </row>
    <row r="74" spans="1:11" s="285" customFormat="1">
      <c r="A74" s="291" t="s">
        <v>1872</v>
      </c>
      <c r="B74" s="286">
        <f>'Sources and Uses Budget'!C74</f>
        <v>0</v>
      </c>
      <c r="C74" s="287"/>
      <c r="D74" s="287"/>
      <c r="E74" s="288"/>
      <c r="F74" s="288"/>
      <c r="G74" s="288"/>
      <c r="H74" s="288"/>
      <c r="I74" s="288"/>
      <c r="J74" s="288"/>
      <c r="K74" s="284"/>
    </row>
    <row r="75" spans="1:11" s="285" customFormat="1">
      <c r="A75" s="289" t="s">
        <v>1873</v>
      </c>
      <c r="B75" s="286">
        <f>'Sources and Uses Budget'!C75</f>
        <v>941372</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1874</v>
      </c>
      <c r="B77" s="286">
        <f>'Sources and Uses Budget'!C77</f>
        <v>1084420</v>
      </c>
      <c r="C77" s="286">
        <f>SUM(C72:C76)</f>
        <v>0</v>
      </c>
      <c r="D77" s="286">
        <f>SUM(D72:D76)</f>
        <v>0</v>
      </c>
      <c r="E77" s="288"/>
      <c r="F77" s="288"/>
      <c r="G77" s="288"/>
      <c r="H77" s="288"/>
      <c r="I77" s="288"/>
      <c r="J77" s="288"/>
      <c r="K77" s="284"/>
    </row>
    <row r="78" spans="1:11" s="285" customFormat="1">
      <c r="A78" s="282" t="s">
        <v>1875</v>
      </c>
      <c r="B78" s="283"/>
      <c r="C78" s="283"/>
      <c r="D78" s="283"/>
      <c r="E78" s="283"/>
      <c r="F78" s="283"/>
      <c r="G78" s="283"/>
      <c r="H78" s="283"/>
      <c r="I78" s="283"/>
      <c r="J78" s="283"/>
      <c r="K78" s="284"/>
    </row>
    <row r="79" spans="1:11" s="285" customFormat="1">
      <c r="A79" s="289" t="s">
        <v>1876</v>
      </c>
      <c r="B79" s="286">
        <f>'Sources and Uses Budget'!C79</f>
        <v>5713945</v>
      </c>
      <c r="C79" s="287"/>
      <c r="D79" s="287"/>
      <c r="E79" s="286">
        <f>'Sources and Uses Budget'!S79</f>
        <v>5713945</v>
      </c>
      <c r="F79" s="287"/>
      <c r="G79" s="287"/>
      <c r="H79" s="286">
        <f>'Sources and Uses Budget'!T79</f>
        <v>0</v>
      </c>
      <c r="I79" s="287"/>
      <c r="J79" s="287"/>
      <c r="K79" s="284"/>
    </row>
    <row r="80" spans="1:11" s="285" customFormat="1">
      <c r="A80" s="289" t="s">
        <v>1877</v>
      </c>
      <c r="B80" s="286">
        <f>'Sources and Uses Budget'!C80</f>
        <v>384239</v>
      </c>
      <c r="C80" s="287"/>
      <c r="D80" s="287"/>
      <c r="E80" s="286">
        <f>'Sources and Uses Budget'!S80</f>
        <v>384239</v>
      </c>
      <c r="F80" s="287"/>
      <c r="G80" s="287"/>
      <c r="H80" s="286">
        <f>'Sources and Uses Budget'!T80</f>
        <v>0</v>
      </c>
      <c r="I80" s="287"/>
      <c r="J80" s="287"/>
      <c r="K80" s="284"/>
    </row>
    <row r="81" spans="1:11" s="285" customFormat="1">
      <c r="A81" s="290" t="s">
        <v>1878</v>
      </c>
      <c r="B81" s="286">
        <f>'Sources and Uses Budget'!C81</f>
        <v>6098184</v>
      </c>
      <c r="C81" s="286">
        <f>SUM(C79:C80)</f>
        <v>0</v>
      </c>
      <c r="D81" s="286">
        <f>SUM(D79:D80)</f>
        <v>0</v>
      </c>
      <c r="E81" s="286">
        <f>'Sources and Uses Budget'!S81</f>
        <v>6098184</v>
      </c>
      <c r="F81" s="286">
        <f>SUM(F79:F80)</f>
        <v>0</v>
      </c>
      <c r="G81" s="286">
        <f>SUM(G79:G80)</f>
        <v>0</v>
      </c>
      <c r="H81" s="286">
        <f>'Sources and Uses Budget'!T81</f>
        <v>0</v>
      </c>
      <c r="I81" s="286">
        <f>SUM(I79:I80)</f>
        <v>0</v>
      </c>
      <c r="J81" s="286">
        <f>SUM(J79:J80)</f>
        <v>0</v>
      </c>
      <c r="K81" s="284"/>
    </row>
    <row r="82" spans="1:11" s="285" customFormat="1">
      <c r="A82" s="282" t="s">
        <v>1879</v>
      </c>
      <c r="B82" s="283"/>
      <c r="C82" s="283"/>
      <c r="D82" s="283"/>
      <c r="E82" s="283"/>
      <c r="F82" s="283"/>
      <c r="G82" s="283"/>
      <c r="H82" s="283"/>
      <c r="I82" s="283"/>
      <c r="J82" s="283"/>
      <c r="K82" s="284"/>
    </row>
    <row r="83" spans="1:11" s="285" customFormat="1" ht="13.7" customHeight="1">
      <c r="A83" s="208" t="s">
        <v>1880</v>
      </c>
      <c r="B83" s="286">
        <f>'Sources and Uses Budget'!C83</f>
        <v>74948</v>
      </c>
      <c r="C83" s="287"/>
      <c r="D83" s="287"/>
      <c r="E83" s="288"/>
      <c r="F83" s="288"/>
      <c r="G83" s="288"/>
      <c r="H83" s="288"/>
      <c r="I83" s="288"/>
      <c r="J83" s="288"/>
      <c r="K83" s="284"/>
    </row>
    <row r="84" spans="1:11" s="285" customFormat="1">
      <c r="A84" s="208" t="s">
        <v>1881</v>
      </c>
      <c r="B84" s="286">
        <f>'Sources and Uses Budget'!C84</f>
        <v>7500</v>
      </c>
      <c r="C84" s="287"/>
      <c r="D84" s="287"/>
      <c r="E84" s="286">
        <f>'Sources and Uses Budget'!S84</f>
        <v>7500</v>
      </c>
      <c r="F84" s="287"/>
      <c r="G84" s="287"/>
      <c r="H84" s="286">
        <f>'Sources and Uses Budget'!T84</f>
        <v>0</v>
      </c>
      <c r="I84" s="287"/>
      <c r="J84" s="287"/>
      <c r="K84" s="284"/>
    </row>
    <row r="85" spans="1:11" s="285" customFormat="1">
      <c r="A85" s="208" t="s">
        <v>1882</v>
      </c>
      <c r="B85" s="286">
        <f>'Sources and Uses Budget'!C85</f>
        <v>1093253</v>
      </c>
      <c r="C85" s="287"/>
      <c r="D85" s="287"/>
      <c r="E85" s="286">
        <f>'Sources and Uses Budget'!S85</f>
        <v>1093253</v>
      </c>
      <c r="F85" s="287"/>
      <c r="G85" s="287"/>
      <c r="H85" s="286">
        <f>'Sources and Uses Budget'!T85</f>
        <v>0</v>
      </c>
      <c r="I85" s="287"/>
      <c r="J85" s="287"/>
      <c r="K85" s="284"/>
    </row>
    <row r="86" spans="1:11" s="285" customFormat="1">
      <c r="A86" s="208" t="s">
        <v>1883</v>
      </c>
      <c r="B86" s="286">
        <f>'Sources and Uses Budget'!C86</f>
        <v>600000</v>
      </c>
      <c r="C86" s="287"/>
      <c r="D86" s="287"/>
      <c r="E86" s="286">
        <f>'Sources and Uses Budget'!S86</f>
        <v>600000</v>
      </c>
      <c r="F86" s="287"/>
      <c r="G86" s="287"/>
      <c r="H86" s="286">
        <f>'Sources and Uses Budget'!T86</f>
        <v>0</v>
      </c>
      <c r="I86" s="287"/>
      <c r="J86" s="287"/>
      <c r="K86" s="284"/>
    </row>
    <row r="87" spans="1:11" s="285" customFormat="1">
      <c r="A87" s="208" t="s">
        <v>1884</v>
      </c>
      <c r="B87" s="286">
        <f>'Sources and Uses Budget'!C87</f>
        <v>500000</v>
      </c>
      <c r="C87" s="287"/>
      <c r="D87" s="287"/>
      <c r="E87" s="286">
        <f>'Sources and Uses Budget'!S87</f>
        <v>500000</v>
      </c>
      <c r="F87" s="287"/>
      <c r="G87" s="287"/>
      <c r="H87" s="286">
        <f>'Sources and Uses Budget'!T87</f>
        <v>0</v>
      </c>
      <c r="I87" s="287"/>
      <c r="J87" s="287"/>
      <c r="K87" s="284"/>
    </row>
    <row r="88" spans="1:11" s="285" customFormat="1">
      <c r="A88" s="208" t="s">
        <v>1885</v>
      </c>
      <c r="B88" s="286">
        <f>'Sources and Uses Budget'!C88</f>
        <v>514397</v>
      </c>
      <c r="C88" s="287"/>
      <c r="D88" s="287"/>
      <c r="E88" s="288"/>
      <c r="F88" s="288"/>
      <c r="G88" s="288"/>
      <c r="H88" s="288"/>
      <c r="I88" s="288"/>
      <c r="J88" s="288"/>
      <c r="K88" s="284"/>
    </row>
    <row r="89" spans="1:11" s="285" customFormat="1">
      <c r="A89" s="208" t="s">
        <v>1886</v>
      </c>
      <c r="B89" s="286">
        <f>'Sources and Uses Budget'!C89</f>
        <v>262500</v>
      </c>
      <c r="C89" s="287"/>
      <c r="D89" s="287"/>
      <c r="E89" s="286">
        <f>'Sources and Uses Budget'!S89</f>
        <v>262500</v>
      </c>
      <c r="F89" s="287"/>
      <c r="G89" s="287"/>
      <c r="H89" s="286">
        <f>'Sources and Uses Budget'!T89</f>
        <v>0</v>
      </c>
      <c r="I89" s="287"/>
      <c r="J89" s="287"/>
      <c r="K89" s="284"/>
    </row>
    <row r="90" spans="1:11" s="285" customFormat="1">
      <c r="A90" s="208" t="s">
        <v>1887</v>
      </c>
      <c r="B90" s="286">
        <f>'Sources and Uses Budget'!C90</f>
        <v>8500</v>
      </c>
      <c r="C90" s="287"/>
      <c r="D90" s="287"/>
      <c r="E90" s="286">
        <f>'Sources and Uses Budget'!S90</f>
        <v>0</v>
      </c>
      <c r="F90" s="287"/>
      <c r="G90" s="287"/>
      <c r="H90" s="286">
        <f>'Sources and Uses Budget'!T90</f>
        <v>0</v>
      </c>
      <c r="I90" s="287"/>
      <c r="J90" s="287"/>
      <c r="K90" s="284"/>
    </row>
    <row r="91" spans="1:11" s="285" customFormat="1">
      <c r="A91" s="434" t="s">
        <v>1888</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1889</v>
      </c>
      <c r="B92" s="286">
        <f>'Sources and Uses Budget'!C92</f>
        <v>6500</v>
      </c>
      <c r="C92" s="287"/>
      <c r="D92" s="287"/>
      <c r="E92" s="286">
        <f>'Sources and Uses Budget'!S92</f>
        <v>6500</v>
      </c>
      <c r="F92" s="287"/>
      <c r="G92" s="287"/>
      <c r="H92" s="286">
        <f>'Sources and Uses Budget'!T92</f>
        <v>0</v>
      </c>
      <c r="I92" s="287"/>
      <c r="J92" s="287"/>
      <c r="K92" s="284"/>
    </row>
    <row r="93" spans="1:11" s="285" customFormat="1">
      <c r="A93" s="289" t="str">
        <f>'Sources and Uses Budget'!$A93</f>
        <v>Other: Construction Supervision</v>
      </c>
      <c r="B93" s="286">
        <f>'Sources and Uses Budget'!C93</f>
        <v>250000</v>
      </c>
      <c r="C93" s="287"/>
      <c r="D93" s="287"/>
      <c r="E93" s="286">
        <f>'Sources and Uses Budget'!S93</f>
        <v>250000</v>
      </c>
      <c r="F93" s="287"/>
      <c r="G93" s="287"/>
      <c r="H93" s="286">
        <f>'Sources and Uses Budget'!T93</f>
        <v>0</v>
      </c>
      <c r="I93" s="287"/>
      <c r="J93" s="287"/>
      <c r="K93" s="284"/>
    </row>
    <row r="94" spans="1:11" s="285" customFormat="1">
      <c r="A94" s="289" t="str">
        <f>'Sources and Uses Budget'!$A94</f>
        <v>Other: Arborist &amp; Relocation Consulting</v>
      </c>
      <c r="B94" s="286">
        <f>'Sources and Uses Budget'!C94</f>
        <v>9000</v>
      </c>
      <c r="C94" s="287"/>
      <c r="D94" s="287"/>
      <c r="E94" s="286">
        <f>'Sources and Uses Budget'!S94</f>
        <v>9000</v>
      </c>
      <c r="F94" s="287"/>
      <c r="G94" s="287"/>
      <c r="H94" s="286">
        <f>'Sources and Uses Budget'!T94</f>
        <v>0</v>
      </c>
      <c r="I94" s="287"/>
      <c r="J94" s="287"/>
      <c r="K94" s="284"/>
    </row>
    <row r="95" spans="1:11" s="285" customFormat="1">
      <c r="A95" s="289" t="str">
        <f>'Sources and Uses Budget'!$A95</f>
        <v>Other: Misc. City and Owner Expenses</v>
      </c>
      <c r="B95" s="286">
        <f>'Sources and Uses Budget'!C95</f>
        <v>400000</v>
      </c>
      <c r="C95" s="287"/>
      <c r="D95" s="287"/>
      <c r="E95" s="286">
        <f>'Sources and Uses Budget'!S95</f>
        <v>400000</v>
      </c>
      <c r="F95" s="287"/>
      <c r="G95" s="287"/>
      <c r="H95" s="286">
        <f>'Sources and Uses Budget'!T95</f>
        <v>0</v>
      </c>
      <c r="I95" s="287"/>
      <c r="J95" s="287"/>
      <c r="K95" s="284"/>
    </row>
    <row r="96" spans="1:11" s="285" customFormat="1">
      <c r="A96" s="290" t="s">
        <v>1893</v>
      </c>
      <c r="B96" s="286">
        <f>'Sources and Uses Budget'!C96</f>
        <v>3726598</v>
      </c>
      <c r="C96" s="286">
        <f>SUM(C83:C95)</f>
        <v>0</v>
      </c>
      <c r="D96" s="286">
        <f>SUM(D83:D95)</f>
        <v>0</v>
      </c>
      <c r="E96" s="286">
        <f>'Sources and Uses Budget'!S96</f>
        <v>3128753</v>
      </c>
      <c r="F96" s="292">
        <f>SUM(F84:F87,F89:F95)</f>
        <v>0</v>
      </c>
      <c r="G96" s="292">
        <f>SUM(G84:G87,G89:G95)</f>
        <v>0</v>
      </c>
      <c r="H96" s="286">
        <f>'Sources and Uses Budget'!T96</f>
        <v>0</v>
      </c>
      <c r="I96" s="286">
        <f>SUM(I84:I87,I89:I95)</f>
        <v>0</v>
      </c>
      <c r="J96" s="286">
        <f>SUM(J84:J87,J89:J95)</f>
        <v>0</v>
      </c>
      <c r="K96" s="284"/>
    </row>
    <row r="97" spans="1:11" s="285" customFormat="1">
      <c r="A97" s="290" t="s">
        <v>1947</v>
      </c>
      <c r="B97" s="286">
        <f>'Sources and Uses Budget'!C97</f>
        <v>82838072</v>
      </c>
      <c r="C97" s="286">
        <f>SUM(C63+C70+C77+C81+C96)</f>
        <v>0</v>
      </c>
      <c r="D97" s="286">
        <f>SUM(D63+D70+D77+D81+D96)</f>
        <v>0</v>
      </c>
      <c r="E97" s="286">
        <f>'Sources and Uses Budget'!S97</f>
        <v>65380664</v>
      </c>
      <c r="F97" s="292">
        <f>SUM(+F63+F70+F81+F96)</f>
        <v>0</v>
      </c>
      <c r="G97" s="292">
        <f>SUM(+G63+G70+G81+G96)</f>
        <v>0</v>
      </c>
      <c r="H97" s="286">
        <f>'Sources and Uses Budget'!T97</f>
        <v>0</v>
      </c>
      <c r="I97" s="292">
        <f>SUM(I63+I70+I81+I96)</f>
        <v>0</v>
      </c>
      <c r="J97" s="292">
        <f>SUM(J63+J70+J81+J96)</f>
        <v>0</v>
      </c>
      <c r="K97" s="284"/>
    </row>
    <row r="98" spans="1:11" s="285" customFormat="1">
      <c r="A98" s="282" t="s">
        <v>1895</v>
      </c>
      <c r="B98" s="283"/>
      <c r="C98" s="283"/>
      <c r="D98" s="283"/>
      <c r="E98" s="283"/>
      <c r="F98" s="283"/>
      <c r="G98" s="283"/>
      <c r="H98" s="283"/>
      <c r="I98" s="283"/>
      <c r="J98" s="283"/>
      <c r="K98" s="284"/>
    </row>
    <row r="99" spans="1:11" s="285" customFormat="1">
      <c r="A99" s="208" t="s">
        <v>1896</v>
      </c>
      <c r="B99" s="286">
        <f>'Sources and Uses Budget'!C99</f>
        <v>9807100</v>
      </c>
      <c r="C99" s="287"/>
      <c r="D99" s="287"/>
      <c r="E99" s="286">
        <f>'Sources and Uses Budget'!S99</f>
        <v>9807100</v>
      </c>
      <c r="F99" s="287"/>
      <c r="G99" s="287"/>
      <c r="H99" s="286">
        <f>'Sources and Uses Budget'!T99</f>
        <v>0</v>
      </c>
      <c r="I99" s="287"/>
      <c r="J99" s="287"/>
      <c r="K99" s="284"/>
    </row>
    <row r="100" spans="1:11" s="285" customFormat="1">
      <c r="A100" s="208" t="s">
        <v>1897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1898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1899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1900</v>
      </c>
      <c r="B104" s="286">
        <f>'Sources and Uses Budget'!C104</f>
        <v>9807100</v>
      </c>
      <c r="C104" s="286">
        <f>SUM(C99:C103)</f>
        <v>0</v>
      </c>
      <c r="D104" s="286">
        <f>SUM(D99:D103)</f>
        <v>0</v>
      </c>
      <c r="E104" s="286">
        <f>'Sources and Uses Budget'!S104</f>
        <v>9807100</v>
      </c>
      <c r="F104" s="292">
        <f>SUM(F99:F103)</f>
        <v>0</v>
      </c>
      <c r="G104" s="292">
        <f>SUM(G99:G103)</f>
        <v>0</v>
      </c>
      <c r="H104" s="286">
        <f>'Sources and Uses Budget'!T104</f>
        <v>0</v>
      </c>
      <c r="I104" s="292">
        <f>SUM(I99:I103)</f>
        <v>0</v>
      </c>
      <c r="J104" s="292">
        <f>SUM(J99:J103)</f>
        <v>0</v>
      </c>
      <c r="K104" s="284"/>
    </row>
    <row r="105" spans="1:11" s="285" customFormat="1">
      <c r="A105" s="290" t="s">
        <v>1948</v>
      </c>
      <c r="B105" s="286">
        <f>'Sources and Uses Budget'!C105</f>
        <v>92645172</v>
      </c>
      <c r="C105" s="292">
        <f>SUM(C97+C104)</f>
        <v>0</v>
      </c>
      <c r="D105" s="292">
        <f>SUM(D97+D104)</f>
        <v>0</v>
      </c>
      <c r="E105" s="286">
        <f>'Sources and Uses Budget'!S105</f>
        <v>75187764</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1949</v>
      </c>
      <c r="E107" s="286">
        <f>'Sources and Uses Budget'!S107</f>
        <v>75187764</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1"/>
      <c r="E124" s="1286"/>
      <c r="F124" s="1286"/>
      <c r="G124" s="1286"/>
      <c r="H124" s="1286"/>
      <c r="I124" s="1286"/>
      <c r="J124" s="301"/>
      <c r="K124" s="284"/>
    </row>
    <row r="125" spans="1:11" s="285" customFormat="1" ht="12.75">
      <c r="A125" s="310"/>
      <c r="B125" s="309"/>
      <c r="C125" s="310"/>
      <c r="D125" s="1286"/>
      <c r="E125" s="1286"/>
      <c r="F125" s="1286"/>
      <c r="G125" s="1286"/>
      <c r="H125" s="1286"/>
      <c r="I125" s="1286"/>
      <c r="J125" s="301"/>
      <c r="K125" s="284"/>
    </row>
    <row r="126" spans="1:11" s="285" customFormat="1" ht="12.75">
      <c r="A126" s="310"/>
      <c r="B126" s="309"/>
      <c r="C126" s="310"/>
      <c r="D126" s="1286"/>
      <c r="E126" s="1286"/>
      <c r="F126" s="1286"/>
      <c r="G126" s="1286"/>
      <c r="H126" s="1286"/>
      <c r="I126" s="1286"/>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86"/>
      <c r="C139" s="1286"/>
      <c r="D139" s="281"/>
      <c r="E139" s="310"/>
      <c r="F139" s="310"/>
      <c r="G139" s="310"/>
    </row>
    <row r="140" spans="1:11" ht="12" customHeight="1">
      <c r="A140" s="1245"/>
      <c r="B140" s="1245"/>
      <c r="C140" s="124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23" zoomScaleNormal="100" zoomScaleSheetLayoutView="100" workbookViewId="0">
      <selection activeCell="M386" sqref="M38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38" t="s">
        <v>1950</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row>
    <row r="2" spans="1:42" s="461" customFormat="1" ht="12.75" customHeight="1" thickBot="1">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1951</v>
      </c>
      <c r="B4" s="464" t="s">
        <v>1952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1953</v>
      </c>
      <c r="B7" s="464" t="s">
        <v>1954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2" t="s">
        <v>1955</v>
      </c>
      <c r="AF7" s="1822"/>
      <c r="AG7" s="1822"/>
      <c r="AH7" s="1822"/>
      <c r="AI7" s="1822"/>
      <c r="AJ7" s="1822"/>
      <c r="AK7" s="1822"/>
      <c r="AL7" s="465"/>
      <c r="AM7" s="465"/>
      <c r="AN7" s="460"/>
    </row>
    <row r="8" spans="1:42" s="461" customFormat="1" ht="12.75" customHeight="1">
      <c r="A8" s="463"/>
      <c r="B8" s="464" t="s">
        <v>1956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1957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1958</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2" t="s">
        <v>299</v>
      </c>
      <c r="C13" s="1812"/>
      <c r="D13" s="472"/>
      <c r="E13" s="473" t="s">
        <v>1959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0"/>
      <c r="AH13" s="1840"/>
      <c r="AI13" s="1840"/>
      <c r="AJ13" s="184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2" t="s">
        <v>299</v>
      </c>
      <c r="C16" s="1812"/>
      <c r="D16" s="472"/>
      <c r="E16" s="1823" t="s">
        <v>1960</v>
      </c>
      <c r="F16" s="1824"/>
      <c r="G16" s="1824"/>
      <c r="H16" s="1824"/>
      <c r="I16" s="1824"/>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5"/>
      <c r="AK16" s="465"/>
      <c r="AL16" s="465"/>
      <c r="AM16" s="465"/>
      <c r="AN16" s="460"/>
      <c r="AO16" s="475">
        <f>IF($B25="yes",20,0)</f>
        <v>0</v>
      </c>
      <c r="AP16" s="14"/>
    </row>
    <row r="17" spans="1:42" s="461" customFormat="1" ht="12.75" customHeight="1">
      <c r="A17" s="465"/>
      <c r="B17" s="465"/>
      <c r="C17" s="465"/>
      <c r="D17" s="476"/>
      <c r="E17" s="1826"/>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8"/>
      <c r="AK17" s="465"/>
      <c r="AL17" s="465"/>
      <c r="AM17" s="465"/>
      <c r="AN17" s="460"/>
      <c r="AO17" s="461">
        <f>IF(SUM(AO13:AO16)&gt;20,20,(SUM(AO13:AO16)))</f>
        <v>0</v>
      </c>
      <c r="AP17" s="461" t="s">
        <v>1961</v>
      </c>
    </row>
    <row r="18" spans="1:42" s="461" customFormat="1" ht="12.75" customHeight="1">
      <c r="A18" s="465"/>
      <c r="B18" s="465"/>
      <c r="C18" s="465"/>
      <c r="D18" s="476"/>
      <c r="E18" s="1826"/>
      <c r="F18" s="1827"/>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8"/>
      <c r="AK18" s="465"/>
      <c r="AL18" s="465"/>
      <c r="AM18" s="465"/>
      <c r="AN18" s="460"/>
    </row>
    <row r="19" spans="1:42" s="461" customFormat="1" ht="12.75" customHeight="1">
      <c r="A19" s="465"/>
      <c r="B19" s="465"/>
      <c r="C19" s="465"/>
      <c r="D19" s="476"/>
      <c r="E19" s="477" t="s">
        <v>1962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1"/>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2" t="s">
        <v>299</v>
      </c>
      <c r="C22" s="1812"/>
      <c r="D22" s="472"/>
      <c r="E22" s="1845" t="s">
        <v>1963</v>
      </c>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7"/>
      <c r="AK22" s="465"/>
      <c r="AL22" s="465"/>
      <c r="AM22" s="465"/>
      <c r="AN22" s="460"/>
      <c r="AO22" s="461">
        <f>IF(SUM(AO20:AO21)&gt;14,14,SUM(AO20:AO21))</f>
        <v>0</v>
      </c>
      <c r="AP22" s="461" t="s">
        <v>1961</v>
      </c>
    </row>
    <row r="23" spans="1:42" s="461" customFormat="1" ht="12.75" customHeight="1">
      <c r="A23" s="465"/>
      <c r="B23" s="465"/>
      <c r="C23" s="465"/>
      <c r="D23" s="475"/>
      <c r="E23" s="1848"/>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5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2" t="s">
        <v>299</v>
      </c>
      <c r="C25" s="1812"/>
      <c r="D25" s="472"/>
      <c r="E25" s="1813" t="s">
        <v>1964</v>
      </c>
      <c r="F25" s="1814"/>
      <c r="G25" s="1814"/>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4"/>
      <c r="AI25" s="1814"/>
      <c r="AJ25" s="1815"/>
      <c r="AK25" s="465"/>
      <c r="AL25" s="465"/>
      <c r="AM25" s="465"/>
      <c r="AN25" s="460"/>
      <c r="AO25" s="461">
        <f>IF(AO24&gt;6,6,AO24)</f>
        <v>0</v>
      </c>
      <c r="AP25" s="461" t="s">
        <v>1961</v>
      </c>
    </row>
    <row r="26" spans="1:42" s="461" customFormat="1" ht="12.75" customHeight="1">
      <c r="A26" s="465"/>
      <c r="B26" s="465"/>
      <c r="C26" s="465"/>
      <c r="D26" s="475"/>
      <c r="E26" s="1816"/>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1965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1961</v>
      </c>
    </row>
    <row r="30" spans="1:42" s="461" customFormat="1" ht="12.75" customHeight="1">
      <c r="A30" s="465"/>
      <c r="B30" s="1812" t="s">
        <v>299</v>
      </c>
      <c r="C30" s="1812"/>
      <c r="D30" s="472"/>
      <c r="E30" s="1845" t="s">
        <v>1966</v>
      </c>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7"/>
      <c r="AK30" s="465"/>
      <c r="AL30" s="465"/>
      <c r="AM30" s="465"/>
      <c r="AN30" s="460"/>
      <c r="AO30" s="475"/>
    </row>
    <row r="31" spans="1:42" s="461" customFormat="1" ht="12.75" customHeight="1">
      <c r="A31" s="465"/>
      <c r="B31" s="465"/>
      <c r="C31" s="465"/>
      <c r="E31" s="1848"/>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50"/>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812" t="s">
        <v>299</v>
      </c>
      <c r="C33" s="1812"/>
      <c r="D33" s="472"/>
      <c r="E33" s="1813" t="s">
        <v>1967</v>
      </c>
      <c r="F33" s="1814"/>
      <c r="G33" s="1814"/>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5"/>
      <c r="AK33" s="465"/>
      <c r="AL33" s="465"/>
      <c r="AM33" s="465"/>
      <c r="AN33" s="460"/>
    </row>
    <row r="34" spans="1:41" s="461" customFormat="1" ht="12.75" customHeight="1">
      <c r="A34" s="465"/>
      <c r="B34" s="465"/>
      <c r="C34" s="465"/>
      <c r="E34" s="1819"/>
      <c r="F34" s="1820"/>
      <c r="G34" s="1820"/>
      <c r="H34" s="1820"/>
      <c r="I34" s="1820"/>
      <c r="J34" s="1820"/>
      <c r="K34" s="1820"/>
      <c r="L34" s="1820"/>
      <c r="M34" s="1820"/>
      <c r="N34" s="1820"/>
      <c r="O34" s="1820"/>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1"/>
      <c r="AK34" s="465"/>
      <c r="AL34" s="465"/>
      <c r="AM34" s="465"/>
      <c r="AN34" s="460"/>
    </row>
    <row r="35" spans="1:41" s="461" customFormat="1" ht="12.75" customHeight="1">
      <c r="A35" s="465"/>
      <c r="B35" s="465"/>
      <c r="C35" s="465"/>
      <c r="E35" s="1816"/>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1968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812" t="s">
        <v>299</v>
      </c>
      <c r="C39" s="1812"/>
      <c r="D39" s="1074"/>
      <c r="E39" s="1813" t="s">
        <v>1969</v>
      </c>
      <c r="F39" s="1814"/>
      <c r="G39" s="1814"/>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4"/>
      <c r="AJ39" s="1815"/>
      <c r="AK39" s="1074"/>
      <c r="AL39" s="465"/>
      <c r="AM39" s="465"/>
      <c r="AN39" s="460"/>
    </row>
    <row r="40" spans="1:41" s="461" customFormat="1" ht="12.75" customHeight="1">
      <c r="A40" s="465"/>
      <c r="B40" s="465"/>
      <c r="C40" s="465"/>
      <c r="E40" s="1819"/>
      <c r="F40" s="1820"/>
      <c r="G40" s="1820"/>
      <c r="H40" s="1820"/>
      <c r="I40" s="1820"/>
      <c r="J40" s="1820"/>
      <c r="K40" s="1820"/>
      <c r="L40" s="1820"/>
      <c r="M40" s="1820"/>
      <c r="N40" s="1820"/>
      <c r="O40" s="1820"/>
      <c r="P40" s="1820"/>
      <c r="Q40" s="1820"/>
      <c r="R40" s="1820"/>
      <c r="S40" s="1820"/>
      <c r="T40" s="1820"/>
      <c r="U40" s="1820"/>
      <c r="V40" s="1820"/>
      <c r="W40" s="1820"/>
      <c r="X40" s="1820"/>
      <c r="Y40" s="1820"/>
      <c r="Z40" s="1820"/>
      <c r="AA40" s="1820"/>
      <c r="AB40" s="1820"/>
      <c r="AC40" s="1820"/>
      <c r="AD40" s="1820"/>
      <c r="AE40" s="1820"/>
      <c r="AF40" s="1820"/>
      <c r="AG40" s="1820"/>
      <c r="AH40" s="1820"/>
      <c r="AI40" s="1820"/>
      <c r="AJ40" s="1821"/>
      <c r="AK40" s="465"/>
      <c r="AL40" s="465"/>
      <c r="AM40" s="465"/>
      <c r="AN40" s="460"/>
    </row>
    <row r="41" spans="1:41" s="461" customFormat="1" ht="12.75" customHeight="1">
      <c r="A41" s="465"/>
      <c r="D41" s="472"/>
      <c r="E41" s="1816"/>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1971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2" t="s">
        <v>299</v>
      </c>
      <c r="C46" s="1812"/>
      <c r="D46" s="465"/>
      <c r="E46" s="1813" t="s">
        <v>1972</v>
      </c>
      <c r="F46" s="1814"/>
      <c r="G46" s="1814"/>
      <c r="H46" s="1814"/>
      <c r="I46" s="1814"/>
      <c r="J46" s="1814"/>
      <c r="K46" s="1814"/>
      <c r="L46" s="1814"/>
      <c r="M46" s="1814"/>
      <c r="N46" s="1814"/>
      <c r="O46" s="1814"/>
      <c r="P46" s="1814"/>
      <c r="Q46" s="1814"/>
      <c r="R46" s="1814"/>
      <c r="S46" s="1814"/>
      <c r="T46" s="1814"/>
      <c r="U46" s="1814"/>
      <c r="V46" s="1814"/>
      <c r="W46" s="1814"/>
      <c r="X46" s="1814"/>
      <c r="Y46" s="1814"/>
      <c r="Z46" s="1814"/>
      <c r="AA46" s="1814"/>
      <c r="AB46" s="1814"/>
      <c r="AC46" s="1814"/>
      <c r="AD46" s="1814"/>
      <c r="AE46" s="1814"/>
      <c r="AF46" s="1814"/>
      <c r="AG46" s="1814"/>
      <c r="AH46" s="1814"/>
      <c r="AI46" s="1814"/>
      <c r="AJ46" s="1815"/>
      <c r="AK46" s="465"/>
      <c r="AL46" s="465"/>
      <c r="AM46" s="465"/>
      <c r="AN46" s="460"/>
      <c r="AO46" s="484"/>
    </row>
    <row r="47" spans="1:41" s="461" customFormat="1" ht="12.75" customHeight="1">
      <c r="A47" s="465"/>
      <c r="D47" s="472"/>
      <c r="E47" s="181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1"/>
      <c r="AK47" s="465"/>
      <c r="AL47" s="465"/>
      <c r="AM47" s="465"/>
      <c r="AN47" s="460"/>
      <c r="AO47" s="484"/>
    </row>
    <row r="48" spans="1:41" s="461" customFormat="1" ht="12.75" customHeight="1">
      <c r="A48" s="465"/>
      <c r="D48" s="465"/>
      <c r="E48" s="1816"/>
      <c r="F48" s="1817"/>
      <c r="G48" s="1817"/>
      <c r="H48" s="1817"/>
      <c r="I48" s="1817"/>
      <c r="J48" s="1817"/>
      <c r="K48" s="1817"/>
      <c r="L48" s="1817"/>
      <c r="M48" s="1817"/>
      <c r="N48" s="1817"/>
      <c r="O48" s="1817"/>
      <c r="P48" s="1817"/>
      <c r="Q48" s="1817"/>
      <c r="R48" s="1817"/>
      <c r="S48" s="1817"/>
      <c r="T48" s="1817"/>
      <c r="U48" s="1817"/>
      <c r="V48" s="1817"/>
      <c r="W48" s="1817"/>
      <c r="X48" s="1817"/>
      <c r="Y48" s="1817"/>
      <c r="Z48" s="1817"/>
      <c r="AA48" s="1817"/>
      <c r="AB48" s="1817"/>
      <c r="AC48" s="1817"/>
      <c r="AD48" s="1817"/>
      <c r="AE48" s="1817"/>
      <c r="AF48" s="1817"/>
      <c r="AG48" s="1817"/>
      <c r="AH48" s="1817"/>
      <c r="AI48" s="1817"/>
      <c r="AJ48" s="181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2" t="s">
        <v>299</v>
      </c>
      <c r="C50" s="1812"/>
      <c r="D50" s="465"/>
      <c r="E50" s="1833" t="s">
        <v>1973</v>
      </c>
      <c r="F50" s="1834"/>
      <c r="G50" s="1834"/>
      <c r="H50" s="1834"/>
      <c r="I50" s="1834"/>
      <c r="J50" s="1834"/>
      <c r="K50" s="1834"/>
      <c r="L50" s="1834"/>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2" t="s">
        <v>299</v>
      </c>
      <c r="C52" s="1812"/>
      <c r="D52" s="465"/>
      <c r="E52" s="1813" t="s">
        <v>1974</v>
      </c>
      <c r="F52" s="1814"/>
      <c r="G52" s="1814"/>
      <c r="H52" s="1814"/>
      <c r="I52" s="1814"/>
      <c r="J52" s="1814"/>
      <c r="K52" s="1814"/>
      <c r="L52" s="1814"/>
      <c r="M52" s="1814"/>
      <c r="N52" s="1814"/>
      <c r="O52" s="1814"/>
      <c r="P52" s="1814"/>
      <c r="Q52" s="1814"/>
      <c r="R52" s="1814"/>
      <c r="S52" s="1814"/>
      <c r="T52" s="1814"/>
      <c r="U52" s="1814"/>
      <c r="V52" s="1814"/>
      <c r="W52" s="1814"/>
      <c r="X52" s="1814"/>
      <c r="Y52" s="1814"/>
      <c r="Z52" s="1814"/>
      <c r="AA52" s="1814"/>
      <c r="AB52" s="1814"/>
      <c r="AC52" s="1814"/>
      <c r="AD52" s="1814"/>
      <c r="AE52" s="1814"/>
      <c r="AF52" s="1814"/>
      <c r="AG52" s="1814"/>
      <c r="AH52" s="1814"/>
      <c r="AI52" s="1814"/>
      <c r="AJ52" s="1815"/>
      <c r="AK52" s="465"/>
      <c r="AL52" s="465"/>
      <c r="AM52" s="465"/>
      <c r="AN52" s="460"/>
    </row>
    <row r="53" spans="1:50" s="461" customFormat="1" ht="12.75" customHeight="1">
      <c r="A53" s="465"/>
      <c r="B53" s="472"/>
      <c r="C53" s="472"/>
      <c r="D53" s="472"/>
      <c r="E53" s="1816"/>
      <c r="F53" s="1817"/>
      <c r="G53" s="1817"/>
      <c r="H53" s="1817"/>
      <c r="I53" s="1817"/>
      <c r="J53" s="1817"/>
      <c r="K53" s="1817"/>
      <c r="L53" s="1817"/>
      <c r="M53" s="1817"/>
      <c r="N53" s="1817"/>
      <c r="O53" s="1817"/>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1975</v>
      </c>
      <c r="AK56" s="1842">
        <f>AO36</f>
        <v>0</v>
      </c>
      <c r="AL56" s="1843"/>
      <c r="AM56" s="184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1976</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2" t="s">
        <v>1977</v>
      </c>
      <c r="AF59" s="1822"/>
      <c r="AG59" s="1822"/>
      <c r="AH59" s="1822"/>
      <c r="AI59" s="1822"/>
      <c r="AJ59" s="1822"/>
      <c r="AK59" s="1822"/>
      <c r="AL59" s="465"/>
      <c r="AM59" s="465"/>
      <c r="AN59" s="460"/>
    </row>
    <row r="60" spans="1:50" s="461" customFormat="1" ht="12.75" customHeight="1">
      <c r="A60" s="463"/>
      <c r="B60" s="464" t="s">
        <v>1978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2" t="s">
        <v>946</v>
      </c>
      <c r="C62" s="1812"/>
      <c r="D62" s="472" t="s">
        <v>1979</v>
      </c>
      <c r="E62" s="1823" t="s">
        <v>1980</v>
      </c>
      <c r="F62" s="1824"/>
      <c r="G62" s="1824"/>
      <c r="H62" s="1824"/>
      <c r="I62" s="1824"/>
      <c r="J62" s="1824"/>
      <c r="K62" s="1824"/>
      <c r="L62" s="1824"/>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5"/>
      <c r="AK62" s="468"/>
      <c r="AL62" s="465"/>
      <c r="AM62" s="465"/>
      <c r="AN62" s="460"/>
      <c r="AO62" s="475">
        <f>IF($B62="yes",10,0)</f>
        <v>10</v>
      </c>
    </row>
    <row r="63" spans="1:50" s="461" customFormat="1" ht="12.75" customHeight="1">
      <c r="A63" s="463"/>
      <c r="B63" s="465"/>
      <c r="C63" s="465"/>
      <c r="D63" s="476"/>
      <c r="E63" s="1826"/>
      <c r="F63" s="1827"/>
      <c r="G63" s="1827"/>
      <c r="H63" s="1827"/>
      <c r="I63" s="1827"/>
      <c r="J63" s="1827"/>
      <c r="K63" s="1827"/>
      <c r="L63" s="1827"/>
      <c r="M63" s="1827"/>
      <c r="N63" s="1827"/>
      <c r="O63" s="1827"/>
      <c r="P63" s="1827"/>
      <c r="Q63" s="1827"/>
      <c r="R63" s="1827"/>
      <c r="S63" s="1827"/>
      <c r="T63" s="1827"/>
      <c r="U63" s="1827"/>
      <c r="V63" s="1827"/>
      <c r="W63" s="1827"/>
      <c r="X63" s="1827"/>
      <c r="Y63" s="1827"/>
      <c r="Z63" s="1827"/>
      <c r="AA63" s="1827"/>
      <c r="AB63" s="1827"/>
      <c r="AC63" s="1827"/>
      <c r="AD63" s="1827"/>
      <c r="AE63" s="1827"/>
      <c r="AF63" s="1827"/>
      <c r="AG63" s="1827"/>
      <c r="AH63" s="1827"/>
      <c r="AI63" s="1827"/>
      <c r="AJ63" s="1828"/>
      <c r="AK63" s="468"/>
      <c r="AL63" s="465"/>
      <c r="AM63" s="465"/>
      <c r="AN63" s="460"/>
      <c r="AO63" s="475">
        <f>IF($B68="yes",10,0)</f>
        <v>10</v>
      </c>
    </row>
    <row r="64" spans="1:50" s="461" customFormat="1" ht="12.75" customHeight="1">
      <c r="A64" s="463"/>
      <c r="B64" s="465"/>
      <c r="C64" s="465"/>
      <c r="D64" s="476"/>
      <c r="E64" s="1826"/>
      <c r="F64" s="1827"/>
      <c r="G64" s="1827"/>
      <c r="H64" s="1827"/>
      <c r="I64" s="1827"/>
      <c r="J64" s="1827"/>
      <c r="K64" s="1827"/>
      <c r="L64" s="1827"/>
      <c r="M64" s="1827"/>
      <c r="N64" s="1827"/>
      <c r="O64" s="1827"/>
      <c r="P64" s="1827"/>
      <c r="Q64" s="1827"/>
      <c r="R64" s="1827"/>
      <c r="S64" s="1827"/>
      <c r="T64" s="1827"/>
      <c r="U64" s="1827"/>
      <c r="V64" s="1827"/>
      <c r="W64" s="1827"/>
      <c r="X64" s="1827"/>
      <c r="Y64" s="1827"/>
      <c r="Z64" s="1827"/>
      <c r="AA64" s="1827"/>
      <c r="AB64" s="1827"/>
      <c r="AC64" s="1827"/>
      <c r="AD64" s="1827"/>
      <c r="AE64" s="1827"/>
      <c r="AF64" s="1827"/>
      <c r="AG64" s="1827"/>
      <c r="AH64" s="1827"/>
      <c r="AI64" s="1827"/>
      <c r="AJ64" s="1828"/>
      <c r="AK64" s="468"/>
      <c r="AL64" s="465"/>
      <c r="AM64" s="465"/>
      <c r="AN64" s="460"/>
      <c r="AO64" s="475">
        <f>IF($B75="yes",10,0)</f>
        <v>0</v>
      </c>
    </row>
    <row r="65" spans="1:42" s="461" customFormat="1" ht="12.75" customHeight="1">
      <c r="A65" s="463"/>
      <c r="B65" s="465"/>
      <c r="C65" s="465"/>
      <c r="D65" s="476"/>
      <c r="E65" s="1826"/>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c r="AD65" s="1827"/>
      <c r="AE65" s="1827"/>
      <c r="AF65" s="1827"/>
      <c r="AG65" s="1827"/>
      <c r="AH65" s="1827"/>
      <c r="AI65" s="1827"/>
      <c r="AJ65" s="1828"/>
      <c r="AK65" s="468"/>
      <c r="AL65" s="465"/>
      <c r="AM65" s="465"/>
      <c r="AN65" s="460"/>
      <c r="AO65" s="461">
        <f>IF(SUM(AO62:AO64)&gt;10,10,(SUM(AO62:AO64)))</f>
        <v>10</v>
      </c>
      <c r="AP65" s="499" t="s">
        <v>1981</v>
      </c>
    </row>
    <row r="66" spans="1:42" s="461" customFormat="1" ht="12.75" customHeight="1">
      <c r="A66" s="463"/>
      <c r="B66" s="465"/>
      <c r="C66" s="465"/>
      <c r="D66" s="476"/>
      <c r="E66" s="1829"/>
      <c r="F66" s="1830"/>
      <c r="G66" s="1830"/>
      <c r="H66" s="1830"/>
      <c r="I66" s="1830"/>
      <c r="J66" s="1830"/>
      <c r="K66" s="1830"/>
      <c r="L66" s="1830"/>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2" t="s">
        <v>946</v>
      </c>
      <c r="C68" s="1812"/>
      <c r="D68" s="472" t="s">
        <v>1982</v>
      </c>
      <c r="E68" s="892" t="s">
        <v>1983</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32" t="s">
        <v>946</v>
      </c>
      <c r="F69" s="1812"/>
      <c r="G69" s="500"/>
      <c r="H69" s="483" t="s">
        <v>1984</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810" t="s">
        <v>299</v>
      </c>
      <c r="F70" s="1811"/>
      <c r="G70" s="500"/>
      <c r="H70" s="483" t="s">
        <v>1985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810" t="s">
        <v>299</v>
      </c>
      <c r="F71" s="1811"/>
      <c r="G71" s="500"/>
      <c r="H71" s="483" t="s">
        <v>1986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32" t="s">
        <v>299</v>
      </c>
      <c r="F73" s="1812"/>
      <c r="G73" s="829"/>
      <c r="H73" s="897" t="s">
        <v>1987</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2" t="s">
        <v>299</v>
      </c>
      <c r="C75" s="1812"/>
      <c r="D75" s="472" t="s">
        <v>1988</v>
      </c>
      <c r="E75" s="1813" t="s">
        <v>1989</v>
      </c>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5"/>
      <c r="AK75" s="468"/>
      <c r="AL75" s="465"/>
      <c r="AM75" s="465"/>
      <c r="AN75" s="460"/>
    </row>
    <row r="76" spans="1:42" s="461" customFormat="1" ht="12.75" customHeight="1">
      <c r="A76" s="463"/>
      <c r="B76" s="465"/>
      <c r="C76" s="465"/>
      <c r="D76" s="475"/>
      <c r="E76" s="1816"/>
      <c r="F76" s="1817"/>
      <c r="G76" s="1817"/>
      <c r="H76" s="1817"/>
      <c r="I76" s="1817"/>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1990</v>
      </c>
      <c r="AK78" s="1842">
        <f>IF(AK56&gt;0,0,AO65)</f>
        <v>10</v>
      </c>
      <c r="AL78" s="1843"/>
      <c r="AM78" s="184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1991</v>
      </c>
      <c r="B81" s="464" t="s">
        <v>1992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2" t="s">
        <v>1955</v>
      </c>
      <c r="AF81" s="1822"/>
      <c r="AG81" s="1822"/>
      <c r="AH81" s="1822"/>
      <c r="AI81" s="1822"/>
      <c r="AJ81" s="1822"/>
      <c r="AK81" s="1822"/>
      <c r="AL81" s="465"/>
      <c r="AM81" s="465"/>
      <c r="AN81" s="460"/>
    </row>
    <row r="82" spans="1:43" s="461" customFormat="1" ht="12.75" customHeight="1">
      <c r="A82" s="463"/>
      <c r="B82" s="464" t="s">
        <v>1993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2" t="s">
        <v>299</v>
      </c>
      <c r="C84" s="1812"/>
      <c r="D84" s="472" t="s">
        <v>1979</v>
      </c>
      <c r="E84" s="1823" t="s">
        <v>1994</v>
      </c>
      <c r="F84" s="1824"/>
      <c r="G84" s="1824"/>
      <c r="H84" s="1824"/>
      <c r="I84" s="1824"/>
      <c r="J84" s="1824"/>
      <c r="K84" s="1824"/>
      <c r="L84" s="1824"/>
      <c r="M84" s="1824"/>
      <c r="N84" s="1824"/>
      <c r="O84" s="1824"/>
      <c r="P84" s="1824"/>
      <c r="Q84" s="1824"/>
      <c r="R84" s="1824"/>
      <c r="S84" s="1824"/>
      <c r="T84" s="1824"/>
      <c r="U84" s="1824"/>
      <c r="V84" s="1824"/>
      <c r="W84" s="1824"/>
      <c r="X84" s="1824"/>
      <c r="Y84" s="1824"/>
      <c r="Z84" s="1824"/>
      <c r="AA84" s="1824"/>
      <c r="AB84" s="1824"/>
      <c r="AC84" s="1824"/>
      <c r="AD84" s="1824"/>
      <c r="AE84" s="1824"/>
      <c r="AF84" s="1824"/>
      <c r="AG84" s="1824"/>
      <c r="AH84" s="1824"/>
      <c r="AI84" s="1824"/>
      <c r="AJ84" s="1825"/>
      <c r="AK84" s="468"/>
      <c r="AL84" s="465"/>
      <c r="AM84" s="465"/>
      <c r="AN84" s="460"/>
    </row>
    <row r="85" spans="1:43" s="461" customFormat="1" ht="12.75" customHeight="1">
      <c r="A85" s="463"/>
      <c r="B85" s="464"/>
      <c r="C85" s="464"/>
      <c r="D85" s="464"/>
      <c r="E85" s="1826"/>
      <c r="F85" s="1827"/>
      <c r="G85" s="1827"/>
      <c r="H85" s="1827"/>
      <c r="I85" s="1827"/>
      <c r="J85" s="1827"/>
      <c r="K85" s="1827"/>
      <c r="L85" s="1827"/>
      <c r="M85" s="1827"/>
      <c r="N85" s="1827"/>
      <c r="O85" s="1827"/>
      <c r="P85" s="1827"/>
      <c r="Q85" s="1827"/>
      <c r="R85" s="1827"/>
      <c r="S85" s="1827"/>
      <c r="T85" s="1827"/>
      <c r="U85" s="1827"/>
      <c r="V85" s="1827"/>
      <c r="W85" s="1827"/>
      <c r="X85" s="1827"/>
      <c r="Y85" s="1827"/>
      <c r="Z85" s="1827"/>
      <c r="AA85" s="1827"/>
      <c r="AB85" s="1827"/>
      <c r="AC85" s="1827"/>
      <c r="AD85" s="1827"/>
      <c r="AE85" s="1827"/>
      <c r="AF85" s="1827"/>
      <c r="AG85" s="1827"/>
      <c r="AH85" s="1827"/>
      <c r="AI85" s="1827"/>
      <c r="AJ85" s="182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6">
        <f>Application!AC739</f>
        <v>0.39999999999999997</v>
      </c>
      <c r="F87" s="1807"/>
      <c r="G87" s="1807"/>
      <c r="H87" s="1807"/>
      <c r="I87" s="502"/>
      <c r="J87" s="505" t="s">
        <v>1995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8">
        <f>0.6-ROUNDUP(E87,2)</f>
        <v>0.19999999999999996</v>
      </c>
      <c r="F88" s="1809"/>
      <c r="G88" s="1809"/>
      <c r="H88" s="1809"/>
      <c r="I88" s="502"/>
      <c r="J88" s="505" t="s">
        <v>1996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6">
        <f>IF(E88*200&gt;20,20,E88*200)</f>
        <v>20</v>
      </c>
      <c r="F89" s="1837"/>
      <c r="G89" s="1837"/>
      <c r="H89" s="1837"/>
      <c r="I89" s="502"/>
      <c r="J89" s="505" t="s">
        <v>1997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1961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2" t="s">
        <v>946</v>
      </c>
      <c r="C92" s="1812"/>
      <c r="D92" s="472" t="s">
        <v>1982</v>
      </c>
      <c r="E92" s="1823" t="s">
        <v>1998</v>
      </c>
      <c r="F92" s="1824"/>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5"/>
      <c r="AK92" s="468"/>
      <c r="AL92" s="465"/>
      <c r="AM92" s="465"/>
      <c r="AN92" s="460"/>
    </row>
    <row r="93" spans="1:43" s="461" customFormat="1" ht="12.75" customHeight="1">
      <c r="A93" s="463"/>
      <c r="B93" s="464"/>
      <c r="C93" s="464"/>
      <c r="D93" s="464"/>
      <c r="E93" s="1826"/>
      <c r="F93" s="1827"/>
      <c r="G93" s="1827"/>
      <c r="H93" s="1827"/>
      <c r="I93" s="1827"/>
      <c r="J93" s="1827"/>
      <c r="K93" s="1827"/>
      <c r="L93" s="1827"/>
      <c r="M93" s="1827"/>
      <c r="N93" s="1827"/>
      <c r="O93" s="1827"/>
      <c r="P93" s="1827"/>
      <c r="Q93" s="1827"/>
      <c r="R93" s="1827"/>
      <c r="S93" s="1827"/>
      <c r="T93" s="1827"/>
      <c r="U93" s="1827"/>
      <c r="V93" s="1827"/>
      <c r="W93" s="1827"/>
      <c r="X93" s="1827"/>
      <c r="Y93" s="1827"/>
      <c r="Z93" s="1827"/>
      <c r="AA93" s="1827"/>
      <c r="AB93" s="1827"/>
      <c r="AC93" s="1827"/>
      <c r="AD93" s="1827"/>
      <c r="AE93" s="1827"/>
      <c r="AF93" s="1827"/>
      <c r="AG93" s="1827"/>
      <c r="AH93" s="1827"/>
      <c r="AI93" s="1827"/>
      <c r="AJ93" s="1828"/>
      <c r="AK93" s="468"/>
      <c r="AL93" s="465"/>
      <c r="AM93" s="465"/>
      <c r="AN93" s="460"/>
    </row>
    <row r="94" spans="1:43" s="461" customFormat="1" ht="12.75" customHeight="1">
      <c r="A94" s="463"/>
      <c r="B94" s="464"/>
      <c r="C94" s="464"/>
      <c r="D94" s="464"/>
      <c r="E94" s="1826"/>
      <c r="F94" s="1827"/>
      <c r="G94" s="1827"/>
      <c r="H94" s="1827"/>
      <c r="I94" s="1827"/>
      <c r="J94" s="1827"/>
      <c r="K94" s="1827"/>
      <c r="L94" s="1827"/>
      <c r="M94" s="1827"/>
      <c r="N94" s="1827"/>
      <c r="O94" s="1827"/>
      <c r="P94" s="1827"/>
      <c r="Q94" s="1827"/>
      <c r="R94" s="1827"/>
      <c r="S94" s="1827"/>
      <c r="T94" s="1827"/>
      <c r="U94" s="1827"/>
      <c r="V94" s="1827"/>
      <c r="W94" s="1827"/>
      <c r="X94" s="1827"/>
      <c r="Y94" s="1827"/>
      <c r="Z94" s="1827"/>
      <c r="AA94" s="1827"/>
      <c r="AB94" s="1827"/>
      <c r="AC94" s="1827"/>
      <c r="AD94" s="1827"/>
      <c r="AE94" s="1827"/>
      <c r="AF94" s="1827"/>
      <c r="AG94" s="1827"/>
      <c r="AH94" s="1827"/>
      <c r="AI94" s="1827"/>
      <c r="AJ94" s="1828"/>
      <c r="AK94" s="468"/>
      <c r="AL94" s="465"/>
      <c r="AM94" s="465"/>
      <c r="AN94" s="460"/>
    </row>
    <row r="95" spans="1:43" s="461" customFormat="1" ht="12.75" customHeight="1">
      <c r="A95" s="463"/>
      <c r="B95" s="464"/>
      <c r="C95" s="464"/>
      <c r="D95" s="464"/>
      <c r="E95" s="1826"/>
      <c r="F95" s="1827"/>
      <c r="G95" s="1827"/>
      <c r="H95" s="1827"/>
      <c r="I95" s="1827"/>
      <c r="J95" s="1827"/>
      <c r="K95" s="1827"/>
      <c r="L95" s="1827"/>
      <c r="M95" s="1827"/>
      <c r="N95" s="1827"/>
      <c r="O95" s="1827"/>
      <c r="P95" s="1827"/>
      <c r="Q95" s="1827"/>
      <c r="R95" s="1827"/>
      <c r="S95" s="1827"/>
      <c r="T95" s="1827"/>
      <c r="U95" s="1827"/>
      <c r="V95" s="1827"/>
      <c r="W95" s="1827"/>
      <c r="X95" s="1827"/>
      <c r="Y95" s="1827"/>
      <c r="Z95" s="1827"/>
      <c r="AA95" s="1827"/>
      <c r="AB95" s="1827"/>
      <c r="AC95" s="1827"/>
      <c r="AD95" s="1827"/>
      <c r="AE95" s="1827"/>
      <c r="AF95" s="1827"/>
      <c r="AG95" s="1827"/>
      <c r="AH95" s="1827"/>
      <c r="AI95" s="1827"/>
      <c r="AJ95" s="182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6">
        <f>Application!AC739</f>
        <v>0.39999999999999997</v>
      </c>
      <c r="F97" s="1807"/>
      <c r="G97" s="1807"/>
      <c r="H97" s="1807"/>
      <c r="I97" s="502"/>
      <c r="J97" s="505" t="s">
        <v>1995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6">
        <f ca="1">SUMIF(Application!AC714:AG738,0.2,Application!G714:J738)/Application!G739+SUMIF(Application!AC714:AG738,0.25,Application!G714:J738)/Application!G739+SUMIF(Application!AC714:AG738,0.3,Application!G714:J738)/Application!G739</f>
        <v>0.5</v>
      </c>
      <c r="F98" s="1807"/>
      <c r="G98" s="1807"/>
      <c r="H98" s="1807"/>
      <c r="I98" s="502"/>
      <c r="J98" s="505" t="s">
        <v>1999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806">
        <f ca="1">SUMIF(Application!AC714:AG738,0.35,Application!G714:J738)/Application!G739+SUMIF(Application!AC714:AG738,0.4,Application!G714:J738)/Application!G739+SUMIF(Application!AC714:AG738,0.45,Application!G714:J738)/Application!G739+SUMIF(Application!AC714:AG738,0.5,Application!G714:J738)/Application!G739</f>
        <v>0.5</v>
      </c>
      <c r="F99" s="1807"/>
      <c r="G99" s="1807"/>
      <c r="H99" s="1807"/>
      <c r="I99" s="502"/>
      <c r="J99" s="505" t="s">
        <v>2000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61">
        <f ca="1">IF(AND(E97&lt;=0.6,E98&gt;=0.1,OR(E99&gt;=0.1,E98&gt;=0.2)),20,0)</f>
        <v>20</v>
      </c>
      <c r="F100" s="1862"/>
      <c r="G100" s="1862"/>
      <c r="H100" s="1862"/>
      <c r="I100" s="478"/>
      <c r="J100" s="512" t="s">
        <v>1997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1961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2001</v>
      </c>
      <c r="AK103" s="1842">
        <f ca="1">MAX(AP89,AP100)</f>
        <v>20</v>
      </c>
      <c r="AL103" s="1843"/>
      <c r="AM103" s="184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2002</v>
      </c>
      <c r="B106" s="464" t="s">
        <v>2003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2" t="s">
        <v>1977</v>
      </c>
      <c r="AF106" s="1822"/>
      <c r="AG106" s="1822"/>
      <c r="AH106" s="1822"/>
      <c r="AI106" s="1822"/>
      <c r="AJ106" s="1822"/>
      <c r="AK106" s="1822"/>
      <c r="AL106" s="465"/>
      <c r="AM106" s="465"/>
      <c r="AN106" s="460"/>
      <c r="AO106" s="461" t="str">
        <f>Application!B714</f>
        <v>SRO/Studio</v>
      </c>
      <c r="AQ106" s="461">
        <f>Application!O714</f>
        <v>843</v>
      </c>
    </row>
    <row r="107" spans="1:49" s="461" customFormat="1" ht="12.75" customHeight="1">
      <c r="A107" s="465"/>
      <c r="B107" s="464" t="s">
        <v>1993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899</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1069</v>
      </c>
    </row>
    <row r="109" spans="1:49" s="461" customFormat="1" ht="12.75" customHeight="1">
      <c r="A109" s="465"/>
      <c r="B109" s="1812" t="s">
        <v>946</v>
      </c>
      <c r="C109" s="1812"/>
      <c r="D109" s="472" t="s">
        <v>1979</v>
      </c>
      <c r="E109" s="1823" t="s">
        <v>2004</v>
      </c>
      <c r="F109" s="1824"/>
      <c r="G109" s="1824"/>
      <c r="H109" s="1824"/>
      <c r="I109" s="1824"/>
      <c r="J109" s="1824"/>
      <c r="K109" s="1824"/>
      <c r="L109" s="1824"/>
      <c r="M109" s="1824"/>
      <c r="N109" s="1824"/>
      <c r="O109" s="1824"/>
      <c r="P109" s="1824"/>
      <c r="Q109" s="1824"/>
      <c r="R109" s="1824"/>
      <c r="S109" s="1824"/>
      <c r="T109" s="1824"/>
      <c r="U109" s="1824"/>
      <c r="V109" s="1824"/>
      <c r="W109" s="1824"/>
      <c r="X109" s="1824"/>
      <c r="Y109" s="1824"/>
      <c r="Z109" s="1824"/>
      <c r="AA109" s="1824"/>
      <c r="AB109" s="1824"/>
      <c r="AC109" s="1824"/>
      <c r="AD109" s="1824"/>
      <c r="AE109" s="1824"/>
      <c r="AF109" s="1824"/>
      <c r="AG109" s="1824"/>
      <c r="AH109" s="1824"/>
      <c r="AI109" s="1824"/>
      <c r="AJ109" s="1825"/>
      <c r="AK109" s="465"/>
      <c r="AL109" s="465"/>
      <c r="AM109" s="465"/>
      <c r="AN109" s="460"/>
      <c r="AO109" s="461" t="str">
        <f>Application!B717</f>
        <v>3 Bedrooms</v>
      </c>
      <c r="AQ109" s="461">
        <f>Application!O717</f>
        <v>1229</v>
      </c>
      <c r="AU109" s="461" t="s">
        <v>2005</v>
      </c>
      <c r="AV109" s="520" t="s">
        <v>2006</v>
      </c>
      <c r="AW109" s="461" t="s">
        <v>2007</v>
      </c>
    </row>
    <row r="110" spans="1:49" s="461" customFormat="1" ht="12.75" customHeight="1">
      <c r="A110" s="465"/>
      <c r="B110" s="464"/>
      <c r="C110" s="464"/>
      <c r="D110" s="464"/>
      <c r="E110" s="1826"/>
      <c r="F110" s="1827"/>
      <c r="G110" s="1827"/>
      <c r="H110" s="1827"/>
      <c r="I110" s="1827"/>
      <c r="J110" s="1827"/>
      <c r="K110" s="1827"/>
      <c r="L110" s="1827"/>
      <c r="M110" s="1827"/>
      <c r="N110" s="1827"/>
      <c r="O110" s="1827"/>
      <c r="P110" s="1827"/>
      <c r="Q110" s="1827"/>
      <c r="R110" s="1827"/>
      <c r="S110" s="1827"/>
      <c r="T110" s="1827"/>
      <c r="U110" s="1827"/>
      <c r="V110" s="1827"/>
      <c r="W110" s="1827"/>
      <c r="X110" s="1827"/>
      <c r="Y110" s="1827"/>
      <c r="Z110" s="1827"/>
      <c r="AA110" s="1827"/>
      <c r="AB110" s="1827"/>
      <c r="AC110" s="1827"/>
      <c r="AD110" s="1827"/>
      <c r="AE110" s="1827"/>
      <c r="AF110" s="1827"/>
      <c r="AG110" s="1827"/>
      <c r="AH110" s="1827"/>
      <c r="AI110" s="1827"/>
      <c r="AJ110" s="1828"/>
      <c r="AK110" s="465"/>
      <c r="AL110" s="465"/>
      <c r="AM110" s="465"/>
      <c r="AN110" s="460"/>
      <c r="AO110" s="461" t="str">
        <f>Application!B718</f>
        <v>SRO/Studio</v>
      </c>
      <c r="AQ110" s="461">
        <f>Application!O718</f>
        <v>1433</v>
      </c>
      <c r="AU110" s="782" t="str">
        <f>E118</f>
        <v>Studio/SRO</v>
      </c>
      <c r="AV110" s="461">
        <f t="array" ref="AV110">SUM(IF(Application!B714:F738="SRO/Studio",Application!G714:J738))</f>
        <v>24</v>
      </c>
      <c r="AW110" s="932">
        <f>AV110/AV116</f>
        <v>0.2857142857142857</v>
      </c>
    </row>
    <row r="111" spans="1:49" s="461" customFormat="1" ht="12.75" customHeight="1">
      <c r="A111" s="465"/>
      <c r="B111" s="464"/>
      <c r="C111" s="464"/>
      <c r="D111" s="464"/>
      <c r="E111" s="1826"/>
      <c r="F111" s="1827"/>
      <c r="G111" s="1827"/>
      <c r="H111" s="1827"/>
      <c r="I111" s="1827"/>
      <c r="J111" s="1827"/>
      <c r="K111" s="1827"/>
      <c r="L111" s="1827"/>
      <c r="M111" s="1827"/>
      <c r="N111" s="1827"/>
      <c r="O111" s="1827"/>
      <c r="P111" s="1827"/>
      <c r="Q111" s="1827"/>
      <c r="R111" s="1827"/>
      <c r="S111" s="1827"/>
      <c r="T111" s="1827"/>
      <c r="U111" s="1827"/>
      <c r="V111" s="1827"/>
      <c r="W111" s="1827"/>
      <c r="X111" s="1827"/>
      <c r="Y111" s="1827"/>
      <c r="Z111" s="1827"/>
      <c r="AA111" s="1827"/>
      <c r="AB111" s="1827"/>
      <c r="AC111" s="1827"/>
      <c r="AD111" s="1827"/>
      <c r="AE111" s="1827"/>
      <c r="AF111" s="1827"/>
      <c r="AG111" s="1827"/>
      <c r="AH111" s="1827"/>
      <c r="AI111" s="1827"/>
      <c r="AJ111" s="1828"/>
      <c r="AK111" s="465"/>
      <c r="AL111" s="465"/>
      <c r="AM111" s="465"/>
      <c r="AN111" s="460"/>
      <c r="AO111" s="461" t="str">
        <f>Application!B719</f>
        <v>1 Bedroom</v>
      </c>
      <c r="AQ111" s="461">
        <f>Application!O719</f>
        <v>1531</v>
      </c>
      <c r="AU111" s="782" t="str">
        <f>J118</f>
        <v>1-bedroom</v>
      </c>
      <c r="AV111" s="461">
        <f t="array" ref="AV111">SUM(IF(Application!B714:F738="1 Bedroom",Application!G714:J738))</f>
        <v>18</v>
      </c>
      <c r="AW111" s="932">
        <f>AV111/AV116</f>
        <v>0.21428571428571427</v>
      </c>
    </row>
    <row r="112" spans="1:49" s="461" customFormat="1" ht="12.75" customHeight="1">
      <c r="A112" s="465"/>
      <c r="B112" s="464"/>
      <c r="C112" s="464"/>
      <c r="D112" s="464"/>
      <c r="E112" s="1826"/>
      <c r="F112" s="1827"/>
      <c r="G112" s="1827"/>
      <c r="H112" s="1827"/>
      <c r="I112" s="1827"/>
      <c r="J112" s="1827"/>
      <c r="K112" s="1827"/>
      <c r="L112" s="1827"/>
      <c r="M112" s="1827"/>
      <c r="N112" s="1827"/>
      <c r="O112" s="1827"/>
      <c r="P112" s="1827"/>
      <c r="Q112" s="1827"/>
      <c r="R112" s="1827"/>
      <c r="S112" s="1827"/>
      <c r="T112" s="1827"/>
      <c r="U112" s="1827"/>
      <c r="V112" s="1827"/>
      <c r="W112" s="1827"/>
      <c r="X112" s="1827"/>
      <c r="Y112" s="1827"/>
      <c r="Z112" s="1827"/>
      <c r="AA112" s="1827"/>
      <c r="AB112" s="1827"/>
      <c r="AC112" s="1827"/>
      <c r="AD112" s="1827"/>
      <c r="AE112" s="1827"/>
      <c r="AF112" s="1827"/>
      <c r="AG112" s="1827"/>
      <c r="AH112" s="1827"/>
      <c r="AI112" s="1827"/>
      <c r="AJ112" s="1828"/>
      <c r="AK112" s="465"/>
      <c r="AL112" s="465"/>
      <c r="AM112" s="465"/>
      <c r="AN112" s="460"/>
      <c r="AO112" s="461" t="str">
        <f>Application!B720</f>
        <v>2 Bedrooms</v>
      </c>
      <c r="AQ112" s="461">
        <f>Application!O720</f>
        <v>1828</v>
      </c>
      <c r="AU112" s="782" t="str">
        <f>O118</f>
        <v>2-bedroom</v>
      </c>
      <c r="AV112" s="461">
        <f t="array" ref="AV112">SUM(IF(Application!B714:F738="2 Bedrooms",Application!G714:J738))</f>
        <v>21</v>
      </c>
      <c r="AW112" s="932">
        <f>AV112/AV116</f>
        <v>0.25</v>
      </c>
    </row>
    <row r="113" spans="1:52" s="461" customFormat="1" ht="12.75" customHeight="1">
      <c r="A113" s="465"/>
      <c r="B113" s="464"/>
      <c r="C113" s="464"/>
      <c r="D113" s="464"/>
      <c r="E113" s="1826"/>
      <c r="F113" s="1827"/>
      <c r="G113" s="1827"/>
      <c r="H113" s="1827"/>
      <c r="I113" s="1827"/>
      <c r="J113" s="1827"/>
      <c r="K113" s="1827"/>
      <c r="L113" s="1827"/>
      <c r="M113" s="1827"/>
      <c r="N113" s="1827"/>
      <c r="O113" s="1827"/>
      <c r="P113" s="1827"/>
      <c r="Q113" s="1827"/>
      <c r="R113" s="1827"/>
      <c r="S113" s="1827"/>
      <c r="T113" s="1827"/>
      <c r="U113" s="1827"/>
      <c r="V113" s="1827"/>
      <c r="W113" s="1827"/>
      <c r="X113" s="1827"/>
      <c r="Y113" s="1827"/>
      <c r="Z113" s="1827"/>
      <c r="AA113" s="1827"/>
      <c r="AB113" s="1827"/>
      <c r="AC113" s="1827"/>
      <c r="AD113" s="1827"/>
      <c r="AE113" s="1827"/>
      <c r="AF113" s="1827"/>
      <c r="AG113" s="1827"/>
      <c r="AH113" s="1827"/>
      <c r="AI113" s="1827"/>
      <c r="AJ113" s="1828"/>
      <c r="AK113" s="465"/>
      <c r="AL113" s="465"/>
      <c r="AM113" s="465"/>
      <c r="AN113" s="460"/>
      <c r="AO113" s="461" t="str">
        <f>Application!B721</f>
        <v>3 Bedrooms</v>
      </c>
      <c r="AQ113" s="461">
        <f>Application!O721</f>
        <v>2105</v>
      </c>
      <c r="AU113" s="782" t="str">
        <f>T118</f>
        <v>3-bedroom</v>
      </c>
      <c r="AV113" s="461">
        <f t="array" ref="AV113">SUM(IF(Application!B714:F738="3 Bedrooms",Application!G714:J738))</f>
        <v>21</v>
      </c>
      <c r="AW113" s="932">
        <f>AV113/AV116</f>
        <v>0.25</v>
      </c>
    </row>
    <row r="114" spans="1:52" s="461" customFormat="1" ht="12.75" customHeight="1">
      <c r="A114" s="465"/>
      <c r="B114" s="464"/>
      <c r="C114" s="464"/>
      <c r="D114" s="464"/>
      <c r="E114" s="1826"/>
      <c r="F114" s="1827"/>
      <c r="G114" s="1827"/>
      <c r="H114" s="1827"/>
      <c r="I114" s="1827"/>
      <c r="J114" s="1827"/>
      <c r="K114" s="1827"/>
      <c r="L114" s="1827"/>
      <c r="M114" s="1827"/>
      <c r="N114" s="1827"/>
      <c r="O114" s="1827"/>
      <c r="P114" s="1827"/>
      <c r="Q114" s="1827"/>
      <c r="R114" s="1827"/>
      <c r="S114" s="1827"/>
      <c r="T114" s="1827"/>
      <c r="U114" s="1827"/>
      <c r="V114" s="1827"/>
      <c r="W114" s="1827"/>
      <c r="X114" s="1827"/>
      <c r="Y114" s="1827"/>
      <c r="Z114" s="1827"/>
      <c r="AA114" s="1827"/>
      <c r="AB114" s="1827"/>
      <c r="AC114" s="1827"/>
      <c r="AD114" s="1827"/>
      <c r="AE114" s="1827"/>
      <c r="AF114" s="1827"/>
      <c r="AG114" s="1827"/>
      <c r="AH114" s="1827"/>
      <c r="AI114" s="1827"/>
      <c r="AJ114" s="1828"/>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826"/>
      <c r="F115" s="1827"/>
      <c r="G115" s="1827"/>
      <c r="H115" s="1827"/>
      <c r="I115" s="1827"/>
      <c r="J115" s="1827"/>
      <c r="K115" s="1827"/>
      <c r="L115" s="1827"/>
      <c r="M115" s="1827"/>
      <c r="N115" s="1827"/>
      <c r="O115" s="1827"/>
      <c r="P115" s="1827"/>
      <c r="Q115" s="1827"/>
      <c r="R115" s="1827"/>
      <c r="S115" s="1827"/>
      <c r="T115" s="1827"/>
      <c r="U115" s="1827"/>
      <c r="V115" s="1827"/>
      <c r="W115" s="1827"/>
      <c r="X115" s="1827"/>
      <c r="Y115" s="1827"/>
      <c r="Z115" s="1827"/>
      <c r="AA115" s="1827"/>
      <c r="AB115" s="1827"/>
      <c r="AC115" s="1827"/>
      <c r="AD115" s="1827"/>
      <c r="AE115" s="1827"/>
      <c r="AF115" s="1827"/>
      <c r="AG115" s="1827"/>
      <c r="AH115" s="1827"/>
      <c r="AI115" s="1827"/>
      <c r="AJ115" s="1828"/>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26"/>
      <c r="F116" s="1827"/>
      <c r="G116" s="1827"/>
      <c r="H116" s="1827"/>
      <c r="I116" s="1827"/>
      <c r="J116" s="1827"/>
      <c r="K116" s="1827"/>
      <c r="L116" s="1827"/>
      <c r="M116" s="1827"/>
      <c r="N116" s="1827"/>
      <c r="O116" s="1827"/>
      <c r="P116" s="1827"/>
      <c r="Q116" s="1827"/>
      <c r="R116" s="1827"/>
      <c r="S116" s="1827"/>
      <c r="T116" s="1827"/>
      <c r="U116" s="1827"/>
      <c r="V116" s="1827"/>
      <c r="W116" s="1827"/>
      <c r="X116" s="1827"/>
      <c r="Y116" s="1827"/>
      <c r="Z116" s="1827"/>
      <c r="AA116" s="1827"/>
      <c r="AB116" s="1827"/>
      <c r="AC116" s="1827"/>
      <c r="AD116" s="1827"/>
      <c r="AE116" s="1827"/>
      <c r="AF116" s="1827"/>
      <c r="AG116" s="1827"/>
      <c r="AH116" s="1827"/>
      <c r="AI116" s="1827"/>
      <c r="AJ116" s="1828"/>
      <c r="AK116" s="465"/>
      <c r="AL116" s="465"/>
      <c r="AM116" s="465"/>
      <c r="AN116" s="460"/>
      <c r="AO116" s="461">
        <f>Application!B724</f>
        <v>0</v>
      </c>
      <c r="AQ116" s="461">
        <f>Application!O724</f>
        <v>0</v>
      </c>
      <c r="AV116" s="461">
        <f>SUM(AV110:AV115)</f>
        <v>84</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806" t="s">
        <v>2008</v>
      </c>
      <c r="F118" s="1807"/>
      <c r="G118" s="1807"/>
      <c r="H118" s="1807"/>
      <c r="I118" s="502"/>
      <c r="J118" s="1807" t="s">
        <v>2009</v>
      </c>
      <c r="K118" s="1807"/>
      <c r="L118" s="1807"/>
      <c r="M118" s="1807"/>
      <c r="N118" s="502"/>
      <c r="O118" s="1807" t="s">
        <v>2010</v>
      </c>
      <c r="P118" s="1807"/>
      <c r="Q118" s="1807"/>
      <c r="R118" s="1807"/>
      <c r="S118" s="502"/>
      <c r="T118" s="1807" t="s">
        <v>2011</v>
      </c>
      <c r="U118" s="1807"/>
      <c r="V118" s="1807"/>
      <c r="W118" s="1807"/>
      <c r="X118" s="502"/>
      <c r="Y118" s="1807" t="s">
        <v>2012</v>
      </c>
      <c r="Z118" s="1807"/>
      <c r="AA118" s="1807"/>
      <c r="AB118" s="1807"/>
      <c r="AC118" s="502"/>
      <c r="AD118" s="1807" t="s">
        <v>2013</v>
      </c>
      <c r="AE118" s="1807"/>
      <c r="AF118" s="1807"/>
      <c r="AG118" s="1807"/>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2014</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63">
        <v>2595</v>
      </c>
      <c r="F121" s="1864"/>
      <c r="G121" s="1864"/>
      <c r="H121" s="1864"/>
      <c r="I121" s="789"/>
      <c r="J121" s="1864">
        <v>2948</v>
      </c>
      <c r="K121" s="1864"/>
      <c r="L121" s="1864"/>
      <c r="M121" s="1864"/>
      <c r="N121" s="789"/>
      <c r="O121" s="1864">
        <v>3725</v>
      </c>
      <c r="P121" s="1864"/>
      <c r="Q121" s="1864"/>
      <c r="R121" s="1864"/>
      <c r="S121" s="789"/>
      <c r="T121" s="1864">
        <v>5122</v>
      </c>
      <c r="U121" s="1864"/>
      <c r="V121" s="1864"/>
      <c r="W121" s="1864"/>
      <c r="X121" s="789"/>
      <c r="Y121" s="1864"/>
      <c r="Z121" s="1864"/>
      <c r="AA121" s="1864"/>
      <c r="AB121" s="1864"/>
      <c r="AC121" s="789"/>
      <c r="AD121" s="1864"/>
      <c r="AE121" s="1864"/>
      <c r="AF121" s="1864"/>
      <c r="AG121" s="1864"/>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2015</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56">
        <f>Application!DX649</f>
        <v>916.75</v>
      </c>
      <c r="F124" s="1857"/>
      <c r="G124" s="1857"/>
      <c r="H124" s="1857"/>
      <c r="I124" s="789"/>
      <c r="J124" s="1857">
        <f>Application!EC649</f>
        <v>1179.8888888888889</v>
      </c>
      <c r="K124" s="1857"/>
      <c r="L124" s="1857"/>
      <c r="M124" s="1857"/>
      <c r="N124" s="789"/>
      <c r="O124" s="1857">
        <f>Application!EH649</f>
        <v>1502.7142857142856</v>
      </c>
      <c r="P124" s="1857"/>
      <c r="Q124" s="1857"/>
      <c r="R124" s="1857"/>
      <c r="S124" s="793"/>
      <c r="T124" s="1857">
        <f>Application!EM649</f>
        <v>2021.5714285714287</v>
      </c>
      <c r="U124" s="1857"/>
      <c r="V124" s="1857"/>
      <c r="W124" s="1857"/>
      <c r="X124" s="793"/>
      <c r="Y124" s="1857">
        <f>Application!ER649</f>
        <v>0</v>
      </c>
      <c r="Z124" s="1857"/>
      <c r="AA124" s="1857"/>
      <c r="AB124" s="1857"/>
      <c r="AC124" s="793"/>
      <c r="AD124" s="1857">
        <f>Application!EW649</f>
        <v>0</v>
      </c>
      <c r="AE124" s="1857"/>
      <c r="AF124" s="1857"/>
      <c r="AG124" s="1857"/>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2016</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49">
        <f>(E121-E124)/E121</f>
        <v>0.64672447013487477</v>
      </c>
      <c r="F127" s="1809"/>
      <c r="G127" s="1809"/>
      <c r="H127" s="2050"/>
      <c r="I127" s="502"/>
      <c r="J127" s="2049">
        <f>(J121-J124)/J121</f>
        <v>0.59976631991557361</v>
      </c>
      <c r="K127" s="1809"/>
      <c r="L127" s="1809"/>
      <c r="M127" s="2050"/>
      <c r="N127" s="502"/>
      <c r="O127" s="2049">
        <f>(O121-O124)/O121</f>
        <v>0.59658676893576235</v>
      </c>
      <c r="P127" s="1809"/>
      <c r="Q127" s="1809"/>
      <c r="R127" s="2050"/>
      <c r="S127" s="502"/>
      <c r="T127" s="2049">
        <f>(T121-T124)/T121</f>
        <v>0.60531600379316119</v>
      </c>
      <c r="U127" s="1809"/>
      <c r="V127" s="1809"/>
      <c r="W127" s="2050"/>
      <c r="X127" s="502"/>
      <c r="Y127" s="2049" t="e">
        <f>(Y121-Y124)/Y121</f>
        <v>#DIV/0!</v>
      </c>
      <c r="Z127" s="1809"/>
      <c r="AA127" s="1809"/>
      <c r="AB127" s="2050"/>
      <c r="AC127" s="502"/>
      <c r="AD127" s="2049" t="e">
        <f>(AD121-AD124)/AD121</f>
        <v>#DIV/0!</v>
      </c>
      <c r="AE127" s="1809"/>
      <c r="AF127" s="1809"/>
      <c r="AG127" s="2050"/>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2017</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58">
        <f>IF(((E127-0.1)*AW110)&gt;0,((E127-0.1)*AW110),0)</f>
        <v>0.15620699146710706</v>
      </c>
      <c r="F130" s="1859"/>
      <c r="G130" s="1859"/>
      <c r="H130" s="1860"/>
      <c r="I130" s="502"/>
      <c r="J130" s="1858">
        <f>IF(((J127-0.1)*AW111)&gt;0,((J127-0.1)*AW111),0)</f>
        <v>0.10709278283905149</v>
      </c>
      <c r="K130" s="1859"/>
      <c r="L130" s="1859"/>
      <c r="M130" s="1860"/>
      <c r="N130" s="502"/>
      <c r="O130" s="1858">
        <f>IF(((O127-0.1)*AW112)&gt;0,((O127-0.1)*AW112),0)</f>
        <v>0.12414669223394059</v>
      </c>
      <c r="P130" s="1859"/>
      <c r="Q130" s="1859"/>
      <c r="R130" s="1860"/>
      <c r="S130" s="502"/>
      <c r="T130" s="1858">
        <f>IF(((T127-0.1)*AW113)&gt;0,((T127-0.1)*AW113),0)</f>
        <v>0.1263290009482903</v>
      </c>
      <c r="U130" s="1859"/>
      <c r="V130" s="1859"/>
      <c r="W130" s="1860"/>
      <c r="X130" s="502"/>
      <c r="Y130" s="1858" t="e">
        <f>IF(((Y127-0.1)*AW114)&gt;0,((Y127-0.1)*AW114),0)</f>
        <v>#DIV/0!</v>
      </c>
      <c r="Z130" s="1859"/>
      <c r="AA130" s="1859"/>
      <c r="AB130" s="1860"/>
      <c r="AC130" s="502"/>
      <c r="AD130" s="1858" t="e">
        <f>IF(((AD127-0.1)*AW115)&gt;0,((AD127-0.1)*AW115),0)</f>
        <v>#DIV/0!</v>
      </c>
      <c r="AE130" s="1859"/>
      <c r="AF130" s="1859"/>
      <c r="AG130" s="1860"/>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49">
        <f>ROUNDDOWN(SUMIF(E130:AG130,"&gt;0"),2)</f>
        <v>0.51</v>
      </c>
      <c r="F132" s="1809"/>
      <c r="G132" s="1809"/>
      <c r="H132" s="2050"/>
      <c r="I132" s="502"/>
      <c r="J132" s="505" t="s">
        <v>2018</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42">
        <f>IF((E132*100)&gt;10,10,E132*100)</f>
        <v>10</v>
      </c>
      <c r="F133" s="1843"/>
      <c r="G133" s="1843"/>
      <c r="H133" s="1844"/>
      <c r="I133" s="502"/>
      <c r="J133" s="505" t="s">
        <v>1997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2019</v>
      </c>
      <c r="AK137" s="1842">
        <f>E133</f>
        <v>10</v>
      </c>
      <c r="AL137" s="1843"/>
      <c r="AM137" s="184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2020</v>
      </c>
      <c r="AE140" s="1822" t="s">
        <v>1977</v>
      </c>
      <c r="AF140" s="1822"/>
      <c r="AG140" s="1822"/>
      <c r="AH140" s="1822"/>
      <c r="AI140" s="1822"/>
      <c r="AJ140" s="1822"/>
      <c r="AK140" s="1822"/>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2021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4" t="s">
        <v>2022</v>
      </c>
      <c r="AG142" s="1854"/>
      <c r="AH142" s="1854"/>
      <c r="AI142" s="1854"/>
      <c r="AJ142" s="1854"/>
      <c r="AK142" s="1854"/>
      <c r="AL142" s="1854"/>
      <c r="AM142" s="464"/>
      <c r="AN142" s="460"/>
    </row>
    <row r="143" spans="1:52" s="461" customFormat="1" ht="12.75" customHeight="1">
      <c r="A143" s="463"/>
      <c r="B143" s="463" t="s">
        <v>1173</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5" t="s">
        <v>824</v>
      </c>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2024</v>
      </c>
      <c r="AP146" s="415">
        <v>5</v>
      </c>
    </row>
    <row r="147" spans="1:42" s="461" customFormat="1" ht="12.75" customHeight="1">
      <c r="A147" s="463"/>
      <c r="B147" s="1880" t="s">
        <v>2025</v>
      </c>
      <c r="C147" s="1880"/>
      <c r="D147" s="1880"/>
      <c r="E147" s="1880"/>
      <c r="F147" s="1880"/>
      <c r="G147" s="1880"/>
      <c r="H147" s="1880"/>
      <c r="I147" s="1880"/>
      <c r="J147" s="1880"/>
      <c r="K147" s="1880"/>
      <c r="L147" s="1880"/>
      <c r="M147" s="1880"/>
      <c r="N147" s="1880"/>
      <c r="O147" s="1880"/>
      <c r="P147" s="1880"/>
      <c r="Q147" s="1880"/>
      <c r="R147" s="1880"/>
      <c r="S147" s="1880"/>
      <c r="T147" s="1880"/>
      <c r="U147" s="1880"/>
      <c r="V147" s="1880"/>
      <c r="W147" s="1880"/>
      <c r="X147" s="1880"/>
      <c r="Y147" s="1880"/>
      <c r="Z147" s="1880"/>
      <c r="AA147" s="1880"/>
      <c r="AB147" s="1880"/>
      <c r="AC147" s="1880"/>
      <c r="AD147" s="1880"/>
      <c r="AE147" s="1880"/>
      <c r="AF147" s="1880"/>
      <c r="AG147" s="1880"/>
      <c r="AH147" s="1880"/>
      <c r="AI147" s="1880"/>
      <c r="AM147" s="464"/>
      <c r="AN147" s="460"/>
      <c r="AO147" s="402" t="s">
        <v>2025</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2026</v>
      </c>
      <c r="AP148" s="415">
        <v>7</v>
      </c>
    </row>
    <row r="149" spans="1:42" s="461" customFormat="1" ht="12.75" customHeight="1">
      <c r="A149" s="463"/>
      <c r="B149" s="464" t="s">
        <v>2027</v>
      </c>
      <c r="AB149" s="1881" t="s">
        <v>946</v>
      </c>
      <c r="AC149" s="1881"/>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2028</v>
      </c>
      <c r="AP150" s="415"/>
    </row>
    <row r="151" spans="1:42" s="461" customFormat="1" ht="12.75" customHeight="1">
      <c r="A151" s="463"/>
      <c r="B151" s="463" t="s">
        <v>2029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2030</v>
      </c>
      <c r="AP151" s="415">
        <v>5</v>
      </c>
    </row>
    <row r="152" spans="1:42" s="461" customFormat="1" ht="12.75" customHeight="1">
      <c r="A152" s="463"/>
      <c r="B152" s="1880" t="s">
        <v>2031</v>
      </c>
      <c r="C152" s="1880"/>
      <c r="D152" s="1880"/>
      <c r="E152" s="1880"/>
      <c r="F152" s="1880"/>
      <c r="G152" s="1880"/>
      <c r="H152" s="1880"/>
      <c r="I152" s="1880"/>
      <c r="J152" s="1880"/>
      <c r="K152" s="1880"/>
      <c r="L152" s="1880"/>
      <c r="M152" s="1880"/>
      <c r="N152" s="1880"/>
      <c r="O152" s="1880"/>
      <c r="P152" s="1880"/>
      <c r="Q152" s="1880"/>
      <c r="R152" s="1880"/>
      <c r="S152" s="1880"/>
      <c r="T152" s="1880"/>
      <c r="U152" s="1880"/>
      <c r="V152" s="1880"/>
      <c r="W152" s="1880"/>
      <c r="X152" s="1880"/>
      <c r="Y152" s="1880"/>
      <c r="Z152" s="1880"/>
      <c r="AA152" s="1880"/>
      <c r="AB152" s="1880"/>
      <c r="AC152" s="1880"/>
      <c r="AD152" s="1880"/>
      <c r="AE152" s="1880"/>
      <c r="AF152" s="1880"/>
      <c r="AG152" s="1880"/>
      <c r="AH152" s="1880"/>
      <c r="AI152" s="1880"/>
      <c r="AJ152" s="1880"/>
      <c r="AN152" s="460"/>
      <c r="AO152" s="402" t="s">
        <v>2031</v>
      </c>
      <c r="AP152" s="415">
        <v>7</v>
      </c>
    </row>
    <row r="153" spans="1:42" s="461" customFormat="1" ht="12.75" customHeight="1">
      <c r="B153" s="464" t="s">
        <v>2032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2033</v>
      </c>
      <c r="AJ155" s="1883">
        <f>IF($AB$149="N/A",VLOOKUP($B$147,$AO$145:$AP$148,2,FALSE),VLOOKUP($B$152,$AO$150:$AP$153,2,FALSE))</f>
        <v>7</v>
      </c>
      <c r="AK155" s="188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2034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4" t="s">
        <v>2035</v>
      </c>
      <c r="AG157" s="1854"/>
      <c r="AH157" s="1854"/>
      <c r="AI157" s="1854"/>
      <c r="AJ157" s="1854"/>
      <c r="AK157" s="1854"/>
      <c r="AL157" s="1854"/>
      <c r="AM157" s="528"/>
      <c r="AN157" s="523"/>
    </row>
    <row r="158" spans="1:42" s="475" customFormat="1" ht="12.75" customHeight="1">
      <c r="A158" s="461"/>
      <c r="B158" s="464" t="s">
        <v>2036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0" t="s">
        <v>824</v>
      </c>
      <c r="D159" s="1880"/>
      <c r="E159" s="1880"/>
      <c r="F159" s="1880"/>
      <c r="G159" s="1880"/>
      <c r="H159" s="1880"/>
      <c r="I159" s="1880"/>
      <c r="J159" s="1880"/>
      <c r="K159" s="1880"/>
      <c r="L159" s="1880"/>
      <c r="M159" s="1880"/>
      <c r="N159" s="1880"/>
      <c r="O159" s="1880"/>
      <c r="P159" s="1880"/>
      <c r="Q159" s="1880"/>
      <c r="R159" s="1880"/>
      <c r="S159" s="1880"/>
      <c r="T159" s="1880"/>
      <c r="U159" s="1880"/>
      <c r="V159" s="1880"/>
      <c r="W159" s="1880"/>
      <c r="X159" s="1880"/>
      <c r="Y159" s="1880"/>
      <c r="Z159" s="1880"/>
      <c r="AA159" s="1880"/>
      <c r="AB159" s="1880"/>
      <c r="AC159" s="1880"/>
      <c r="AD159" s="1880"/>
      <c r="AE159" s="1880"/>
      <c r="AF159" s="1880"/>
      <c r="AG159" s="1880"/>
      <c r="AH159" s="1880"/>
      <c r="AI159" s="1880"/>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2037</v>
      </c>
      <c r="AP160" s="524">
        <v>2</v>
      </c>
    </row>
    <row r="161" spans="1:73" s="475" customFormat="1" ht="12.75" customHeight="1">
      <c r="A161" s="461"/>
      <c r="B161" s="461"/>
      <c r="C161" s="464" t="s">
        <v>2038</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81" t="s">
        <v>946</v>
      </c>
      <c r="AD161" s="1881"/>
      <c r="AE161" s="461"/>
      <c r="AF161" s="461"/>
      <c r="AG161" s="461"/>
      <c r="AH161" s="461"/>
      <c r="AI161" s="461"/>
      <c r="AJ161" s="461"/>
      <c r="AK161" s="461"/>
      <c r="AL161" s="461"/>
      <c r="AM161" s="528"/>
      <c r="AN161" s="522"/>
      <c r="AO161" s="402" t="s">
        <v>2039</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2040</v>
      </c>
      <c r="AP162" s="524">
        <v>3</v>
      </c>
    </row>
    <row r="163" spans="1:73" s="475" customFormat="1" ht="12.75" customHeight="1">
      <c r="A163" s="461"/>
      <c r="B163" s="461"/>
      <c r="C163" s="1880" t="s">
        <v>2041</v>
      </c>
      <c r="D163" s="1880"/>
      <c r="E163" s="1880"/>
      <c r="F163" s="1880"/>
      <c r="G163" s="1880"/>
      <c r="H163" s="1880"/>
      <c r="I163" s="1880"/>
      <c r="J163" s="1880"/>
      <c r="K163" s="1880"/>
      <c r="L163" s="1880"/>
      <c r="M163" s="1880"/>
      <c r="N163" s="1880"/>
      <c r="O163" s="1880"/>
      <c r="P163" s="1880"/>
      <c r="Q163" s="1880"/>
      <c r="R163" s="1880"/>
      <c r="S163" s="1880"/>
      <c r="T163" s="1880"/>
      <c r="U163" s="1880"/>
      <c r="V163" s="1880"/>
      <c r="W163" s="1880"/>
      <c r="X163" s="1880"/>
      <c r="Y163" s="1880"/>
      <c r="Z163" s="1880"/>
      <c r="AA163" s="1880"/>
      <c r="AB163" s="1880"/>
      <c r="AC163" s="1880"/>
      <c r="AD163" s="1880"/>
      <c r="AE163" s="461"/>
      <c r="AF163" s="461"/>
      <c r="AG163" s="461"/>
      <c r="AH163" s="461"/>
      <c r="AI163" s="461"/>
      <c r="AJ163" s="461"/>
      <c r="AK163" s="461"/>
      <c r="AL163" s="461"/>
      <c r="AM163" s="528"/>
      <c r="AN163" s="522"/>
      <c r="AO163" s="527"/>
      <c r="AP163" s="524"/>
    </row>
    <row r="164" spans="1:73" s="475" customFormat="1" ht="12.75" customHeight="1">
      <c r="A164" s="461"/>
      <c r="B164" s="461"/>
      <c r="C164" s="464" t="s">
        <v>2032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2028</v>
      </c>
      <c r="AP166" s="402"/>
    </row>
    <row r="167" spans="1:73" s="475" customFormat="1" ht="12.75" customHeight="1">
      <c r="A167" s="461"/>
      <c r="B167" s="461"/>
      <c r="C167" s="1855"/>
      <c r="D167" s="1855"/>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1855"/>
      <c r="AA167" s="1855"/>
      <c r="AB167" s="1855"/>
      <c r="AC167" s="1855"/>
      <c r="AD167" s="1855"/>
      <c r="AE167" s="461"/>
      <c r="AF167" s="461"/>
      <c r="AG167" s="461"/>
      <c r="AH167" s="461"/>
      <c r="AI167" s="461"/>
      <c r="AJ167" s="461"/>
      <c r="AK167" s="461"/>
      <c r="AL167" s="461"/>
      <c r="AM167" s="528"/>
      <c r="AN167" s="522"/>
      <c r="AO167" s="402" t="s">
        <v>2043</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2041</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2044</v>
      </c>
      <c r="AJ169" s="1882">
        <f>IF($AC$161="N/A",VLOOKUP($C$159,$AO$159:$AP$162,2,FALSE),VLOOKUP($C$163,$AO$166:$AP$168,2,FALSE))</f>
        <v>3</v>
      </c>
      <c r="AK169" s="188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2045</v>
      </c>
      <c r="AK172" s="1842">
        <f>$AJ$155+$AJ$169</f>
        <v>10</v>
      </c>
      <c r="AL172" s="1843"/>
      <c r="AM172" s="184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2046</v>
      </c>
      <c r="AQ174" s="537">
        <v>0</v>
      </c>
    </row>
    <row r="175" spans="1:73" s="475" customFormat="1" ht="12.75" customHeight="1">
      <c r="A175" s="463" t="s">
        <v>2047</v>
      </c>
      <c r="B175" s="463" t="s">
        <v>2048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2" t="s">
        <v>1977</v>
      </c>
      <c r="AF175" s="1822"/>
      <c r="AG175" s="1822"/>
      <c r="AH175" s="1822"/>
      <c r="AI175" s="1822"/>
      <c r="AJ175" s="1822"/>
      <c r="AK175" s="1822"/>
      <c r="AL175" s="516"/>
      <c r="AN175" s="522"/>
      <c r="AP175" s="475" t="s">
        <v>1033</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2049</v>
      </c>
      <c r="AQ176" s="475">
        <v>10</v>
      </c>
    </row>
    <row r="177" spans="1:45" s="475" customFormat="1" ht="12.75" customHeight="1">
      <c r="A177" s="461"/>
      <c r="B177" s="1878" t="s">
        <v>1033</v>
      </c>
      <c r="C177" s="1878"/>
      <c r="D177" s="1878"/>
      <c r="E177" s="1878"/>
      <c r="F177" s="1878"/>
      <c r="G177" s="1878"/>
      <c r="H177" s="1878"/>
      <c r="I177" s="1878"/>
      <c r="J177" s="1878"/>
      <c r="K177" s="1878"/>
      <c r="L177" s="1878"/>
      <c r="M177" s="1878"/>
      <c r="N177" s="1878"/>
      <c r="O177" s="1878"/>
      <c r="P177" s="1878"/>
      <c r="Q177" s="1878"/>
      <c r="R177" s="1878"/>
      <c r="S177" s="1878"/>
      <c r="T177" s="1878"/>
      <c r="U177" s="1878"/>
      <c r="V177" s="1878"/>
      <c r="W177" s="1878"/>
      <c r="X177" s="1878"/>
      <c r="Y177" s="1878"/>
      <c r="Z177" s="1878"/>
      <c r="AA177" s="1878"/>
      <c r="AB177" s="1878"/>
      <c r="AC177" s="1878"/>
      <c r="AD177" s="461"/>
      <c r="AE177" s="461"/>
      <c r="AF177" s="1854" t="s">
        <v>2050</v>
      </c>
      <c r="AG177" s="1854"/>
      <c r="AH177" s="1854"/>
      <c r="AI177" s="1854"/>
      <c r="AJ177" s="1854"/>
      <c r="AK177" s="1854"/>
      <c r="AL177" s="1854"/>
      <c r="AN177" s="522"/>
      <c r="AP177" s="475" t="s">
        <v>1041</v>
      </c>
      <c r="AQ177" s="475">
        <v>10</v>
      </c>
    </row>
    <row r="178" spans="1:45" s="475" customFormat="1" ht="12.75" customHeight="1">
      <c r="A178" s="461"/>
      <c r="B178" s="1879" t="s">
        <v>2051</v>
      </c>
      <c r="C178" s="1879"/>
      <c r="D178" s="1879"/>
      <c r="E178" s="1879"/>
      <c r="F178" s="1879"/>
      <c r="G178" s="1879"/>
      <c r="H178" s="1879"/>
      <c r="I178" s="1879"/>
      <c r="J178" s="1879"/>
      <c r="K178" s="1879"/>
      <c r="L178" s="1879"/>
      <c r="M178" s="1879"/>
      <c r="N178" s="1879"/>
      <c r="O178" s="1879"/>
      <c r="P178" s="1879"/>
      <c r="Q178" s="1879"/>
      <c r="R178" s="1879"/>
      <c r="S178" s="1879"/>
      <c r="T178" s="1855" t="s">
        <v>299</v>
      </c>
      <c r="U178" s="1855"/>
      <c r="V178" s="1855"/>
      <c r="W178" s="1855"/>
      <c r="X178" s="1855"/>
      <c r="Y178" s="1855"/>
      <c r="Z178" s="1855"/>
      <c r="AA178" s="1855"/>
      <c r="AB178" s="1855"/>
      <c r="AC178" s="1855"/>
      <c r="AD178" s="461"/>
      <c r="AE178" s="461"/>
      <c r="AF178" s="461"/>
      <c r="AG178" s="461"/>
      <c r="AH178" s="461"/>
      <c r="AI178" s="461"/>
      <c r="AJ178" s="468"/>
      <c r="AK178" s="520"/>
      <c r="AL178" s="520"/>
      <c r="AM178" s="520"/>
      <c r="AN178" s="522"/>
      <c r="AP178" s="475" t="s">
        <v>1053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2052</v>
      </c>
      <c r="AQ179" s="475">
        <v>10</v>
      </c>
      <c r="AS179" s="475" t="s">
        <v>2053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2054</v>
      </c>
      <c r="AK180" s="1887">
        <f>IF(AK78&gt;0,VLOOKUP($B$177,AP174:AQ180,2,FALSE),0)</f>
        <v>10</v>
      </c>
      <c r="AL180" s="1888"/>
      <c r="AM180" s="1889"/>
      <c r="AN180" s="460"/>
      <c r="AP180" s="475" t="s">
        <v>2055</v>
      </c>
      <c r="AQ180" s="475">
        <v>10</v>
      </c>
      <c r="AS180" s="475" t="s">
        <v>2056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2057</v>
      </c>
      <c r="B183" s="463" t="s">
        <v>2058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2" t="s">
        <v>2059</v>
      </c>
      <c r="AF183" s="1822"/>
      <c r="AG183" s="1822"/>
      <c r="AH183" s="1822"/>
      <c r="AI183" s="1822"/>
      <c r="AJ183" s="1822"/>
      <c r="AK183" s="182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2060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2061</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6" t="str">
        <f>Application!C624</f>
        <v>City of Mountain View</v>
      </c>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c r="Y188" s="1866"/>
      <c r="Z188" s="1866"/>
      <c r="AA188" s="1866"/>
      <c r="AB188" s="1866"/>
      <c r="AC188" s="772"/>
      <c r="AD188" s="1867">
        <f>Application!AO624</f>
        <v>16000000</v>
      </c>
      <c r="AE188" s="1867"/>
      <c r="AF188" s="1867"/>
      <c r="AG188" s="1867"/>
      <c r="AH188" s="1867"/>
      <c r="AI188" s="1867"/>
      <c r="AJ188" s="1867"/>
      <c r="AK188" s="535"/>
    </row>
    <row r="189" spans="1:45">
      <c r="A189" s="530"/>
      <c r="B189" s="1866" t="str">
        <f>Application!C625</f>
        <v>County of Santa Clara</v>
      </c>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c r="Y189" s="1866"/>
      <c r="Z189" s="1866"/>
      <c r="AA189" s="1866"/>
      <c r="AB189" s="1866"/>
      <c r="AC189" s="772"/>
      <c r="AD189" s="1867">
        <f>Application!AO625</f>
        <v>18000000</v>
      </c>
      <c r="AE189" s="1867"/>
      <c r="AF189" s="1867"/>
      <c r="AG189" s="1867"/>
      <c r="AH189" s="1867"/>
      <c r="AI189" s="1867"/>
      <c r="AJ189" s="1867"/>
      <c r="AK189" s="535"/>
    </row>
    <row r="190" spans="1:45">
      <c r="A190" s="530"/>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c r="Y190" s="1866"/>
      <c r="Z190" s="1866"/>
      <c r="AA190" s="1866"/>
      <c r="AB190" s="1866"/>
      <c r="AC190" s="772"/>
      <c r="AD190" s="1867"/>
      <c r="AE190" s="1867"/>
      <c r="AF190" s="1867"/>
      <c r="AG190" s="1867"/>
      <c r="AH190" s="1867"/>
      <c r="AI190" s="1867"/>
      <c r="AJ190" s="1867"/>
      <c r="AK190" s="535"/>
    </row>
    <row r="191" spans="1:45">
      <c r="A191" s="530"/>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c r="Y191" s="1866"/>
      <c r="Z191" s="1866"/>
      <c r="AA191" s="1866"/>
      <c r="AB191" s="1866"/>
      <c r="AC191" s="772"/>
      <c r="AD191" s="1867"/>
      <c r="AE191" s="1867"/>
      <c r="AF191" s="1867"/>
      <c r="AG191" s="1867"/>
      <c r="AH191" s="1867"/>
      <c r="AI191" s="1867"/>
      <c r="AJ191" s="1867"/>
      <c r="AK191" s="535"/>
    </row>
    <row r="192" spans="1:45">
      <c r="A192" s="530"/>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c r="Y192" s="1866"/>
      <c r="Z192" s="1866"/>
      <c r="AA192" s="1866"/>
      <c r="AB192" s="1866"/>
      <c r="AC192" s="772"/>
      <c r="AD192" s="1867"/>
      <c r="AE192" s="1867"/>
      <c r="AF192" s="1867"/>
      <c r="AG192" s="1867"/>
      <c r="AH192" s="1867"/>
      <c r="AI192" s="1867"/>
      <c r="AJ192" s="1867"/>
      <c r="AK192" s="535"/>
    </row>
    <row r="193" spans="1:37">
      <c r="A193" s="530"/>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c r="Y193" s="1866"/>
      <c r="Z193" s="1866"/>
      <c r="AA193" s="1866"/>
      <c r="AB193" s="1866"/>
      <c r="AC193" s="772"/>
      <c r="AD193" s="1867"/>
      <c r="AE193" s="1867"/>
      <c r="AF193" s="1867"/>
      <c r="AG193" s="1867"/>
      <c r="AH193" s="1867"/>
      <c r="AI193" s="1867"/>
      <c r="AJ193" s="1867"/>
      <c r="AK193" s="535"/>
    </row>
    <row r="194" spans="1:37">
      <c r="A194" s="530"/>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772"/>
      <c r="AD194" s="1867"/>
      <c r="AE194" s="1867"/>
      <c r="AF194" s="1867"/>
      <c r="AG194" s="1867"/>
      <c r="AH194" s="1867"/>
      <c r="AI194" s="1867"/>
      <c r="AJ194" s="1867"/>
      <c r="AK194" s="535"/>
    </row>
    <row r="195" spans="1:37">
      <c r="A195" s="530"/>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c r="Y195" s="1866"/>
      <c r="Z195" s="1866"/>
      <c r="AA195" s="1866"/>
      <c r="AB195" s="1866"/>
      <c r="AC195" s="772"/>
      <c r="AD195" s="1867"/>
      <c r="AE195" s="1867"/>
      <c r="AF195" s="1867"/>
      <c r="AG195" s="1867"/>
      <c r="AH195" s="1867"/>
      <c r="AI195" s="1867"/>
      <c r="AJ195" s="1867"/>
      <c r="AK195" s="535"/>
    </row>
    <row r="196" spans="1:37">
      <c r="A196" s="530"/>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c r="Y196" s="1866"/>
      <c r="Z196" s="1866"/>
      <c r="AA196" s="1866"/>
      <c r="AB196" s="1866"/>
      <c r="AC196" s="772"/>
      <c r="AD196" s="1867"/>
      <c r="AE196" s="1867"/>
      <c r="AF196" s="1867"/>
      <c r="AG196" s="1867"/>
      <c r="AH196" s="1867"/>
      <c r="AI196" s="1867"/>
      <c r="AJ196" s="1867"/>
      <c r="AK196" s="535"/>
    </row>
    <row r="197" spans="1:37">
      <c r="A197" s="530"/>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c r="Y197" s="1866"/>
      <c r="Z197" s="1866"/>
      <c r="AA197" s="1866"/>
      <c r="AB197" s="1866"/>
      <c r="AC197" s="772"/>
      <c r="AD197" s="1867"/>
      <c r="AE197" s="1867"/>
      <c r="AF197" s="1867"/>
      <c r="AG197" s="1867"/>
      <c r="AH197" s="1867"/>
      <c r="AI197" s="1867"/>
      <c r="AJ197" s="1867"/>
      <c r="AK197" s="535"/>
    </row>
    <row r="198" spans="1:37">
      <c r="A198" s="530"/>
      <c r="B198" s="2026" t="s">
        <v>2062</v>
      </c>
      <c r="C198" s="2026"/>
      <c r="D198" s="2026"/>
      <c r="E198" s="2026"/>
      <c r="F198" s="2026"/>
      <c r="G198" s="2026"/>
      <c r="H198" s="2026"/>
      <c r="I198" s="2026"/>
      <c r="J198" s="2026"/>
      <c r="K198" s="2026"/>
      <c r="L198" s="2026"/>
      <c r="M198" s="2026"/>
      <c r="N198" s="2026"/>
      <c r="O198" s="2026"/>
      <c r="P198" s="2026"/>
      <c r="Q198" s="2026"/>
      <c r="R198" s="2026"/>
      <c r="S198" s="2026"/>
      <c r="T198" s="2026"/>
      <c r="U198" s="2026"/>
      <c r="V198" s="2026"/>
      <c r="W198" s="2026"/>
      <c r="X198" s="2026"/>
      <c r="Y198" s="2026"/>
      <c r="Z198" s="2026"/>
      <c r="AA198" s="2026"/>
      <c r="AB198" s="2026"/>
      <c r="AC198" s="461"/>
      <c r="AD198" s="1894">
        <f>AB249</f>
        <v>8677907.6094473284</v>
      </c>
      <c r="AE198" s="1894"/>
      <c r="AF198" s="1894"/>
      <c r="AG198" s="1894"/>
      <c r="AH198" s="1894"/>
      <c r="AI198" s="1894"/>
      <c r="AJ198" s="1894"/>
      <c r="AK198" s="535"/>
    </row>
    <row r="199" spans="1:37">
      <c r="A199" s="530"/>
      <c r="B199" s="2024" t="s">
        <v>2063</v>
      </c>
      <c r="C199" s="2024"/>
      <c r="D199" s="2024"/>
      <c r="E199" s="2024"/>
      <c r="F199" s="2024"/>
      <c r="G199" s="2024"/>
      <c r="H199" s="2024"/>
      <c r="I199" s="2024"/>
      <c r="J199" s="2024"/>
      <c r="K199" s="2024"/>
      <c r="L199" s="2024"/>
      <c r="M199" s="2024"/>
      <c r="N199" s="2024"/>
      <c r="O199" s="2024"/>
      <c r="P199" s="2024"/>
      <c r="Q199" s="2024"/>
      <c r="R199" s="2024"/>
      <c r="S199" s="2024"/>
      <c r="T199" s="2024"/>
      <c r="U199" s="2024"/>
      <c r="V199" s="2024"/>
      <c r="W199" s="2024"/>
      <c r="X199" s="2024"/>
      <c r="Y199" s="2024"/>
      <c r="Z199" s="2024"/>
      <c r="AA199" s="2024"/>
      <c r="AB199" s="2024"/>
      <c r="AC199" s="772"/>
      <c r="AD199" s="1895">
        <f>'Sources and Uses Budget'!B15</f>
        <v>0</v>
      </c>
      <c r="AE199" s="1895"/>
      <c r="AF199" s="1895"/>
      <c r="AG199" s="1895"/>
      <c r="AH199" s="1895"/>
      <c r="AI199" s="1895"/>
      <c r="AJ199" s="189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1557</v>
      </c>
      <c r="AC200" s="461"/>
      <c r="AD200" s="1899">
        <f>SUM(AD188:AJ198)-AD199</f>
        <v>42677907.60944733</v>
      </c>
      <c r="AE200" s="1899"/>
      <c r="AF200" s="1899"/>
      <c r="AG200" s="1899"/>
      <c r="AH200" s="1899"/>
      <c r="AI200" s="1899"/>
      <c r="AJ200" s="1899"/>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2064</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2065</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2066</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2067</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2068</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2069</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2070</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2071</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70" t="s">
        <v>2072</v>
      </c>
      <c r="J211" s="1870"/>
      <c r="K211" s="1870"/>
      <c r="L211" s="461"/>
      <c r="M211" s="461"/>
      <c r="N211" s="461"/>
      <c r="O211" s="461"/>
      <c r="P211" s="461"/>
      <c r="Q211" s="461"/>
      <c r="R211" s="461"/>
      <c r="S211" s="461"/>
      <c r="T211" s="2052" t="s">
        <v>2073</v>
      </c>
      <c r="U211" s="2052"/>
      <c r="V211" s="2052"/>
      <c r="W211" s="2052"/>
      <c r="X211" s="2052"/>
      <c r="Y211" s="2052"/>
      <c r="Z211" s="775"/>
      <c r="AA211" s="415"/>
      <c r="AB211" s="1865" t="s">
        <v>2074</v>
      </c>
      <c r="AC211" s="1865"/>
      <c r="AD211" s="1865"/>
      <c r="AE211" s="1865"/>
      <c r="AF211" s="1865"/>
      <c r="AG211" s="1865"/>
      <c r="AH211" s="753"/>
      <c r="AI211" s="753"/>
      <c r="AJ211" s="753"/>
      <c r="AK211" s="535"/>
    </row>
    <row r="212" spans="1:37">
      <c r="A212" s="530"/>
      <c r="B212" s="1868" t="s">
        <v>2075</v>
      </c>
      <c r="C212" s="1868"/>
      <c r="D212" s="1868"/>
      <c r="E212" s="1868"/>
      <c r="F212" s="1868"/>
      <c r="G212" s="1868"/>
      <c r="I212" s="1869" t="s">
        <v>2076</v>
      </c>
      <c r="J212" s="1869"/>
      <c r="K212" s="1869"/>
      <c r="L212" s="929"/>
      <c r="N212" s="1875" t="s">
        <v>2077</v>
      </c>
      <c r="O212" s="1875"/>
      <c r="P212" s="1875"/>
      <c r="Q212" s="1875"/>
      <c r="R212" s="1875"/>
      <c r="T212" s="1875" t="s">
        <v>2078</v>
      </c>
      <c r="U212" s="1875"/>
      <c r="V212" s="1875"/>
      <c r="W212" s="1875"/>
      <c r="X212" s="1875"/>
      <c r="Y212" s="1875"/>
      <c r="Z212" s="776"/>
      <c r="AA212" s="415"/>
      <c r="AB212" s="2027" t="s">
        <v>2079</v>
      </c>
      <c r="AC212" s="2027"/>
      <c r="AD212" s="2027"/>
      <c r="AE212" s="2027"/>
      <c r="AF212" s="2027"/>
      <c r="AG212" s="2027"/>
      <c r="AH212" s="753"/>
      <c r="AI212" s="753"/>
      <c r="AJ212" s="753"/>
      <c r="AK212" s="535"/>
    </row>
    <row r="213" spans="1:37">
      <c r="A213" s="530"/>
      <c r="B213" s="1872" t="s">
        <v>2080</v>
      </c>
      <c r="C213" s="1872"/>
      <c r="D213" s="1872"/>
      <c r="E213" s="1872"/>
      <c r="F213" s="1872"/>
      <c r="G213" s="1872"/>
      <c r="H213" s="778"/>
      <c r="I213" s="1871">
        <f>Application!G719</f>
        <v>8</v>
      </c>
      <c r="J213" s="1871"/>
      <c r="K213" s="1871"/>
      <c r="L213" s="929"/>
      <c r="N213" s="1876">
        <v>1264</v>
      </c>
      <c r="O213" s="1876"/>
      <c r="P213" s="1876"/>
      <c r="Q213" s="1876"/>
      <c r="R213" s="1876"/>
      <c r="T213" s="2025">
        <f>'Subsidy Contract Calculation'!F9</f>
        <v>2764</v>
      </c>
      <c r="U213" s="2025"/>
      <c r="V213" s="2025"/>
      <c r="W213" s="2025"/>
      <c r="X213" s="2025"/>
      <c r="Y213" s="2025"/>
      <c r="Z213" s="777"/>
      <c r="AA213" s="777"/>
      <c r="AB213" s="1873">
        <f t="shared" ref="AB213:AB222" si="0">MAX(($T213-$N213)*$I213*12,0)</f>
        <v>144000</v>
      </c>
      <c r="AC213" s="1873"/>
      <c r="AD213" s="1873"/>
      <c r="AE213" s="1873"/>
      <c r="AF213" s="1873"/>
      <c r="AG213" s="1873"/>
      <c r="AH213" s="753"/>
      <c r="AI213" s="753"/>
      <c r="AJ213" s="753"/>
      <c r="AK213" s="535"/>
    </row>
    <row r="214" spans="1:37">
      <c r="A214" s="530"/>
      <c r="B214" s="1872" t="s">
        <v>2081</v>
      </c>
      <c r="C214" s="1872"/>
      <c r="D214" s="1872"/>
      <c r="E214" s="1872"/>
      <c r="F214" s="1872"/>
      <c r="G214" s="1872"/>
      <c r="I214" s="1871">
        <f>Application!G720</f>
        <v>12</v>
      </c>
      <c r="J214" s="1871"/>
      <c r="K214" s="1871"/>
      <c r="L214" s="929"/>
      <c r="N214" s="1876">
        <v>1517</v>
      </c>
      <c r="O214" s="1876"/>
      <c r="P214" s="1876"/>
      <c r="Q214" s="1876"/>
      <c r="R214" s="1876"/>
      <c r="T214" s="2025">
        <f>'Subsidy Contract Calculation'!F10</f>
        <v>3235</v>
      </c>
      <c r="U214" s="2025"/>
      <c r="V214" s="2025"/>
      <c r="W214" s="2025"/>
      <c r="X214" s="2025"/>
      <c r="Y214" s="2025"/>
      <c r="Z214" s="777"/>
      <c r="AA214" s="777"/>
      <c r="AB214" s="1873">
        <f t="shared" si="0"/>
        <v>247392</v>
      </c>
      <c r="AC214" s="1873"/>
      <c r="AD214" s="1873"/>
      <c r="AE214" s="1873"/>
      <c r="AF214" s="1873"/>
      <c r="AG214" s="1873"/>
      <c r="AH214" s="753"/>
      <c r="AI214" s="753"/>
      <c r="AJ214" s="753"/>
      <c r="AK214" s="535"/>
    </row>
    <row r="215" spans="1:37">
      <c r="A215" s="530"/>
      <c r="B215" s="1872" t="s">
        <v>2082</v>
      </c>
      <c r="C215" s="1872"/>
      <c r="D215" s="1872"/>
      <c r="E215" s="1872"/>
      <c r="F215" s="1872"/>
      <c r="G215" s="1872"/>
      <c r="I215" s="1871">
        <f>Application!G721</f>
        <v>19</v>
      </c>
      <c r="J215" s="1871"/>
      <c r="K215" s="1871"/>
      <c r="L215" s="929"/>
      <c r="N215" s="1876">
        <v>1752</v>
      </c>
      <c r="O215" s="1876"/>
      <c r="P215" s="1876"/>
      <c r="Q215" s="1876"/>
      <c r="R215" s="1876"/>
      <c r="T215" s="2025">
        <f>'Subsidy Contract Calculation'!F11</f>
        <v>4125</v>
      </c>
      <c r="U215" s="2025"/>
      <c r="V215" s="2025"/>
      <c r="W215" s="2025"/>
      <c r="X215" s="2025"/>
      <c r="Y215" s="2025"/>
      <c r="Z215" s="777"/>
      <c r="AA215" s="777"/>
      <c r="AB215" s="1873">
        <f t="shared" si="0"/>
        <v>541044</v>
      </c>
      <c r="AC215" s="1873"/>
      <c r="AD215" s="1873"/>
      <c r="AE215" s="1873"/>
      <c r="AF215" s="1873"/>
      <c r="AG215" s="1873"/>
      <c r="AH215" s="753"/>
      <c r="AI215" s="753"/>
      <c r="AJ215" s="753"/>
      <c r="AK215" s="535"/>
    </row>
    <row r="216" spans="1:37">
      <c r="A216" s="530"/>
      <c r="B216" s="1872" t="s">
        <v>1426</v>
      </c>
      <c r="C216" s="1872"/>
      <c r="D216" s="1872"/>
      <c r="E216" s="1872"/>
      <c r="F216" s="1872"/>
      <c r="G216" s="1872"/>
      <c r="I216" s="1871"/>
      <c r="J216" s="1871"/>
      <c r="K216" s="1871"/>
      <c r="L216" s="929"/>
      <c r="N216" s="1876"/>
      <c r="O216" s="1876"/>
      <c r="P216" s="1876"/>
      <c r="Q216" s="1876"/>
      <c r="R216" s="1876"/>
      <c r="T216" s="2025"/>
      <c r="U216" s="2025"/>
      <c r="V216" s="2025"/>
      <c r="W216" s="2025"/>
      <c r="X216" s="2025"/>
      <c r="Y216" s="2025"/>
      <c r="Z216" s="777"/>
      <c r="AA216" s="777"/>
      <c r="AB216" s="1873">
        <f t="shared" si="0"/>
        <v>0</v>
      </c>
      <c r="AC216" s="1873"/>
      <c r="AD216" s="1873"/>
      <c r="AE216" s="1873"/>
      <c r="AF216" s="1873"/>
      <c r="AG216" s="1873"/>
      <c r="AH216" s="753"/>
      <c r="AI216" s="753"/>
      <c r="AJ216" s="753"/>
      <c r="AK216" s="535"/>
    </row>
    <row r="217" spans="1:37">
      <c r="A217" s="530"/>
      <c r="B217" s="1872" t="s">
        <v>1426</v>
      </c>
      <c r="C217" s="1872"/>
      <c r="D217" s="1872"/>
      <c r="E217" s="1872"/>
      <c r="F217" s="1872"/>
      <c r="G217" s="1872"/>
      <c r="I217" s="1871"/>
      <c r="J217" s="1871"/>
      <c r="K217" s="1871"/>
      <c r="L217" s="934"/>
      <c r="N217" s="1876"/>
      <c r="O217" s="1876"/>
      <c r="P217" s="1876"/>
      <c r="Q217" s="1876"/>
      <c r="R217" s="1876"/>
      <c r="T217" s="2025"/>
      <c r="U217" s="2025"/>
      <c r="V217" s="2025"/>
      <c r="W217" s="2025"/>
      <c r="X217" s="2025"/>
      <c r="Y217" s="2025"/>
      <c r="Z217" s="777"/>
      <c r="AA217" s="777"/>
      <c r="AB217" s="1873">
        <f t="shared" si="0"/>
        <v>0</v>
      </c>
      <c r="AC217" s="1873"/>
      <c r="AD217" s="1873"/>
      <c r="AE217" s="1873"/>
      <c r="AF217" s="1873"/>
      <c r="AG217" s="1873"/>
      <c r="AH217" s="753"/>
      <c r="AI217" s="753"/>
      <c r="AJ217" s="753"/>
      <c r="AK217" s="535"/>
    </row>
    <row r="218" spans="1:37">
      <c r="A218" s="530"/>
      <c r="B218" s="1872" t="s">
        <v>1426</v>
      </c>
      <c r="C218" s="1872"/>
      <c r="D218" s="1872"/>
      <c r="E218" s="1872"/>
      <c r="F218" s="1872"/>
      <c r="G218" s="1872"/>
      <c r="I218" s="1871"/>
      <c r="J218" s="1871"/>
      <c r="K218" s="1871"/>
      <c r="L218" s="934"/>
      <c r="N218" s="1876"/>
      <c r="O218" s="1876"/>
      <c r="P218" s="1876"/>
      <c r="Q218" s="1876"/>
      <c r="R218" s="1876"/>
      <c r="T218" s="2025"/>
      <c r="U218" s="2025"/>
      <c r="V218" s="2025"/>
      <c r="W218" s="2025"/>
      <c r="X218" s="2025"/>
      <c r="Y218" s="2025"/>
      <c r="Z218" s="777"/>
      <c r="AA218" s="777"/>
      <c r="AB218" s="1873">
        <f t="shared" si="0"/>
        <v>0</v>
      </c>
      <c r="AC218" s="1873"/>
      <c r="AD218" s="1873"/>
      <c r="AE218" s="1873"/>
      <c r="AF218" s="1873"/>
      <c r="AG218" s="1873"/>
      <c r="AH218" s="753"/>
      <c r="AI218" s="753"/>
      <c r="AJ218" s="753"/>
      <c r="AK218" s="535"/>
    </row>
    <row r="219" spans="1:37">
      <c r="A219" s="530"/>
      <c r="B219" s="1872" t="s">
        <v>1426</v>
      </c>
      <c r="C219" s="1872"/>
      <c r="D219" s="1872"/>
      <c r="E219" s="1872"/>
      <c r="F219" s="1872"/>
      <c r="G219" s="1872"/>
      <c r="I219" s="1871"/>
      <c r="J219" s="1871"/>
      <c r="K219" s="1871"/>
      <c r="L219" s="934"/>
      <c r="N219" s="1876"/>
      <c r="O219" s="1876"/>
      <c r="P219" s="1876"/>
      <c r="Q219" s="1876"/>
      <c r="R219" s="1876"/>
      <c r="T219" s="2025"/>
      <c r="U219" s="2025"/>
      <c r="V219" s="2025"/>
      <c r="W219" s="2025"/>
      <c r="X219" s="2025"/>
      <c r="Y219" s="2025"/>
      <c r="Z219" s="777"/>
      <c r="AA219" s="777"/>
      <c r="AB219" s="1873">
        <f t="shared" si="0"/>
        <v>0</v>
      </c>
      <c r="AC219" s="1873"/>
      <c r="AD219" s="1873"/>
      <c r="AE219" s="1873"/>
      <c r="AF219" s="1873"/>
      <c r="AG219" s="1873"/>
      <c r="AH219" s="753"/>
      <c r="AI219" s="753"/>
      <c r="AJ219" s="753"/>
      <c r="AK219" s="535"/>
    </row>
    <row r="220" spans="1:37">
      <c r="A220" s="530"/>
      <c r="B220" s="1872" t="s">
        <v>1426</v>
      </c>
      <c r="C220" s="1872"/>
      <c r="D220" s="1872"/>
      <c r="E220" s="1872"/>
      <c r="F220" s="1872"/>
      <c r="G220" s="1872"/>
      <c r="I220" s="1871"/>
      <c r="J220" s="1871"/>
      <c r="K220" s="1871"/>
      <c r="L220" s="934"/>
      <c r="N220" s="1876"/>
      <c r="O220" s="1876"/>
      <c r="P220" s="1876"/>
      <c r="Q220" s="1876"/>
      <c r="R220" s="1876"/>
      <c r="T220" s="2025"/>
      <c r="U220" s="2025"/>
      <c r="V220" s="2025"/>
      <c r="W220" s="2025"/>
      <c r="X220" s="2025"/>
      <c r="Y220" s="2025"/>
      <c r="Z220" s="777"/>
      <c r="AA220" s="777"/>
      <c r="AB220" s="1873">
        <f t="shared" si="0"/>
        <v>0</v>
      </c>
      <c r="AC220" s="1873"/>
      <c r="AD220" s="1873"/>
      <c r="AE220" s="1873"/>
      <c r="AF220" s="1873"/>
      <c r="AG220" s="1873"/>
      <c r="AH220" s="753"/>
      <c r="AI220" s="753"/>
      <c r="AJ220" s="753"/>
      <c r="AK220" s="535"/>
    </row>
    <row r="221" spans="1:37">
      <c r="A221" s="530"/>
      <c r="B221" s="1872" t="s">
        <v>1426</v>
      </c>
      <c r="C221" s="1872"/>
      <c r="D221" s="1872"/>
      <c r="E221" s="1872"/>
      <c r="F221" s="1872"/>
      <c r="G221" s="1872"/>
      <c r="I221" s="1871"/>
      <c r="J221" s="1871"/>
      <c r="K221" s="1871"/>
      <c r="L221" s="934"/>
      <c r="N221" s="1876"/>
      <c r="O221" s="1876"/>
      <c r="P221" s="1876"/>
      <c r="Q221" s="1876"/>
      <c r="R221" s="1876"/>
      <c r="T221" s="2025"/>
      <c r="U221" s="2025"/>
      <c r="V221" s="2025"/>
      <c r="W221" s="2025"/>
      <c r="X221" s="2025"/>
      <c r="Y221" s="2025"/>
      <c r="Z221" s="777"/>
      <c r="AA221" s="777"/>
      <c r="AB221" s="1873">
        <f t="shared" si="0"/>
        <v>0</v>
      </c>
      <c r="AC221" s="1873"/>
      <c r="AD221" s="1873"/>
      <c r="AE221" s="1873"/>
      <c r="AF221" s="1873"/>
      <c r="AG221" s="1873"/>
      <c r="AH221" s="753"/>
      <c r="AI221" s="753"/>
      <c r="AJ221" s="753"/>
      <c r="AK221" s="535"/>
    </row>
    <row r="222" spans="1:37">
      <c r="A222" s="530"/>
      <c r="B222" s="1872" t="s">
        <v>1426</v>
      </c>
      <c r="C222" s="1872"/>
      <c r="D222" s="1872"/>
      <c r="E222" s="1872"/>
      <c r="F222" s="1872"/>
      <c r="G222" s="1872"/>
      <c r="I222" s="1874"/>
      <c r="J222" s="1874"/>
      <c r="K222" s="1874"/>
      <c r="L222" s="934"/>
      <c r="N222" s="1876"/>
      <c r="O222" s="1876"/>
      <c r="P222" s="1876"/>
      <c r="Q222" s="1876"/>
      <c r="R222" s="1876"/>
      <c r="T222" s="2025"/>
      <c r="U222" s="2025"/>
      <c r="V222" s="2025"/>
      <c r="W222" s="2025"/>
      <c r="X222" s="2025"/>
      <c r="Y222" s="2025"/>
      <c r="Z222" s="777"/>
      <c r="AA222" s="777"/>
      <c r="AB222" s="2023">
        <f t="shared" si="0"/>
        <v>0</v>
      </c>
      <c r="AC222" s="2023"/>
      <c r="AD222" s="2023"/>
      <c r="AE222" s="2023"/>
      <c r="AF222" s="2023"/>
      <c r="AG222" s="2023"/>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2083</v>
      </c>
      <c r="AA223" s="779"/>
      <c r="AB223" s="1873">
        <f>SUM(AB213:AB222)</f>
        <v>932436</v>
      </c>
      <c r="AC223" s="1873"/>
      <c r="AD223" s="1873"/>
      <c r="AE223" s="1873"/>
      <c r="AF223" s="1873"/>
      <c r="AG223" s="1873"/>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2084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2085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2086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2087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28"/>
      <c r="AC229" s="2028"/>
      <c r="AD229" s="2028"/>
      <c r="AE229" s="2028"/>
      <c r="AF229" s="2028"/>
      <c r="AG229" s="2028"/>
      <c r="AH229" s="535"/>
      <c r="AI229" s="535"/>
      <c r="AJ229" s="535"/>
      <c r="AK229" s="535"/>
    </row>
    <row r="230" spans="1:37">
      <c r="A230" s="530"/>
      <c r="B230" s="763" t="s">
        <v>2088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2089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2090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28"/>
      <c r="AC232" s="2028"/>
      <c r="AD232" s="2028"/>
      <c r="AE232" s="2028"/>
      <c r="AF232" s="2028"/>
      <c r="AG232" s="2028"/>
      <c r="AH232" s="535"/>
      <c r="AI232" s="535"/>
      <c r="AJ232" s="535"/>
      <c r="AK232" s="535"/>
    </row>
    <row r="233" spans="1:37">
      <c r="A233" s="530"/>
      <c r="B233" s="764" t="s">
        <v>2091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51"/>
      <c r="AC233" s="2051"/>
      <c r="AD233" s="2051"/>
      <c r="AE233" s="2051"/>
      <c r="AF233" s="2051"/>
      <c r="AG233" s="2051"/>
      <c r="AH233" s="535"/>
      <c r="AI233" s="535"/>
      <c r="AJ233" s="535"/>
      <c r="AK233" s="535"/>
    </row>
    <row r="234" spans="1:37">
      <c r="A234" s="530"/>
      <c r="B234" s="764" t="s">
        <v>2092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34">
        <f>IFERROR(AB232/AB233,0)</f>
        <v>0</v>
      </c>
      <c r="AC234" s="2034"/>
      <c r="AD234" s="2034"/>
      <c r="AE234" s="2034"/>
      <c r="AF234" s="2034"/>
      <c r="AG234" s="2034"/>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2023">
        <f>MAX(AB229,AB234)</f>
        <v>0</v>
      </c>
      <c r="AC236" s="2023"/>
      <c r="AD236" s="2023"/>
      <c r="AE236" s="2023"/>
      <c r="AF236" s="2023"/>
      <c r="AG236" s="2023"/>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2094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73">
        <f>AB223+AB236</f>
        <v>932436</v>
      </c>
      <c r="AC239" s="1873"/>
      <c r="AD239" s="1873"/>
      <c r="AE239" s="1873"/>
      <c r="AF239" s="1873"/>
      <c r="AG239" s="1873"/>
      <c r="AH239" s="535"/>
      <c r="AI239" s="535"/>
      <c r="AJ239" s="535"/>
      <c r="AK239" s="535"/>
    </row>
    <row r="240" spans="1:37">
      <c r="A240" s="530"/>
      <c r="B240" s="402" t="s">
        <v>2095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03">
        <v>0.05</v>
      </c>
      <c r="AC240" s="1903"/>
      <c r="AD240" s="1903"/>
      <c r="AE240" s="1903"/>
      <c r="AF240" s="1903"/>
      <c r="AG240" s="1903"/>
      <c r="AH240" s="535"/>
      <c r="AI240" s="535"/>
      <c r="AJ240" s="535"/>
      <c r="AK240" s="535"/>
    </row>
    <row r="241" spans="1:37">
      <c r="A241" s="530"/>
      <c r="B241" s="402" t="s">
        <v>2096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04">
        <f>AB239-(AB239*AB240)</f>
        <v>885814.2</v>
      </c>
      <c r="AC241" s="1904"/>
      <c r="AD241" s="1904"/>
      <c r="AE241" s="1904"/>
      <c r="AF241" s="1904"/>
      <c r="AG241" s="1904"/>
      <c r="AH241" s="535"/>
      <c r="AI241" s="535"/>
      <c r="AJ241" s="535"/>
      <c r="AK241" s="535"/>
    </row>
    <row r="242" spans="1:37">
      <c r="A242" s="530"/>
      <c r="B242" s="402" t="s">
        <v>2097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2098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73">
        <f>AB241/AB247</f>
        <v>770273.21739130432</v>
      </c>
      <c r="AC243" s="1873"/>
      <c r="AD243" s="1873"/>
      <c r="AE243" s="1873"/>
      <c r="AF243" s="1873"/>
      <c r="AG243" s="1873"/>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65">
        <v>15</v>
      </c>
      <c r="AC245" s="1865"/>
      <c r="AD245" s="1865"/>
      <c r="AE245" s="1865"/>
      <c r="AF245" s="1865"/>
      <c r="AG245" s="1865"/>
      <c r="AH245" s="535"/>
      <c r="AI245" s="535"/>
      <c r="AJ245" s="535"/>
      <c r="AK245" s="535"/>
    </row>
    <row r="246" spans="1:37">
      <c r="A246" s="530"/>
      <c r="B246" s="402" t="s">
        <v>2100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05">
        <v>0.04</v>
      </c>
      <c r="AC246" s="1905"/>
      <c r="AD246" s="1905"/>
      <c r="AE246" s="1905"/>
      <c r="AF246" s="1905"/>
      <c r="AG246" s="1905"/>
      <c r="AH246" s="535"/>
      <c r="AI246" s="535"/>
      <c r="AJ246" s="535"/>
      <c r="AK246" s="535"/>
    </row>
    <row r="247" spans="1:37">
      <c r="A247" s="530"/>
      <c r="B247" s="402" t="s">
        <v>2101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77">
        <v>1.1499999999999999</v>
      </c>
      <c r="AC247" s="1877"/>
      <c r="AD247" s="1877"/>
      <c r="AE247" s="1877"/>
      <c r="AF247" s="1877"/>
      <c r="AG247" s="1877"/>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2102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96">
        <f>PV(AB246/12,AB245*12,-AB243/12, ,0)</f>
        <v>8677907.6094473284</v>
      </c>
      <c r="AC249" s="1897"/>
      <c r="AD249" s="1897"/>
      <c r="AE249" s="1897"/>
      <c r="AF249" s="1897"/>
      <c r="AG249" s="1898"/>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2103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2104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2105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2106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00">
        <f>IFERROR(('Sources and Uses Budget'!D105/'Sources and Uses Budget'!B105),0)</f>
        <v>0</v>
      </c>
      <c r="AC255" s="1901"/>
      <c r="AD255" s="1901"/>
      <c r="AE255" s="1901"/>
      <c r="AF255" s="1901"/>
      <c r="AG255" s="1902"/>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2107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0">
        <f>AD200*(1-AB255)</f>
        <v>42677907.60944733</v>
      </c>
      <c r="AH257" s="1890"/>
      <c r="AI257" s="1890"/>
      <c r="AJ257" s="1890"/>
      <c r="AK257" s="1890"/>
    </row>
    <row r="258" spans="1:52">
      <c r="A258" s="547"/>
      <c r="B258" s="550" t="s">
        <v>2108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0">
        <f>'Sources and Uses Budget'!C105</f>
        <v>92645172</v>
      </c>
      <c r="AH258" s="1890"/>
      <c r="AI258" s="1890"/>
      <c r="AJ258" s="1890"/>
      <c r="AK258" s="1890"/>
    </row>
    <row r="259" spans="1:52">
      <c r="A259" s="547"/>
      <c r="B259" s="549" t="s">
        <v>1720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1">
        <f>ROUNDDOWN(IF(AND(C281="Yes",AK78=10),((AG257*2)/AG258),AG257/AG258),2)</f>
        <v>0.92</v>
      </c>
      <c r="AH259" s="1891"/>
      <c r="AI259" s="1891"/>
      <c r="AJ259" s="1891"/>
      <c r="AK259" s="1891"/>
    </row>
    <row r="260" spans="1:52">
      <c r="A260" s="547"/>
      <c r="B260" s="899" t="s">
        <v>2109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2110</v>
      </c>
      <c r="AK262" s="1892">
        <f>IFERROR(IF(AG259=0,0,IF((AG259*100)&gt;8,8,(AG259*100))),0)</f>
        <v>8</v>
      </c>
      <c r="AL262" s="1892"/>
      <c r="AM262" s="1893"/>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2111</v>
      </c>
      <c r="B265" s="463" t="s">
        <v>2112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1977</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84" t="s">
        <v>946</v>
      </c>
      <c r="D267" s="1884"/>
      <c r="E267" s="472"/>
      <c r="F267" s="2037" t="s">
        <v>2113</v>
      </c>
      <c r="G267" s="2038"/>
      <c r="H267" s="2038"/>
      <c r="I267" s="2038"/>
      <c r="J267" s="2038"/>
      <c r="K267" s="2038"/>
      <c r="L267" s="2038"/>
      <c r="M267" s="2038"/>
      <c r="N267" s="2038"/>
      <c r="O267" s="2038"/>
      <c r="P267" s="2038"/>
      <c r="Q267" s="2038"/>
      <c r="R267" s="2038"/>
      <c r="S267" s="2038"/>
      <c r="T267" s="2038"/>
      <c r="U267" s="2038"/>
      <c r="V267" s="2038"/>
      <c r="W267" s="2038"/>
      <c r="X267" s="2038"/>
      <c r="Y267" s="2038"/>
      <c r="Z267" s="2038"/>
      <c r="AA267" s="2038"/>
      <c r="AB267" s="2038"/>
      <c r="AC267" s="2038"/>
      <c r="AD267" s="2039"/>
      <c r="AE267" s="475"/>
      <c r="AF267" s="560"/>
      <c r="AG267" s="1885" t="s">
        <v>2050</v>
      </c>
      <c r="AH267" s="1885"/>
      <c r="AI267" s="1885"/>
      <c r="AJ267" s="1885"/>
      <c r="AK267" s="475"/>
      <c r="AL267" s="475"/>
      <c r="AM267" s="475"/>
      <c r="AO267" s="475"/>
    </row>
    <row r="268" spans="1:52" ht="13.7" customHeight="1">
      <c r="A268" s="475"/>
      <c r="B268" s="521"/>
      <c r="C268" s="561"/>
      <c r="D268" s="475"/>
      <c r="E268" s="472"/>
      <c r="F268" s="2040"/>
      <c r="G268" s="2041"/>
      <c r="H268" s="2041"/>
      <c r="I268" s="2041"/>
      <c r="J268" s="2041"/>
      <c r="K268" s="2041"/>
      <c r="L268" s="2041"/>
      <c r="M268" s="2041"/>
      <c r="N268" s="2041"/>
      <c r="O268" s="2041"/>
      <c r="P268" s="2041"/>
      <c r="Q268" s="2041"/>
      <c r="R268" s="2041"/>
      <c r="S268" s="2041"/>
      <c r="T268" s="2041"/>
      <c r="U268" s="2041"/>
      <c r="V268" s="2041"/>
      <c r="W268" s="2041"/>
      <c r="X268" s="2041"/>
      <c r="Y268" s="2041"/>
      <c r="Z268" s="2041"/>
      <c r="AA268" s="2041"/>
      <c r="AB268" s="2041"/>
      <c r="AC268" s="2041"/>
      <c r="AD268" s="2042"/>
      <c r="AE268" s="475"/>
      <c r="AF268" s="560"/>
      <c r="AG268" s="560"/>
      <c r="AH268" s="560"/>
      <c r="AI268" s="560"/>
      <c r="AJ268" s="475"/>
      <c r="AK268" s="475"/>
      <c r="AL268" s="475"/>
      <c r="AM268" s="475"/>
      <c r="AO268" s="475"/>
    </row>
    <row r="269" spans="1:52">
      <c r="A269" s="475"/>
      <c r="B269" s="521"/>
      <c r="C269" s="561"/>
      <c r="D269" s="475"/>
      <c r="E269" s="472"/>
      <c r="F269" s="2040"/>
      <c r="G269" s="2041"/>
      <c r="H269" s="2041"/>
      <c r="I269" s="2041"/>
      <c r="J269" s="2041"/>
      <c r="K269" s="2041"/>
      <c r="L269" s="2041"/>
      <c r="M269" s="2041"/>
      <c r="N269" s="2041"/>
      <c r="O269" s="2041"/>
      <c r="P269" s="2041"/>
      <c r="Q269" s="2041"/>
      <c r="R269" s="2041"/>
      <c r="S269" s="2041"/>
      <c r="T269" s="2041"/>
      <c r="U269" s="2041"/>
      <c r="V269" s="2041"/>
      <c r="W269" s="2041"/>
      <c r="X269" s="2041"/>
      <c r="Y269" s="2041"/>
      <c r="Z269" s="2041"/>
      <c r="AA269" s="2041"/>
      <c r="AB269" s="2041"/>
      <c r="AC269" s="2041"/>
      <c r="AD269" s="2042"/>
      <c r="AE269" s="475"/>
      <c r="AF269" s="560"/>
      <c r="AG269" s="560"/>
      <c r="AH269" s="560"/>
      <c r="AI269" s="560"/>
      <c r="AJ269" s="475"/>
      <c r="AK269" s="475"/>
      <c r="AL269" s="475"/>
      <c r="AM269" s="475"/>
      <c r="AO269" s="475"/>
      <c r="AP269" s="562"/>
    </row>
    <row r="270" spans="1:52">
      <c r="A270" s="475"/>
      <c r="B270" s="521"/>
      <c r="C270" s="561"/>
      <c r="D270" s="475"/>
      <c r="E270" s="472"/>
      <c r="F270" s="2040"/>
      <c r="G270" s="2041"/>
      <c r="H270" s="2041"/>
      <c r="I270" s="2041"/>
      <c r="J270" s="2041"/>
      <c r="K270" s="2041"/>
      <c r="L270" s="2041"/>
      <c r="M270" s="2041"/>
      <c r="N270" s="2041"/>
      <c r="O270" s="2041"/>
      <c r="P270" s="2041"/>
      <c r="Q270" s="2041"/>
      <c r="R270" s="2041"/>
      <c r="S270" s="2041"/>
      <c r="T270" s="2041"/>
      <c r="U270" s="2041"/>
      <c r="V270" s="2041"/>
      <c r="W270" s="2041"/>
      <c r="X270" s="2041"/>
      <c r="Y270" s="2041"/>
      <c r="Z270" s="2041"/>
      <c r="AA270" s="2041"/>
      <c r="AB270" s="2041"/>
      <c r="AC270" s="2041"/>
      <c r="AD270" s="2042"/>
      <c r="AE270" s="475"/>
      <c r="AF270" s="560"/>
      <c r="AG270" s="560"/>
      <c r="AH270" s="560"/>
      <c r="AI270" s="560"/>
      <c r="AJ270" s="475"/>
      <c r="AK270" s="475"/>
      <c r="AL270" s="475"/>
      <c r="AM270" s="475"/>
      <c r="AO270" s="475"/>
      <c r="AP270" s="562"/>
    </row>
    <row r="271" spans="1:52" ht="13.7" customHeight="1">
      <c r="A271" s="475"/>
      <c r="B271" s="521"/>
      <c r="C271" s="1886"/>
      <c r="D271" s="1886"/>
      <c r="E271" s="472"/>
      <c r="F271" s="2043"/>
      <c r="G271" s="2044"/>
      <c r="H271" s="2044"/>
      <c r="I271" s="2044"/>
      <c r="J271" s="2044"/>
      <c r="K271" s="2044"/>
      <c r="L271" s="2044"/>
      <c r="M271" s="2044"/>
      <c r="N271" s="2044"/>
      <c r="O271" s="2044"/>
      <c r="P271" s="2044"/>
      <c r="Q271" s="2044"/>
      <c r="R271" s="2044"/>
      <c r="S271" s="2044"/>
      <c r="T271" s="2044"/>
      <c r="U271" s="2044"/>
      <c r="V271" s="2044"/>
      <c r="W271" s="2044"/>
      <c r="X271" s="2044"/>
      <c r="Y271" s="2044"/>
      <c r="Z271" s="2044"/>
      <c r="AA271" s="2044"/>
      <c r="AB271" s="2044"/>
      <c r="AC271" s="2044"/>
      <c r="AD271" s="2045"/>
      <c r="AE271" s="475"/>
      <c r="AF271" s="560"/>
      <c r="AG271" s="1885"/>
      <c r="AH271" s="1885"/>
      <c r="AI271" s="1885"/>
      <c r="AJ271" s="1885"/>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2114</v>
      </c>
      <c r="AK274" s="1892">
        <f>IF($C$267="yes",10,0)</f>
        <v>10</v>
      </c>
      <c r="AL274" s="1892"/>
      <c r="AM274" s="1893"/>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2115</v>
      </c>
      <c r="B277" s="463" t="s">
        <v>2116</v>
      </c>
      <c r="AH277" s="516" t="s">
        <v>1977</v>
      </c>
    </row>
    <row r="278" spans="1:49" ht="15" customHeight="1">
      <c r="B278" s="464"/>
    </row>
    <row r="279" spans="1:49" ht="15" customHeight="1">
      <c r="B279" s="464" t="s">
        <v>1978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9" t="s">
        <v>2117</v>
      </c>
      <c r="B281" s="1589"/>
      <c r="C281" s="1881" t="s">
        <v>946</v>
      </c>
      <c r="D281" s="1884"/>
      <c r="E281" s="472"/>
      <c r="F281" s="1912" t="s">
        <v>2118</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67"/>
      <c r="AF281" s="475"/>
      <c r="AG281" s="1915" t="s">
        <v>2119</v>
      </c>
      <c r="AH281" s="1915"/>
      <c r="AI281" s="1915"/>
      <c r="AJ281" s="1915"/>
      <c r="AK281" s="1915"/>
      <c r="AL281" s="475"/>
      <c r="AM281" s="475"/>
      <c r="AN281" s="59"/>
      <c r="AO281" s="14"/>
      <c r="AP281" s="26"/>
      <c r="AS281" s="495"/>
      <c r="AT281" s="495"/>
      <c r="AU281" s="495"/>
      <c r="AV281" s="28"/>
      <c r="AW281" s="28"/>
    </row>
    <row r="282" spans="1:49">
      <c r="A282" s="565"/>
      <c r="B282" s="521"/>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6" t="s">
        <v>2120</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67"/>
      <c r="AF284" s="476"/>
      <c r="AH284" s="476"/>
      <c r="AI284" s="476"/>
      <c r="AJ284" s="475"/>
      <c r="AK284" s="475"/>
      <c r="AL284" s="475"/>
      <c r="AM284" s="475"/>
      <c r="AN284" s="59"/>
      <c r="AO284" s="14"/>
      <c r="AP284" s="536">
        <f>MAX(AP282,AP283)</f>
        <v>10</v>
      </c>
      <c r="AQ284" s="499" t="s">
        <v>1981</v>
      </c>
      <c r="AS284" s="495"/>
      <c r="AT284" s="495"/>
      <c r="AU284" s="495"/>
      <c r="AV284" s="28"/>
      <c r="AW284" s="28"/>
    </row>
    <row r="285" spans="1:49">
      <c r="A285" s="565"/>
      <c r="B285" s="521"/>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6" t="s">
        <v>2121</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6" t="s">
        <v>2122</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9" t="s">
        <v>2123</v>
      </c>
      <c r="B291" s="1589"/>
      <c r="C291" s="1884" t="s">
        <v>299</v>
      </c>
      <c r="D291" s="1884"/>
      <c r="E291" s="472"/>
      <c r="F291" s="569" t="s">
        <v>2124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2125</v>
      </c>
      <c r="AH291" s="476"/>
      <c r="AI291" s="476"/>
      <c r="AJ291" s="475"/>
      <c r="AK291" s="475"/>
      <c r="AL291" s="475"/>
      <c r="AM291" s="475"/>
      <c r="AN291" s="572"/>
      <c r="AO291" s="14"/>
    </row>
    <row r="292" spans="1:49">
      <c r="A292" s="475"/>
      <c r="B292" s="476"/>
      <c r="C292" s="475"/>
      <c r="D292" s="476"/>
      <c r="E292" s="475"/>
      <c r="F292" s="1819" t="s">
        <v>2126</v>
      </c>
      <c r="G292" s="1820"/>
      <c r="H292" s="1820"/>
      <c r="I292" s="1820"/>
      <c r="J292" s="1820"/>
      <c r="K292" s="1820"/>
      <c r="L292" s="1820"/>
      <c r="M292" s="1820"/>
      <c r="N292" s="1820"/>
      <c r="O292" s="1820"/>
      <c r="P292" s="1820"/>
      <c r="Q292" s="1820"/>
      <c r="R292" s="1820"/>
      <c r="S292" s="1820"/>
      <c r="T292" s="1820"/>
      <c r="U292" s="1820"/>
      <c r="V292" s="1820"/>
      <c r="W292" s="1820"/>
      <c r="X292" s="1820"/>
      <c r="Y292" s="1820"/>
      <c r="Z292" s="1820"/>
      <c r="AA292" s="1820"/>
      <c r="AB292" s="1820"/>
      <c r="AC292" s="1820"/>
      <c r="AD292" s="1821"/>
      <c r="AE292" s="476"/>
      <c r="AF292" s="476"/>
      <c r="AG292" s="476"/>
      <c r="AH292" s="476"/>
      <c r="AI292" s="476"/>
      <c r="AJ292" s="475"/>
      <c r="AK292" s="475"/>
      <c r="AL292" s="475"/>
      <c r="AM292" s="475"/>
      <c r="AR292" s="573"/>
    </row>
    <row r="293" spans="1:49" ht="15" customHeight="1">
      <c r="A293" s="475"/>
      <c r="B293" s="476"/>
      <c r="C293" s="475"/>
      <c r="D293" s="476"/>
      <c r="E293" s="475"/>
      <c r="F293" s="1819"/>
      <c r="G293" s="1820"/>
      <c r="H293" s="1820"/>
      <c r="I293" s="1820"/>
      <c r="J293" s="1820"/>
      <c r="K293" s="1820"/>
      <c r="L293" s="1820"/>
      <c r="M293" s="1820"/>
      <c r="N293" s="1820"/>
      <c r="O293" s="1820"/>
      <c r="P293" s="1820"/>
      <c r="Q293" s="1820"/>
      <c r="R293" s="1820"/>
      <c r="S293" s="1820"/>
      <c r="T293" s="1820"/>
      <c r="U293" s="1820"/>
      <c r="V293" s="1820"/>
      <c r="W293" s="1820"/>
      <c r="X293" s="1820"/>
      <c r="Y293" s="1820"/>
      <c r="Z293" s="1820"/>
      <c r="AA293" s="1820"/>
      <c r="AB293" s="1820"/>
      <c r="AC293" s="1820"/>
      <c r="AD293" s="1821"/>
      <c r="AE293" s="476"/>
      <c r="AF293" s="476"/>
      <c r="AG293" s="476"/>
      <c r="AH293" s="476"/>
      <c r="AI293" s="476"/>
      <c r="AJ293" s="475"/>
      <c r="AK293" s="475"/>
      <c r="AL293" s="475"/>
      <c r="AM293" s="475"/>
      <c r="AR293" s="573"/>
    </row>
    <row r="294" spans="1:49">
      <c r="A294" s="475"/>
      <c r="B294" s="476"/>
      <c r="C294" s="475"/>
      <c r="D294" s="476"/>
      <c r="E294" s="475"/>
      <c r="F294" s="1819"/>
      <c r="G294" s="1820"/>
      <c r="H294" s="1820"/>
      <c r="I294" s="1820"/>
      <c r="J294" s="1820"/>
      <c r="K294" s="1820"/>
      <c r="L294" s="1820"/>
      <c r="M294" s="1820"/>
      <c r="N294" s="1820"/>
      <c r="O294" s="1820"/>
      <c r="P294" s="1820"/>
      <c r="Q294" s="1820"/>
      <c r="R294" s="1820"/>
      <c r="S294" s="1820"/>
      <c r="T294" s="1820"/>
      <c r="U294" s="1820"/>
      <c r="V294" s="1820"/>
      <c r="W294" s="1820"/>
      <c r="X294" s="1820"/>
      <c r="Y294" s="1820"/>
      <c r="Z294" s="1820"/>
      <c r="AA294" s="1820"/>
      <c r="AB294" s="1820"/>
      <c r="AC294" s="1820"/>
      <c r="AD294" s="182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6"/>
      <c r="G295" s="1817"/>
      <c r="H295" s="1817"/>
      <c r="I295" s="1817"/>
      <c r="J295" s="1817"/>
      <c r="K295" s="1817"/>
      <c r="L295" s="1817"/>
      <c r="M295" s="1817"/>
      <c r="N295" s="1817"/>
      <c r="O295" s="1817"/>
      <c r="P295" s="1817"/>
      <c r="Q295" s="1817"/>
      <c r="R295" s="1817"/>
      <c r="S295" s="1817"/>
      <c r="T295" s="1817"/>
      <c r="U295" s="1817"/>
      <c r="V295" s="1817"/>
      <c r="W295" s="1817"/>
      <c r="X295" s="1817"/>
      <c r="Y295" s="1817"/>
      <c r="Z295" s="1817"/>
      <c r="AA295" s="1817"/>
      <c r="AB295" s="1817"/>
      <c r="AC295" s="1817"/>
      <c r="AD295" s="181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9" t="s">
        <v>2127</v>
      </c>
      <c r="B299" s="1589"/>
      <c r="C299" s="1884" t="s">
        <v>299</v>
      </c>
      <c r="D299" s="1884"/>
      <c r="E299" s="472"/>
      <c r="F299" s="569" t="s">
        <v>2128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2125</v>
      </c>
      <c r="AH299" s="476"/>
      <c r="AI299" s="476"/>
      <c r="AJ299" s="475"/>
      <c r="AK299" s="475"/>
      <c r="AL299" s="475"/>
      <c r="AM299" s="475"/>
      <c r="AN299" s="59"/>
      <c r="AO299" s="14"/>
    </row>
    <row r="300" spans="1:49" hidden="1">
      <c r="A300" s="66"/>
      <c r="B300" s="66"/>
      <c r="C300" s="655"/>
      <c r="D300" s="655"/>
      <c r="E300" s="472"/>
      <c r="F300" s="1906" t="s">
        <v>2129</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76"/>
      <c r="AF300" s="476"/>
      <c r="AG300" s="464"/>
      <c r="AH300" s="476"/>
      <c r="AI300" s="476"/>
      <c r="AJ300" s="475"/>
      <c r="AK300" s="475"/>
      <c r="AL300" s="475"/>
      <c r="AM300" s="475"/>
      <c r="AN300" s="59"/>
      <c r="AO300" s="14"/>
      <c r="AP300" s="482" t="s">
        <v>1426</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76"/>
      <c r="AF301" s="476"/>
      <c r="AH301" s="476"/>
      <c r="AI301" s="476"/>
      <c r="AJ301" s="475"/>
      <c r="AK301" s="475"/>
      <c r="AL301" s="475"/>
      <c r="AM301" s="475"/>
      <c r="AN301" s="59"/>
      <c r="AO301" s="14"/>
      <c r="AP301" s="482" t="s">
        <v>2130</v>
      </c>
    </row>
    <row r="302" spans="1:49" hidden="1">
      <c r="A302" s="475"/>
      <c r="B302" s="476"/>
      <c r="C302" s="655"/>
      <c r="D302" s="655"/>
      <c r="E302" s="472"/>
      <c r="F302" s="577" t="s">
        <v>2131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2132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2133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6" t="s">
        <v>1426</v>
      </c>
      <c r="G305" s="1917"/>
      <c r="H305" s="1917"/>
      <c r="I305" s="1917"/>
      <c r="J305" s="1917"/>
      <c r="K305" s="1917"/>
      <c r="L305" s="1917"/>
      <c r="M305" s="1917"/>
      <c r="N305" s="1917"/>
      <c r="O305" s="1917"/>
      <c r="P305" s="1917"/>
      <c r="Q305" s="1917"/>
      <c r="R305" s="1917"/>
      <c r="S305" s="1917"/>
      <c r="T305" s="1917"/>
      <c r="U305" s="1917"/>
      <c r="V305" s="1917"/>
      <c r="W305" s="1917"/>
      <c r="X305" s="1917"/>
      <c r="Y305" s="1917"/>
      <c r="Z305" s="1917"/>
      <c r="AA305" s="1917"/>
      <c r="AB305" s="1917"/>
      <c r="AC305" s="1917"/>
      <c r="AD305" s="1918"/>
      <c r="AE305" s="567"/>
      <c r="AF305" s="567"/>
      <c r="AG305" s="567"/>
      <c r="AH305" s="567"/>
      <c r="AI305" s="567"/>
      <c r="AJ305" s="567"/>
      <c r="AK305" s="567"/>
      <c r="AL305" s="475"/>
      <c r="AM305" s="475"/>
      <c r="AN305" s="59"/>
      <c r="AO305" s="14"/>
      <c r="AP305" s="26"/>
    </row>
    <row r="306" spans="1:42" hidden="1">
      <c r="A306" s="475"/>
      <c r="B306" s="476"/>
      <c r="C306" s="655"/>
      <c r="D306" s="655"/>
      <c r="E306" s="472"/>
      <c r="F306" s="1916"/>
      <c r="G306" s="1917"/>
      <c r="H306" s="1917"/>
      <c r="I306" s="1917"/>
      <c r="J306" s="1917"/>
      <c r="K306" s="1917"/>
      <c r="L306" s="1917"/>
      <c r="M306" s="1917"/>
      <c r="N306" s="1917"/>
      <c r="O306" s="1917"/>
      <c r="P306" s="1917"/>
      <c r="Q306" s="1917"/>
      <c r="R306" s="1917"/>
      <c r="S306" s="1917"/>
      <c r="T306" s="1917"/>
      <c r="U306" s="1917"/>
      <c r="V306" s="1917"/>
      <c r="W306" s="1917"/>
      <c r="X306" s="1917"/>
      <c r="Y306" s="1917"/>
      <c r="Z306" s="1917"/>
      <c r="AA306" s="1917"/>
      <c r="AB306" s="1917"/>
      <c r="AC306" s="1917"/>
      <c r="AD306" s="1918"/>
      <c r="AE306" s="476"/>
      <c r="AF306" s="476"/>
      <c r="AG306" s="464"/>
      <c r="AH306" s="476"/>
      <c r="AI306" s="476"/>
      <c r="AJ306" s="475"/>
      <c r="AK306" s="475"/>
      <c r="AL306" s="475"/>
      <c r="AM306" s="475"/>
      <c r="AN306" s="59"/>
      <c r="AO306" s="14"/>
      <c r="AP306" s="26"/>
    </row>
    <row r="307" spans="1:42" hidden="1">
      <c r="A307" s="475"/>
      <c r="B307" s="476"/>
      <c r="C307" s="655"/>
      <c r="D307" s="655"/>
      <c r="E307" s="472"/>
      <c r="F307" s="1916"/>
      <c r="G307" s="1917"/>
      <c r="H307" s="1917"/>
      <c r="I307" s="1917"/>
      <c r="J307" s="1917"/>
      <c r="K307" s="1917"/>
      <c r="L307" s="1917"/>
      <c r="M307" s="1917"/>
      <c r="N307" s="1917"/>
      <c r="O307" s="1917"/>
      <c r="P307" s="1917"/>
      <c r="Q307" s="1917"/>
      <c r="R307" s="1917"/>
      <c r="S307" s="1917"/>
      <c r="T307" s="1917"/>
      <c r="U307" s="1917"/>
      <c r="V307" s="1917"/>
      <c r="W307" s="1917"/>
      <c r="X307" s="1917"/>
      <c r="Y307" s="1917"/>
      <c r="Z307" s="1917"/>
      <c r="AA307" s="1917"/>
      <c r="AB307" s="1917"/>
      <c r="AC307" s="1917"/>
      <c r="AD307" s="1918"/>
      <c r="AE307" s="476"/>
      <c r="AF307" s="476"/>
      <c r="AG307" s="464"/>
      <c r="AH307" s="476"/>
      <c r="AI307" s="476"/>
      <c r="AJ307" s="475"/>
      <c r="AK307" s="475"/>
      <c r="AL307" s="475"/>
      <c r="AM307" s="475"/>
      <c r="AN307" s="59"/>
      <c r="AO307" s="14"/>
      <c r="AP307" s="26"/>
    </row>
    <row r="308" spans="1:42" hidden="1">
      <c r="A308" s="475"/>
      <c r="B308" s="476"/>
      <c r="C308" s="655"/>
      <c r="D308" s="655"/>
      <c r="E308" s="472"/>
      <c r="F308" s="1916"/>
      <c r="G308" s="1917"/>
      <c r="H308" s="1917"/>
      <c r="I308" s="1917"/>
      <c r="J308" s="1917"/>
      <c r="K308" s="1917"/>
      <c r="L308" s="1917"/>
      <c r="M308" s="1917"/>
      <c r="N308" s="1917"/>
      <c r="O308" s="1917"/>
      <c r="P308" s="1917"/>
      <c r="Q308" s="1917"/>
      <c r="R308" s="1917"/>
      <c r="S308" s="1917"/>
      <c r="T308" s="1917"/>
      <c r="U308" s="1917"/>
      <c r="V308" s="1917"/>
      <c r="W308" s="1917"/>
      <c r="X308" s="1917"/>
      <c r="Y308" s="1917"/>
      <c r="Z308" s="1917"/>
      <c r="AA308" s="1917"/>
      <c r="AB308" s="1917"/>
      <c r="AC308" s="1917"/>
      <c r="AD308" s="1918"/>
      <c r="AE308" s="476"/>
      <c r="AF308" s="476"/>
      <c r="AG308" s="464"/>
      <c r="AH308" s="476"/>
      <c r="AI308" s="476"/>
      <c r="AJ308" s="475"/>
      <c r="AK308" s="475"/>
      <c r="AL308" s="475"/>
      <c r="AM308" s="475"/>
      <c r="AN308" s="59"/>
      <c r="AO308" s="14"/>
      <c r="AP308" s="26"/>
    </row>
    <row r="309" spans="1:42" hidden="1">
      <c r="A309" s="475"/>
      <c r="B309" s="476"/>
      <c r="C309" s="655"/>
      <c r="D309" s="655"/>
      <c r="E309" s="472"/>
      <c r="F309" s="1919"/>
      <c r="G309" s="1920"/>
      <c r="H309" s="1920"/>
      <c r="I309" s="1920"/>
      <c r="J309" s="1920"/>
      <c r="K309" s="1920"/>
      <c r="L309" s="1920"/>
      <c r="M309" s="1920"/>
      <c r="N309" s="1920"/>
      <c r="O309" s="1920"/>
      <c r="P309" s="1920"/>
      <c r="Q309" s="1920"/>
      <c r="R309" s="1920"/>
      <c r="S309" s="1920"/>
      <c r="T309" s="1920"/>
      <c r="U309" s="1920"/>
      <c r="V309" s="1920"/>
      <c r="W309" s="1920"/>
      <c r="X309" s="1920"/>
      <c r="Y309" s="1920"/>
      <c r="Z309" s="1920"/>
      <c r="AA309" s="1920"/>
      <c r="AB309" s="1920"/>
      <c r="AC309" s="1920"/>
      <c r="AD309" s="1921"/>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2134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1426</v>
      </c>
    </row>
    <row r="313" spans="1:42" ht="12.75" hidden="1" customHeight="1">
      <c r="A313" s="475"/>
      <c r="B313" s="476"/>
      <c r="C313" s="655"/>
      <c r="D313" s="655"/>
      <c r="E313" s="472"/>
      <c r="F313" s="581"/>
      <c r="G313" s="500" t="s">
        <v>21</v>
      </c>
      <c r="H313" s="500"/>
      <c r="I313" s="1922" t="s">
        <v>1426</v>
      </c>
      <c r="J313" s="1922"/>
      <c r="K313" s="1922"/>
      <c r="L313" s="1922"/>
      <c r="M313" s="1922"/>
      <c r="N313" s="1922"/>
      <c r="O313" s="1922"/>
      <c r="P313" s="1922"/>
      <c r="Q313" s="1922"/>
      <c r="R313" s="1922"/>
      <c r="S313" s="1922"/>
      <c r="T313" s="1922"/>
      <c r="U313" s="1922"/>
      <c r="V313" s="1922"/>
      <c r="W313" s="1922"/>
      <c r="X313" s="1922"/>
      <c r="Y313" s="1922"/>
      <c r="Z313" s="1922"/>
      <c r="AA313" s="1922"/>
      <c r="AB313" s="1922"/>
      <c r="AC313" s="1922"/>
      <c r="AD313" s="1923"/>
      <c r="AE313" s="476"/>
      <c r="AF313" s="476"/>
      <c r="AG313" s="464"/>
      <c r="AH313" s="476"/>
      <c r="AI313" s="476"/>
      <c r="AJ313" s="475"/>
      <c r="AK313" s="475"/>
      <c r="AL313" s="475"/>
      <c r="AM313" s="475"/>
      <c r="AN313" s="59"/>
      <c r="AO313" s="14"/>
      <c r="AP313" s="482" t="s">
        <v>2135</v>
      </c>
    </row>
    <row r="314" spans="1:42" hidden="1">
      <c r="A314" s="475"/>
      <c r="B314" s="476"/>
      <c r="C314" s="655"/>
      <c r="D314" s="655"/>
      <c r="E314" s="472"/>
      <c r="F314" s="581"/>
      <c r="G314" s="500"/>
      <c r="H314" s="500"/>
      <c r="I314" s="1922"/>
      <c r="J314" s="1922"/>
      <c r="K314" s="1922"/>
      <c r="L314" s="1922"/>
      <c r="M314" s="1922"/>
      <c r="N314" s="1922"/>
      <c r="O314" s="1922"/>
      <c r="P314" s="1922"/>
      <c r="Q314" s="1922"/>
      <c r="R314" s="1922"/>
      <c r="S314" s="1922"/>
      <c r="T314" s="1922"/>
      <c r="U314" s="1922"/>
      <c r="V314" s="1922"/>
      <c r="W314" s="1922"/>
      <c r="X314" s="1922"/>
      <c r="Y314" s="1922"/>
      <c r="Z314" s="1922"/>
      <c r="AA314" s="1922"/>
      <c r="AB314" s="1922"/>
      <c r="AC314" s="1922"/>
      <c r="AD314" s="1923"/>
      <c r="AE314" s="476"/>
      <c r="AF314" s="476"/>
      <c r="AG314" s="464"/>
      <c r="AH314" s="476"/>
      <c r="AI314" s="476"/>
      <c r="AJ314" s="475"/>
      <c r="AK314" s="475"/>
      <c r="AL314" s="475"/>
      <c r="AM314" s="475"/>
      <c r="AN314" s="59"/>
      <c r="AO314" s="14"/>
      <c r="AP314" s="482" t="s">
        <v>2136</v>
      </c>
    </row>
    <row r="315" spans="1:42" hidden="1">
      <c r="A315" s="475"/>
      <c r="B315" s="476"/>
      <c r="C315" s="576"/>
      <c r="D315" s="576"/>
      <c r="E315" s="472"/>
      <c r="F315" s="581"/>
      <c r="G315" s="500"/>
      <c r="H315" s="500"/>
      <c r="I315" s="1922"/>
      <c r="J315" s="1922"/>
      <c r="K315" s="1922"/>
      <c r="L315" s="1922"/>
      <c r="M315" s="1922"/>
      <c r="N315" s="1922"/>
      <c r="O315" s="1922"/>
      <c r="P315" s="1922"/>
      <c r="Q315" s="1922"/>
      <c r="R315" s="1922"/>
      <c r="S315" s="1922"/>
      <c r="T315" s="1922"/>
      <c r="U315" s="1922"/>
      <c r="V315" s="1922"/>
      <c r="W315" s="1922"/>
      <c r="X315" s="1922"/>
      <c r="Y315" s="1922"/>
      <c r="Z315" s="1922"/>
      <c r="AA315" s="1922"/>
      <c r="AB315" s="1922"/>
      <c r="AC315" s="1922"/>
      <c r="AD315" s="1923"/>
      <c r="AE315" s="476"/>
      <c r="AF315" s="476"/>
      <c r="AG315" s="464"/>
      <c r="AH315" s="476"/>
      <c r="AI315" s="476"/>
      <c r="AJ315" s="475"/>
      <c r="AK315" s="475"/>
      <c r="AL315" s="475"/>
      <c r="AM315" s="475"/>
      <c r="AN315" s="59"/>
      <c r="AO315" s="14"/>
      <c r="AP315" s="482" t="s">
        <v>2137</v>
      </c>
    </row>
    <row r="316" spans="1:42" hidden="1">
      <c r="A316" s="475"/>
      <c r="B316" s="476"/>
      <c r="C316" s="576"/>
      <c r="D316" s="576"/>
      <c r="E316" s="472"/>
      <c r="F316" s="579"/>
      <c r="G316" s="476"/>
      <c r="H316" s="476"/>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5"/>
      <c r="AE316" s="476"/>
      <c r="AF316" s="476"/>
      <c r="AG316" s="464"/>
      <c r="AH316" s="476"/>
      <c r="AI316" s="476"/>
      <c r="AJ316" s="475"/>
      <c r="AK316" s="475"/>
      <c r="AL316" s="475"/>
      <c r="AM316" s="475"/>
      <c r="AN316" s="59"/>
      <c r="AO316" s="14"/>
      <c r="AP316" s="482" t="s">
        <v>2138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2" t="s">
        <v>1426</v>
      </c>
      <c r="J318" s="1922"/>
      <c r="K318" s="1922"/>
      <c r="L318" s="1922"/>
      <c r="M318" s="1922"/>
      <c r="N318" s="1922"/>
      <c r="O318" s="1922"/>
      <c r="P318" s="1922"/>
      <c r="Q318" s="1922"/>
      <c r="R318" s="1922"/>
      <c r="S318" s="1922"/>
      <c r="T318" s="1922"/>
      <c r="U318" s="1922"/>
      <c r="V318" s="1922"/>
      <c r="W318" s="1922"/>
      <c r="X318" s="1922"/>
      <c r="Y318" s="1922"/>
      <c r="Z318" s="1922"/>
      <c r="AA318" s="1922"/>
      <c r="AB318" s="1922"/>
      <c r="AC318" s="1922"/>
      <c r="AD318" s="192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2"/>
      <c r="J319" s="1922"/>
      <c r="K319" s="1922"/>
      <c r="L319" s="1922"/>
      <c r="M319" s="1922"/>
      <c r="N319" s="1922"/>
      <c r="O319" s="1922"/>
      <c r="P319" s="1922"/>
      <c r="Q319" s="1922"/>
      <c r="R319" s="1922"/>
      <c r="S319" s="1922"/>
      <c r="T319" s="1922"/>
      <c r="U319" s="1922"/>
      <c r="V319" s="1922"/>
      <c r="W319" s="1922"/>
      <c r="X319" s="1922"/>
      <c r="Y319" s="1922"/>
      <c r="Z319" s="1922"/>
      <c r="AA319" s="1922"/>
      <c r="AB319" s="1922"/>
      <c r="AC319" s="1922"/>
      <c r="AD319" s="1923"/>
      <c r="AE319" s="476"/>
      <c r="AF319" s="476"/>
      <c r="AG319" s="464"/>
      <c r="AH319" s="476"/>
      <c r="AI319" s="476"/>
      <c r="AJ319" s="475"/>
      <c r="AK319" s="475"/>
      <c r="AL319" s="475"/>
      <c r="AM319" s="475"/>
      <c r="AN319" s="59"/>
      <c r="AO319" s="14"/>
      <c r="AP319" s="482" t="s">
        <v>1426</v>
      </c>
    </row>
    <row r="320" spans="1:42" hidden="1">
      <c r="A320" s="475"/>
      <c r="B320" s="476"/>
      <c r="C320" s="576"/>
      <c r="D320" s="576"/>
      <c r="E320" s="472"/>
      <c r="F320" s="582"/>
      <c r="G320" s="583"/>
      <c r="H320" s="583"/>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5"/>
      <c r="AE320" s="476"/>
      <c r="AF320" s="476"/>
      <c r="AG320" s="464"/>
      <c r="AH320" s="476"/>
      <c r="AI320" s="476"/>
      <c r="AJ320" s="475"/>
      <c r="AK320" s="475"/>
      <c r="AL320" s="475"/>
      <c r="AM320" s="475"/>
      <c r="AN320" s="59"/>
      <c r="AO320" s="14"/>
      <c r="AP320" s="482" t="s">
        <v>2139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2140</v>
      </c>
    </row>
    <row r="322" spans="1:44" ht="12.75" hidden="1" customHeight="1">
      <c r="A322" s="1589" t="s">
        <v>2141</v>
      </c>
      <c r="B322" s="1589"/>
      <c r="C322" s="1884" t="s">
        <v>299</v>
      </c>
      <c r="D322" s="1884"/>
      <c r="E322" s="472"/>
      <c r="F322" s="1813" t="s">
        <v>2142</v>
      </c>
      <c r="G322" s="1814"/>
      <c r="H322" s="1814"/>
      <c r="I322" s="1814"/>
      <c r="J322" s="1814"/>
      <c r="K322" s="1814"/>
      <c r="L322" s="1814"/>
      <c r="M322" s="1814"/>
      <c r="N322" s="1814"/>
      <c r="O322" s="1814"/>
      <c r="P322" s="1814"/>
      <c r="Q322" s="1814"/>
      <c r="R322" s="1814"/>
      <c r="S322" s="1814"/>
      <c r="T322" s="1814"/>
      <c r="U322" s="1814"/>
      <c r="V322" s="1814"/>
      <c r="W322" s="1814"/>
      <c r="X322" s="1814"/>
      <c r="Y322" s="1814"/>
      <c r="Z322" s="1814"/>
      <c r="AA322" s="1814"/>
      <c r="AB322" s="1814"/>
      <c r="AC322" s="1814"/>
      <c r="AD322" s="1815"/>
      <c r="AE322" s="476"/>
      <c r="AF322" s="476"/>
      <c r="AG322" s="464" t="s">
        <v>2125</v>
      </c>
      <c r="AH322" s="476"/>
      <c r="AI322" s="476"/>
      <c r="AJ322" s="475"/>
      <c r="AK322" s="475"/>
      <c r="AL322" s="475"/>
      <c r="AM322" s="475"/>
      <c r="AN322" s="59"/>
      <c r="AO322" s="14"/>
    </row>
    <row r="323" spans="1:44" ht="15" hidden="1" customHeight="1">
      <c r="A323" s="475"/>
      <c r="B323" s="476"/>
      <c r="C323" s="476"/>
      <c r="D323" s="476"/>
      <c r="E323" s="476"/>
      <c r="F323" s="1819"/>
      <c r="G323" s="1820"/>
      <c r="H323" s="1820"/>
      <c r="I323" s="1820"/>
      <c r="J323" s="1820"/>
      <c r="K323" s="1820"/>
      <c r="L323" s="1820"/>
      <c r="M323" s="1820"/>
      <c r="N323" s="1820"/>
      <c r="O323" s="1820"/>
      <c r="P323" s="1820"/>
      <c r="Q323" s="1820"/>
      <c r="R323" s="1820"/>
      <c r="S323" s="1820"/>
      <c r="T323" s="1820"/>
      <c r="U323" s="1820"/>
      <c r="V323" s="1820"/>
      <c r="W323" s="1820"/>
      <c r="X323" s="1820"/>
      <c r="Y323" s="1820"/>
      <c r="Z323" s="1820"/>
      <c r="AA323" s="1820"/>
      <c r="AB323" s="1820"/>
      <c r="AC323" s="1820"/>
      <c r="AD323" s="1821"/>
      <c r="AE323" s="476"/>
      <c r="AF323" s="476"/>
      <c r="AG323" s="476"/>
      <c r="AH323" s="476"/>
      <c r="AI323" s="476"/>
      <c r="AJ323" s="475"/>
      <c r="AK323" s="475"/>
      <c r="AL323" s="475"/>
      <c r="AM323" s="475"/>
      <c r="AN323" s="59"/>
      <c r="AO323" s="14"/>
    </row>
    <row r="324" spans="1:44" ht="15" hidden="1" customHeight="1">
      <c r="A324" s="475"/>
      <c r="B324" s="476"/>
      <c r="C324" s="476"/>
      <c r="D324" s="476"/>
      <c r="E324" s="476"/>
      <c r="F324" s="1819"/>
      <c r="G324" s="1820"/>
      <c r="H324" s="1820"/>
      <c r="I324" s="1820"/>
      <c r="J324" s="1820"/>
      <c r="K324" s="1820"/>
      <c r="L324" s="1820"/>
      <c r="M324" s="1820"/>
      <c r="N324" s="1820"/>
      <c r="O324" s="1820"/>
      <c r="P324" s="1820"/>
      <c r="Q324" s="1820"/>
      <c r="R324" s="1820"/>
      <c r="S324" s="1820"/>
      <c r="T324" s="1820"/>
      <c r="U324" s="1820"/>
      <c r="V324" s="1820"/>
      <c r="W324" s="1820"/>
      <c r="X324" s="1820"/>
      <c r="Y324" s="1820"/>
      <c r="Z324" s="1820"/>
      <c r="AA324" s="1820"/>
      <c r="AB324" s="1820"/>
      <c r="AC324" s="1820"/>
      <c r="AD324" s="1821"/>
      <c r="AE324" s="476"/>
      <c r="AF324" s="476"/>
      <c r="AG324" s="476"/>
      <c r="AH324" s="476"/>
      <c r="AI324" s="476"/>
      <c r="AJ324" s="475"/>
      <c r="AK324" s="475"/>
      <c r="AL324" s="475"/>
      <c r="AM324" s="584"/>
      <c r="AN324" s="14"/>
      <c r="AO324" s="14"/>
    </row>
    <row r="325" spans="1:44" hidden="1">
      <c r="A325" s="475"/>
      <c r="B325" s="476"/>
      <c r="C325" s="475"/>
      <c r="D325" s="476"/>
      <c r="E325" s="475"/>
      <c r="F325" s="585" t="s">
        <v>2143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2144</v>
      </c>
      <c r="AK327" s="1887">
        <f>IF(NOT(OR(Application!M354="Yes",Application!M355="Yes")),0,AP284)</f>
        <v>10</v>
      </c>
      <c r="AL327" s="1888"/>
      <c r="AM327" s="188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2145</v>
      </c>
      <c r="B330" s="464" t="s">
        <v>2146</v>
      </c>
      <c r="C330" s="461"/>
      <c r="AC330" s="464"/>
      <c r="AE330" s="1822" t="s">
        <v>1977</v>
      </c>
      <c r="AF330" s="1822"/>
      <c r="AG330" s="1822"/>
      <c r="AH330" s="1822"/>
      <c r="AI330" s="1822"/>
      <c r="AJ330" s="1822"/>
      <c r="AK330" s="182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6" t="s">
        <v>2147</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528"/>
      <c r="AL332" s="528"/>
      <c r="AM332" s="528"/>
      <c r="AN332" s="522"/>
    </row>
    <row r="333" spans="1:44" s="475" customFormat="1" ht="12.75" customHeight="1">
      <c r="A333" s="528"/>
      <c r="B333" s="53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528"/>
      <c r="AL333" s="528"/>
      <c r="AM333" s="528"/>
      <c r="AN333" s="522"/>
    </row>
    <row r="334" spans="1:44" s="475" customFormat="1" ht="12.75" customHeight="1">
      <c r="A334" s="528"/>
      <c r="B334" s="53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528"/>
      <c r="AL334" s="528"/>
      <c r="AM334" s="528"/>
      <c r="AN334" s="522"/>
      <c r="AQ334" s="495"/>
    </row>
    <row r="335" spans="1:44" s="475" customFormat="1" ht="12.75" customHeight="1">
      <c r="A335" s="528"/>
      <c r="B335" s="53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528"/>
      <c r="AL335" s="528"/>
      <c r="AM335" s="528"/>
      <c r="AN335" s="522"/>
      <c r="AQ335" s="495"/>
    </row>
    <row r="336" spans="1:44" s="475" customFormat="1" ht="12.6" customHeight="1">
      <c r="A336" s="528"/>
      <c r="B336" s="53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528"/>
      <c r="AL336" s="528"/>
      <c r="AM336" s="528"/>
      <c r="AN336" s="522"/>
      <c r="AQ336" s="495"/>
      <c r="AR336" s="495"/>
    </row>
    <row r="337" spans="1:46" s="475" customFormat="1" ht="45.75" customHeight="1">
      <c r="A337" s="528"/>
      <c r="B337" s="536"/>
      <c r="C337" s="1926" t="s">
        <v>2148</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6" t="s">
        <v>2149</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528"/>
      <c r="AL339" s="528"/>
      <c r="AM339" s="528"/>
      <c r="AN339" s="522"/>
      <c r="AQ339" s="495"/>
      <c r="AR339" s="495"/>
    </row>
    <row r="340" spans="1:46" s="475" customFormat="1" ht="30" customHeight="1">
      <c r="A340" s="528"/>
      <c r="B340" s="53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528"/>
      <c r="AL340" s="528"/>
      <c r="AM340" s="528"/>
      <c r="AN340" s="522"/>
      <c r="AR340" s="495"/>
    </row>
    <row r="341" spans="1:46" s="475" customFormat="1" ht="12.75" customHeight="1">
      <c r="A341" s="528"/>
      <c r="B341" s="53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528"/>
      <c r="AL341" s="528"/>
      <c r="AM341" s="528"/>
      <c r="AN341" s="522"/>
      <c r="AR341" s="495"/>
    </row>
    <row r="342" spans="1:46" s="475" customFormat="1" ht="12.75" customHeight="1">
      <c r="A342" s="528"/>
      <c r="B342" s="536"/>
      <c r="C342" s="1926" t="s">
        <v>2150</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528"/>
      <c r="AL342" s="528"/>
      <c r="AM342" s="528"/>
      <c r="AN342" s="522"/>
      <c r="AQ342" s="495"/>
      <c r="AR342" s="495"/>
    </row>
    <row r="343" spans="1:46" s="475" customFormat="1" ht="12.75" customHeight="1">
      <c r="A343" s="528"/>
      <c r="B343" s="53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528"/>
      <c r="AL343" s="528"/>
      <c r="AM343" s="528"/>
      <c r="AN343" s="522"/>
      <c r="AQ343" s="495"/>
      <c r="AR343" s="495"/>
    </row>
    <row r="344" spans="1:46" s="475" customFormat="1" ht="13.35" customHeight="1">
      <c r="A344" s="528"/>
      <c r="B344" s="53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528"/>
      <c r="AL344" s="528"/>
      <c r="AM344" s="528"/>
      <c r="AN344" s="522"/>
      <c r="AQ344" s="495"/>
      <c r="AR344" s="495"/>
    </row>
    <row r="345" spans="1:46" s="475" customFormat="1" ht="12.75" customHeight="1">
      <c r="A345" s="528"/>
      <c r="B345" s="53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528"/>
      <c r="AL345" s="528"/>
      <c r="AM345" s="528"/>
      <c r="AN345" s="522"/>
      <c r="AO345" s="619"/>
      <c r="AP345" s="619"/>
      <c r="AQ345" s="495"/>
    </row>
    <row r="346" spans="1:46" s="475" customFormat="1" ht="12" customHeight="1">
      <c r="A346" s="528"/>
      <c r="B346" s="53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528"/>
      <c r="AL346" s="528"/>
      <c r="AM346" s="528"/>
      <c r="AN346" s="522"/>
      <c r="AO346" s="620" t="s">
        <v>17</v>
      </c>
      <c r="AP346" s="621">
        <f>IF(C370="Yes",5,0)</f>
        <v>5</v>
      </c>
      <c r="AS346" s="464" t="s">
        <v>2151</v>
      </c>
    </row>
    <row r="347" spans="1:46" s="475" customFormat="1" ht="12.75" customHeight="1">
      <c r="A347" s="528"/>
      <c r="B347" s="53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528"/>
      <c r="AL347" s="528"/>
      <c r="AM347" s="528"/>
      <c r="AN347" s="522"/>
      <c r="AO347" s="620" t="s">
        <v>30</v>
      </c>
      <c r="AP347" s="621">
        <f>IF(C378="Yes",5,0)</f>
        <v>0</v>
      </c>
      <c r="AS347" s="1943">
        <f>IF(Application!D210="Non-Targeted",(SUM(AQ355+AQ364)),AS351)</f>
        <v>12</v>
      </c>
      <c r="AT347" s="1943"/>
    </row>
    <row r="348" spans="1:46" s="475" customFormat="1" ht="12.75" customHeight="1">
      <c r="A348" s="528"/>
      <c r="B348" s="53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528"/>
      <c r="AL348" s="528"/>
      <c r="AM348" s="528"/>
      <c r="AN348" s="522"/>
      <c r="AO348" s="620" t="s">
        <v>38</v>
      </c>
      <c r="AP348" s="621">
        <f>IF(C386="Yes",7,0)</f>
        <v>7</v>
      </c>
      <c r="AS348" s="464" t="s">
        <v>2152</v>
      </c>
    </row>
    <row r="349" spans="1:46" s="475" customFormat="1" ht="12.75" customHeight="1">
      <c r="A349" s="528"/>
      <c r="B349" s="53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528"/>
      <c r="AL349" s="528"/>
      <c r="AM349" s="528"/>
      <c r="AN349" s="522"/>
      <c r="AO349" s="522"/>
      <c r="AP349" s="621">
        <f>IF(C388="Yes",5,0)</f>
        <v>0</v>
      </c>
      <c r="AS349" s="1943">
        <f>IF(AND(AQ355&gt;0,AQ364&gt;0),(AQ355+AQ364)/2,0)</f>
        <v>11</v>
      </c>
      <c r="AT349" s="1943"/>
    </row>
    <row r="350" spans="1:46" s="475" customFormat="1" ht="12.75" customHeight="1">
      <c r="A350" s="528"/>
      <c r="B350" s="53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528"/>
      <c r="AL350" s="528"/>
      <c r="AM350" s="528"/>
      <c r="AN350" s="522"/>
      <c r="AO350" s="620" t="s">
        <v>81</v>
      </c>
      <c r="AP350" s="621">
        <f>IF(C396="Yes",5,0)</f>
        <v>0</v>
      </c>
      <c r="AS350" s="464" t="s">
        <v>2153</v>
      </c>
    </row>
    <row r="351" spans="1:46" s="475" customFormat="1" ht="12.75" customHeight="1">
      <c r="A351" s="528"/>
      <c r="B351" s="536"/>
      <c r="C351" s="1944" t="s">
        <v>2154</v>
      </c>
      <c r="D351" s="1944"/>
      <c r="E351" s="1944"/>
      <c r="F351" s="1944"/>
      <c r="G351" s="1944"/>
      <c r="H351" s="1944"/>
      <c r="I351" s="1944"/>
      <c r="J351" s="1944"/>
      <c r="K351" s="1944"/>
      <c r="L351" s="1944"/>
      <c r="M351" s="1944"/>
      <c r="N351" s="1944"/>
      <c r="O351" s="1944"/>
      <c r="P351" s="1944"/>
      <c r="Q351" s="1944"/>
      <c r="R351" s="1944"/>
      <c r="S351" s="1944"/>
      <c r="T351" s="1944"/>
      <c r="U351" s="1944"/>
      <c r="V351" s="1944"/>
      <c r="W351" s="1944"/>
      <c r="X351" s="1944"/>
      <c r="Y351" s="1944"/>
      <c r="Z351" s="1944"/>
      <c r="AA351" s="1944"/>
      <c r="AB351" s="1944"/>
      <c r="AC351" s="1944"/>
      <c r="AD351" s="1944"/>
      <c r="AE351" s="1944"/>
      <c r="AF351" s="1944"/>
      <c r="AG351" s="1944"/>
      <c r="AH351" s="1944"/>
      <c r="AI351" s="1944"/>
      <c r="AJ351" s="1944"/>
      <c r="AK351" s="528"/>
      <c r="AL351" s="528"/>
      <c r="AM351" s="528"/>
      <c r="AN351" s="522"/>
      <c r="AO351" s="522"/>
      <c r="AP351" s="621">
        <f>IF(C398="Yes",3,0)</f>
        <v>0</v>
      </c>
      <c r="AS351" s="1943">
        <f>IF(AQ355=0,AQ364,AQ355)</f>
        <v>12</v>
      </c>
      <c r="AT351" s="1943"/>
    </row>
    <row r="352" spans="1:46" s="475" customFormat="1" ht="12.75" customHeight="1">
      <c r="A352" s="528"/>
      <c r="B352" s="536"/>
      <c r="C352" s="1944"/>
      <c r="D352" s="1944"/>
      <c r="E352" s="1944"/>
      <c r="F352" s="1944"/>
      <c r="G352" s="1944"/>
      <c r="H352" s="1944"/>
      <c r="I352" s="1944"/>
      <c r="J352" s="1944"/>
      <c r="K352" s="1944"/>
      <c r="L352" s="1944"/>
      <c r="M352" s="1944"/>
      <c r="N352" s="1944"/>
      <c r="O352" s="1944"/>
      <c r="P352" s="1944"/>
      <c r="Q352" s="1944"/>
      <c r="R352" s="1944"/>
      <c r="S352" s="1944"/>
      <c r="T352" s="1944"/>
      <c r="U352" s="1944"/>
      <c r="V352" s="1944"/>
      <c r="W352" s="1944"/>
      <c r="X352" s="1944"/>
      <c r="Y352" s="1944"/>
      <c r="Z352" s="1944"/>
      <c r="AA352" s="1944"/>
      <c r="AB352" s="1944"/>
      <c r="AC352" s="1944"/>
      <c r="AD352" s="1944"/>
      <c r="AE352" s="1944"/>
      <c r="AF352" s="1944"/>
      <c r="AG352" s="1944"/>
      <c r="AH352" s="1944"/>
      <c r="AI352" s="1944"/>
      <c r="AJ352" s="1944"/>
      <c r="AK352" s="528"/>
      <c r="AL352" s="528"/>
      <c r="AM352" s="528"/>
      <c r="AN352" s="522"/>
      <c r="AO352" s="620" t="s">
        <v>85</v>
      </c>
      <c r="AP352" s="621">
        <f>IF(C401="Yes",5,0)</f>
        <v>0</v>
      </c>
    </row>
    <row r="353" spans="1:81" s="475" customFormat="1" ht="12.75" customHeight="1">
      <c r="A353" s="528"/>
      <c r="B353" s="536"/>
      <c r="C353" s="1944"/>
      <c r="D353" s="1944"/>
      <c r="E353" s="1944"/>
      <c r="F353" s="1944"/>
      <c r="G353" s="1944"/>
      <c r="H353" s="1944"/>
      <c r="I353" s="1944"/>
      <c r="J353" s="1944"/>
      <c r="K353" s="1944"/>
      <c r="L353" s="1944"/>
      <c r="M353" s="1944"/>
      <c r="N353" s="1944"/>
      <c r="O353" s="1944"/>
      <c r="P353" s="1944"/>
      <c r="Q353" s="1944"/>
      <c r="R353" s="1944"/>
      <c r="S353" s="1944"/>
      <c r="T353" s="1944"/>
      <c r="U353" s="1944"/>
      <c r="V353" s="1944"/>
      <c r="W353" s="1944"/>
      <c r="X353" s="1944"/>
      <c r="Y353" s="1944"/>
      <c r="Z353" s="1944"/>
      <c r="AA353" s="1944"/>
      <c r="AB353" s="1944"/>
      <c r="AC353" s="1944"/>
      <c r="AD353" s="1944"/>
      <c r="AE353" s="1944"/>
      <c r="AF353" s="1944"/>
      <c r="AG353" s="1944"/>
      <c r="AH353" s="1944"/>
      <c r="AI353" s="1944"/>
      <c r="AJ353" s="1944"/>
      <c r="AK353" s="528"/>
      <c r="AL353" s="528"/>
      <c r="AM353" s="528"/>
      <c r="AN353" s="522"/>
      <c r="AO353" s="620" t="s">
        <v>1483</v>
      </c>
      <c r="AP353" s="621">
        <f>IF(C410="Yes",5,0)</f>
        <v>0</v>
      </c>
    </row>
    <row r="354" spans="1:81" s="475" customFormat="1" ht="12" customHeight="1">
      <c r="A354" s="528"/>
      <c r="B354" s="536"/>
      <c r="C354" s="1944"/>
      <c r="D354" s="1944"/>
      <c r="E354" s="1944"/>
      <c r="F354" s="1944"/>
      <c r="G354" s="1944"/>
      <c r="H354" s="1944"/>
      <c r="I354" s="1944"/>
      <c r="J354" s="1944"/>
      <c r="K354" s="1944"/>
      <c r="L354" s="1944"/>
      <c r="M354" s="1944"/>
      <c r="N354" s="1944"/>
      <c r="O354" s="1944"/>
      <c r="P354" s="1944"/>
      <c r="Q354" s="1944"/>
      <c r="R354" s="1944"/>
      <c r="S354" s="1944"/>
      <c r="T354" s="1944"/>
      <c r="U354" s="1944"/>
      <c r="V354" s="1944"/>
      <c r="W354" s="1944"/>
      <c r="X354" s="1944"/>
      <c r="Y354" s="1944"/>
      <c r="Z354" s="1944"/>
      <c r="AA354" s="1944"/>
      <c r="AB354" s="1944"/>
      <c r="AC354" s="1944"/>
      <c r="AD354" s="1944"/>
      <c r="AE354" s="1944"/>
      <c r="AF354" s="1944"/>
      <c r="AG354" s="1944"/>
      <c r="AH354" s="1944"/>
      <c r="AI354" s="1944"/>
      <c r="AJ354" s="1944"/>
      <c r="AK354" s="528"/>
      <c r="AL354" s="528"/>
      <c r="AM354" s="528"/>
      <c r="AN354" s="522"/>
      <c r="AO354" s="622"/>
      <c r="AP354" s="623">
        <f>IF(C412="Yes",3,0)</f>
        <v>0</v>
      </c>
    </row>
    <row r="355" spans="1:81" s="475" customFormat="1" ht="12.6" customHeight="1">
      <c r="A355" s="528"/>
      <c r="B355" s="536"/>
      <c r="C355" s="1944"/>
      <c r="D355" s="1944"/>
      <c r="E355" s="1944"/>
      <c r="F355" s="1944"/>
      <c r="G355" s="1944"/>
      <c r="H355" s="1944"/>
      <c r="I355" s="1944"/>
      <c r="J355" s="1944"/>
      <c r="K355" s="1944"/>
      <c r="L355" s="1944"/>
      <c r="M355" s="1944"/>
      <c r="N355" s="1944"/>
      <c r="O355" s="1944"/>
      <c r="P355" s="1944"/>
      <c r="Q355" s="1944"/>
      <c r="R355" s="1944"/>
      <c r="S355" s="1944"/>
      <c r="T355" s="1944"/>
      <c r="U355" s="1944"/>
      <c r="V355" s="1944"/>
      <c r="W355" s="1944"/>
      <c r="X355" s="1944"/>
      <c r="Y355" s="1944"/>
      <c r="Z355" s="1944"/>
      <c r="AA355" s="1944"/>
      <c r="AB355" s="1944"/>
      <c r="AC355" s="1944"/>
      <c r="AD355" s="1944"/>
      <c r="AE355" s="1944"/>
      <c r="AF355" s="1944"/>
      <c r="AG355" s="1944"/>
      <c r="AH355" s="1944"/>
      <c r="AI355" s="1944"/>
      <c r="AJ355" s="1944"/>
      <c r="AK355" s="528"/>
      <c r="AL355" s="528"/>
      <c r="AM355" s="528"/>
      <c r="AN355" s="522"/>
      <c r="AO355" s="624" t="s">
        <v>2155</v>
      </c>
      <c r="AP355" s="625">
        <f>SUM(AP346:AP354)</f>
        <v>12</v>
      </c>
      <c r="AQ355" s="1945">
        <f>IF(AP355&gt;0,AP355,0)</f>
        <v>12</v>
      </c>
      <c r="AR355" s="1945"/>
    </row>
    <row r="356" spans="1:81" s="475" customFormat="1" ht="12.75" customHeight="1">
      <c r="A356" s="528"/>
      <c r="B356" s="536"/>
      <c r="C356" s="1944"/>
      <c r="D356" s="1944"/>
      <c r="E356" s="1944"/>
      <c r="F356" s="1944"/>
      <c r="G356" s="1944"/>
      <c r="H356" s="1944"/>
      <c r="I356" s="1944"/>
      <c r="J356" s="1944"/>
      <c r="K356" s="1944"/>
      <c r="L356" s="1944"/>
      <c r="M356" s="1944"/>
      <c r="N356" s="1944"/>
      <c r="O356" s="1944"/>
      <c r="P356" s="1944"/>
      <c r="Q356" s="1944"/>
      <c r="R356" s="1944"/>
      <c r="S356" s="1944"/>
      <c r="T356" s="1944"/>
      <c r="U356" s="1944"/>
      <c r="V356" s="1944"/>
      <c r="W356" s="1944"/>
      <c r="X356" s="1944"/>
      <c r="Y356" s="1944"/>
      <c r="Z356" s="1944"/>
      <c r="AA356" s="1944"/>
      <c r="AB356" s="1944"/>
      <c r="AC356" s="1944"/>
      <c r="AD356" s="1944"/>
      <c r="AE356" s="1944"/>
      <c r="AF356" s="1944"/>
      <c r="AG356" s="1944"/>
      <c r="AH356" s="1944"/>
      <c r="AI356" s="1944"/>
      <c r="AJ356" s="194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1485</v>
      </c>
      <c r="AP357" s="621">
        <f>IF(C419="Yes",5,0)</f>
        <v>5</v>
      </c>
    </row>
    <row r="358" spans="1:81" s="475" customFormat="1" ht="12.75" customHeight="1">
      <c r="A358" s="528"/>
      <c r="B358" s="536"/>
      <c r="C358" s="1926" t="s">
        <v>2156</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528"/>
      <c r="AL358" s="528"/>
      <c r="AM358" s="528"/>
      <c r="AN358" s="522"/>
      <c r="AO358" s="620" t="s">
        <v>1487</v>
      </c>
      <c r="AP358" s="621">
        <f>IF(C431="Yes",5,0)</f>
        <v>0</v>
      </c>
    </row>
    <row r="359" spans="1:81" s="475" customFormat="1" ht="12.75" customHeight="1">
      <c r="A359" s="528"/>
      <c r="B359" s="53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528"/>
      <c r="AL359" s="528"/>
      <c r="AM359" s="528"/>
      <c r="AN359" s="522"/>
      <c r="AO359" s="620" t="s">
        <v>1488</v>
      </c>
      <c r="AP359" s="621">
        <f>IF(C438="Yes",5,0)</f>
        <v>5</v>
      </c>
    </row>
    <row r="360" spans="1:81" s="475" customFormat="1" ht="68.25" customHeight="1">
      <c r="A360" s="528"/>
      <c r="B360" s="53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528"/>
      <c r="AL360" s="528"/>
      <c r="AM360" s="528"/>
      <c r="AN360" s="522"/>
      <c r="AO360" s="620" t="s">
        <v>1489</v>
      </c>
      <c r="AP360" s="626">
        <f>IF(C442="Yes",5,0)</f>
        <v>0</v>
      </c>
    </row>
    <row r="361" spans="1:81" s="475" customFormat="1" ht="12.6" customHeight="1">
      <c r="A361" s="528"/>
      <c r="B361" s="536"/>
      <c r="C361" s="475" t="s">
        <v>2157</v>
      </c>
      <c r="AF361" s="528"/>
      <c r="AG361" s="528"/>
      <c r="AH361" s="528"/>
      <c r="AI361" s="528"/>
      <c r="AJ361" s="528"/>
      <c r="AK361" s="528"/>
      <c r="AL361" s="528"/>
      <c r="AM361" s="528"/>
      <c r="AN361" s="522"/>
      <c r="AO361" s="620" t="s">
        <v>1490</v>
      </c>
      <c r="AP361" s="621">
        <f>IF(C446="Yes",5,0)</f>
        <v>0</v>
      </c>
    </row>
    <row r="362" spans="1:81" s="475" customFormat="1" ht="12.75" customHeight="1">
      <c r="A362" s="528"/>
      <c r="B362" s="536"/>
      <c r="C362" s="627" t="s">
        <v>2158</v>
      </c>
      <c r="D362" s="628"/>
      <c r="E362" s="628"/>
      <c r="F362" s="628"/>
      <c r="G362" s="628"/>
      <c r="H362" s="628"/>
      <c r="I362" s="628"/>
      <c r="J362" s="628"/>
      <c r="K362" s="628"/>
      <c r="L362" s="628"/>
      <c r="M362" s="592"/>
      <c r="N362" s="592"/>
      <c r="O362" s="629"/>
      <c r="P362" s="628"/>
      <c r="Q362" s="628"/>
      <c r="R362" s="592"/>
      <c r="S362" s="592"/>
      <c r="T362" s="628"/>
      <c r="U362" s="2031">
        <f>Application!CS649-U363</f>
        <v>147</v>
      </c>
      <c r="V362" s="2031"/>
      <c r="W362" s="2031"/>
      <c r="X362" s="628"/>
      <c r="Y362" s="628"/>
      <c r="Z362" s="628"/>
      <c r="AA362" s="630"/>
      <c r="AB362" s="631"/>
      <c r="AC362" s="631"/>
      <c r="AD362" s="631"/>
      <c r="AE362" s="528"/>
      <c r="AF362" s="528"/>
      <c r="AG362" s="528"/>
      <c r="AH362" s="528"/>
      <c r="AI362" s="528"/>
      <c r="AJ362" s="528"/>
      <c r="AK362" s="528"/>
      <c r="AL362" s="528"/>
      <c r="AM362" s="528"/>
      <c r="AN362" s="522"/>
      <c r="AO362" s="620" t="s">
        <v>1491</v>
      </c>
      <c r="AP362" s="621">
        <f>IF(C455="Yes",5,0)</f>
        <v>0</v>
      </c>
    </row>
    <row r="363" spans="1:81" s="475" customFormat="1" ht="12.75" customHeight="1">
      <c r="A363" s="528"/>
      <c r="B363" s="536"/>
      <c r="C363" s="632" t="s">
        <v>2159</v>
      </c>
      <c r="D363" s="619"/>
      <c r="E363" s="619"/>
      <c r="F363" s="619"/>
      <c r="G363" s="619"/>
      <c r="H363" s="619"/>
      <c r="I363" s="619"/>
      <c r="J363" s="619"/>
      <c r="K363" s="619"/>
      <c r="L363" s="619"/>
      <c r="M363" s="619"/>
      <c r="N363" s="619"/>
      <c r="O363" s="619"/>
      <c r="P363" s="619"/>
      <c r="Q363" s="619"/>
      <c r="R363" s="619"/>
      <c r="S363" s="619"/>
      <c r="T363" s="619"/>
      <c r="U363" s="2032">
        <f>Application!AG742</f>
        <v>0</v>
      </c>
      <c r="V363" s="2032"/>
      <c r="W363" s="203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2155</v>
      </c>
      <c r="AP364" s="636">
        <f>SUM(AP357:AP362)</f>
        <v>10</v>
      </c>
      <c r="AQ364" s="1945">
        <f>IF(AP364&gt;0,AP364,0)</f>
        <v>10</v>
      </c>
      <c r="AR364" s="1945"/>
    </row>
    <row r="365" spans="1:81" s="475" customFormat="1" ht="12.75" customHeight="1">
      <c r="A365" s="528"/>
      <c r="B365" s="14"/>
      <c r="C365" s="637" t="s">
        <v>2160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1979</v>
      </c>
      <c r="F366" s="1930" t="s">
        <v>2161</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7" t="s">
        <v>946</v>
      </c>
      <c r="D370" s="1884"/>
      <c r="E370" s="644"/>
      <c r="F370" s="646" t="s">
        <v>2162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8" t="s">
        <v>2163</v>
      </c>
      <c r="AG370" s="1928"/>
      <c r="AH370" s="1928"/>
      <c r="AI370" s="1928"/>
      <c r="AJ370" s="1928"/>
      <c r="AK370" s="1928"/>
      <c r="AL370" s="1929"/>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1982</v>
      </c>
      <c r="F373" s="1930" t="s">
        <v>2164</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657"/>
      <c r="AN377" s="522"/>
      <c r="BS377" s="26"/>
      <c r="BT377" s="26"/>
      <c r="BU377" s="14"/>
      <c r="BV377" s="14"/>
      <c r="BW377" s="14"/>
      <c r="BX377" s="14"/>
      <c r="BY377" s="14"/>
      <c r="BZ377" s="14"/>
      <c r="CA377" s="14"/>
      <c r="CB377" s="14"/>
      <c r="CC377" s="14"/>
    </row>
    <row r="378" spans="1:81" s="475" customFormat="1" ht="12.75" customHeight="1">
      <c r="A378" s="461"/>
      <c r="B378" s="14"/>
      <c r="C378" s="1927" t="s">
        <v>299</v>
      </c>
      <c r="D378" s="1884"/>
      <c r="E378" s="616"/>
      <c r="F378" s="646" t="s">
        <v>2165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8" t="s">
        <v>2163</v>
      </c>
      <c r="AG378" s="1928"/>
      <c r="AH378" s="1928"/>
      <c r="AI378" s="1928"/>
      <c r="AJ378" s="1928"/>
      <c r="AK378" s="1928"/>
      <c r="AL378" s="192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1988</v>
      </c>
      <c r="F381" s="1930" t="s">
        <v>2166</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7" t="s">
        <v>946</v>
      </c>
      <c r="D386" s="1884"/>
      <c r="E386" s="616"/>
      <c r="F386" s="646" t="s">
        <v>2167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8" t="s">
        <v>2168</v>
      </c>
      <c r="AG386" s="1928"/>
      <c r="AH386" s="1928"/>
      <c r="AI386" s="1928"/>
      <c r="AJ386" s="1928"/>
      <c r="AK386" s="1928"/>
      <c r="AL386" s="192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7" t="s">
        <v>299</v>
      </c>
      <c r="D388" s="1884"/>
      <c r="E388" s="616"/>
      <c r="F388" s="663" t="s">
        <v>2169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8" t="s">
        <v>2163</v>
      </c>
      <c r="AG388" s="1928"/>
      <c r="AH388" s="1928"/>
      <c r="AI388" s="1928"/>
      <c r="AJ388" s="1928"/>
      <c r="AK388" s="1928"/>
      <c r="AL388" s="192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2171</v>
      </c>
      <c r="F392" s="1930" t="s">
        <v>2172</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7" t="s">
        <v>299</v>
      </c>
      <c r="D396" s="1884"/>
      <c r="E396" s="616"/>
      <c r="F396" s="646" t="s">
        <v>2173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8" t="s">
        <v>2163</v>
      </c>
      <c r="AG396" s="1928"/>
      <c r="AH396" s="1928"/>
      <c r="AI396" s="1928"/>
      <c r="AJ396" s="1928"/>
      <c r="AK396" s="1928"/>
      <c r="AL396" s="192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7" t="s">
        <v>299</v>
      </c>
      <c r="D398" s="1884"/>
      <c r="E398" s="644"/>
      <c r="F398" s="646" t="s">
        <v>2174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8" t="s">
        <v>2175</v>
      </c>
      <c r="AG398" s="1928"/>
      <c r="AH398" s="1928"/>
      <c r="AI398" s="1928"/>
      <c r="AJ398" s="1928"/>
      <c r="AK398" s="1928"/>
      <c r="AL398" s="192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7" t="s">
        <v>299</v>
      </c>
      <c r="D401" s="1884"/>
      <c r="E401" s="640" t="s">
        <v>2176</v>
      </c>
      <c r="F401" s="1930" t="s">
        <v>2177</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854" t="s">
        <v>2163</v>
      </c>
      <c r="AG402" s="1854"/>
      <c r="AH402" s="1854"/>
      <c r="AI402" s="1854"/>
      <c r="AJ402" s="1854"/>
      <c r="AK402" s="1854"/>
      <c r="AL402" s="1932"/>
      <c r="AM402" s="495"/>
      <c r="AN402" s="522"/>
      <c r="BS402" s="495"/>
      <c r="BT402" s="495"/>
      <c r="BY402" s="495"/>
      <c r="BZ402" s="495"/>
      <c r="CA402" s="495"/>
      <c r="CB402" s="495"/>
      <c r="CC402" s="495"/>
    </row>
    <row r="403" spans="1:81" s="475" customFormat="1" ht="12.75" customHeight="1">
      <c r="A403" s="461"/>
      <c r="B403" s="14"/>
      <c r="C403" s="656"/>
      <c r="D403" s="14"/>
      <c r="E403" s="61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46"/>
      <c r="G404" s="1946"/>
      <c r="H404" s="1946"/>
      <c r="I404" s="1946"/>
      <c r="J404" s="1946"/>
      <c r="K404" s="1946"/>
      <c r="L404" s="1946"/>
      <c r="M404" s="1946"/>
      <c r="N404" s="1946"/>
      <c r="O404" s="1946"/>
      <c r="P404" s="1946"/>
      <c r="Q404" s="1946"/>
      <c r="R404" s="1946"/>
      <c r="S404" s="1946"/>
      <c r="T404" s="1946"/>
      <c r="U404" s="1946"/>
      <c r="V404" s="1946"/>
      <c r="W404" s="1946"/>
      <c r="X404" s="1946"/>
      <c r="Y404" s="1946"/>
      <c r="Z404" s="1946"/>
      <c r="AA404" s="1946"/>
      <c r="AB404" s="1946"/>
      <c r="AC404" s="1946"/>
      <c r="AD404" s="1946"/>
      <c r="AE404" s="1946"/>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2178</v>
      </c>
      <c r="F406" s="1930" t="s">
        <v>2179</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672"/>
      <c r="AG406" s="672"/>
      <c r="AH406" s="672"/>
      <c r="AI406" s="672"/>
      <c r="AJ406" s="672"/>
      <c r="AK406" s="672"/>
      <c r="AL406" s="673"/>
      <c r="AM406" s="495"/>
    </row>
    <row r="407" spans="1:81">
      <c r="A407" s="461"/>
      <c r="C407" s="656"/>
      <c r="E407" s="61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464"/>
      <c r="AG407" s="461"/>
      <c r="AH407" s="475"/>
      <c r="AI407" s="475"/>
      <c r="AJ407" s="475"/>
      <c r="AK407" s="475"/>
      <c r="AL407" s="657"/>
      <c r="AM407" s="495"/>
    </row>
    <row r="408" spans="1:81" s="475" customFormat="1" ht="12.75" customHeight="1">
      <c r="A408" s="461"/>
      <c r="B408" s="14"/>
      <c r="C408" s="656"/>
      <c r="D408" s="14"/>
      <c r="E408" s="61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657"/>
      <c r="AM408" s="495"/>
      <c r="AN408" s="522"/>
    </row>
    <row r="409" spans="1:81" s="475" customFormat="1" ht="12.75" customHeight="1">
      <c r="A409" s="461"/>
      <c r="B409" s="14"/>
      <c r="C409" s="66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657"/>
      <c r="AM409" s="495"/>
      <c r="AN409" s="522"/>
    </row>
    <row r="410" spans="1:81" s="475" customFormat="1" ht="12.75" customHeight="1">
      <c r="A410" s="461"/>
      <c r="B410" s="14"/>
      <c r="C410" s="1927" t="s">
        <v>299</v>
      </c>
      <c r="D410" s="1884"/>
      <c r="E410" s="616"/>
      <c r="F410" s="646" t="s">
        <v>2180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4" t="s">
        <v>2163</v>
      </c>
      <c r="AG410" s="1854"/>
      <c r="AH410" s="1854"/>
      <c r="AI410" s="1854"/>
      <c r="AJ410" s="1854"/>
      <c r="AK410" s="1854"/>
      <c r="AL410" s="1932"/>
      <c r="AM410" s="495"/>
      <c r="AN410" s="522"/>
    </row>
    <row r="411" spans="1:81" s="475" customFormat="1" ht="12.75" customHeight="1">
      <c r="A411" s="461"/>
      <c r="B411" s="14"/>
      <c r="C411" s="664"/>
      <c r="AL411" s="657"/>
      <c r="AM411" s="495"/>
      <c r="AN411" s="522"/>
    </row>
    <row r="412" spans="1:81" s="475" customFormat="1" ht="12.75" customHeight="1">
      <c r="A412" s="461"/>
      <c r="B412" s="14"/>
      <c r="C412" s="1927" t="s">
        <v>299</v>
      </c>
      <c r="D412" s="1884"/>
      <c r="E412" s="644"/>
      <c r="F412" s="646" t="s">
        <v>2181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4" t="s">
        <v>2175</v>
      </c>
      <c r="AG412" s="1854"/>
      <c r="AH412" s="1854"/>
      <c r="AI412" s="1854"/>
      <c r="AJ412" s="1854"/>
      <c r="AK412" s="1854"/>
      <c r="AL412" s="193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2183</v>
      </c>
      <c r="F416" s="1930" t="s">
        <v>2184</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639"/>
      <c r="AG416" s="639"/>
      <c r="AH416" s="639"/>
      <c r="AI416" s="639"/>
      <c r="AJ416" s="639"/>
      <c r="AK416" s="639"/>
      <c r="AL416" s="670"/>
      <c r="AM416" s="495"/>
      <c r="AN416" s="522"/>
    </row>
    <row r="417" spans="1:60" s="475" customFormat="1" ht="12.75" customHeight="1">
      <c r="A417" s="461"/>
      <c r="B417" s="14"/>
      <c r="C417" s="656"/>
      <c r="D417" s="14"/>
      <c r="E417" s="61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464"/>
      <c r="AG417" s="461"/>
      <c r="AL417" s="657"/>
      <c r="AM417" s="495"/>
      <c r="AN417" s="522"/>
    </row>
    <row r="418" spans="1:60" s="475" customFormat="1" ht="12.6" customHeight="1">
      <c r="A418" s="461"/>
      <c r="B418" s="14"/>
      <c r="C418" s="656"/>
      <c r="D418" s="14"/>
      <c r="E418" s="61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657"/>
      <c r="AM418" s="495"/>
      <c r="AN418" s="522"/>
    </row>
    <row r="419" spans="1:60" s="475" customFormat="1" ht="12.75" customHeight="1">
      <c r="A419" s="461"/>
      <c r="B419" s="14"/>
      <c r="C419" s="1927" t="s">
        <v>946</v>
      </c>
      <c r="D419" s="1884"/>
      <c r="E419" s="616"/>
      <c r="F419" s="646" t="s">
        <v>2185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54" t="s">
        <v>2163</v>
      </c>
      <c r="AG419" s="1854"/>
      <c r="AH419" s="1854"/>
      <c r="AI419" s="1854"/>
      <c r="AJ419" s="1854"/>
      <c r="AK419" s="1854"/>
      <c r="AL419" s="193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2186</v>
      </c>
      <c r="F422" s="1930" t="s">
        <v>2187</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672"/>
      <c r="AG422" s="672"/>
      <c r="AH422" s="672"/>
      <c r="AI422" s="672"/>
      <c r="AJ422" s="672"/>
      <c r="AK422" s="672"/>
      <c r="AL422" s="673"/>
      <c r="AM422" s="495"/>
      <c r="AO422" s="475"/>
      <c r="AP422" s="475"/>
      <c r="BD422" s="14"/>
      <c r="BE422" s="14"/>
      <c r="BF422" s="14"/>
      <c r="BG422" s="14"/>
      <c r="BH422" s="14"/>
    </row>
    <row r="423" spans="1:60">
      <c r="A423" s="461"/>
      <c r="C423" s="656"/>
      <c r="E423" s="61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519"/>
      <c r="AG423" s="519"/>
      <c r="AH423" s="519"/>
      <c r="AI423" s="519"/>
      <c r="AJ423" s="519"/>
      <c r="AK423" s="519"/>
      <c r="AL423" s="676"/>
      <c r="AM423" s="495"/>
      <c r="AO423" s="475"/>
      <c r="AP423" s="475"/>
    </row>
    <row r="424" spans="1:60" s="475" customFormat="1" ht="12.75" customHeight="1">
      <c r="A424" s="461"/>
      <c r="B424" s="14"/>
      <c r="C424" s="656"/>
      <c r="D424" s="14"/>
      <c r="E424" s="61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519"/>
      <c r="AG424" s="519"/>
      <c r="AH424" s="519"/>
      <c r="AI424" s="519"/>
      <c r="AJ424" s="519"/>
      <c r="AK424" s="519"/>
      <c r="AL424" s="676"/>
      <c r="AM424" s="495"/>
      <c r="AN424" s="522"/>
    </row>
    <row r="425" spans="1:60" s="475" customFormat="1" ht="12.75" customHeight="1">
      <c r="A425" s="461"/>
      <c r="B425" s="14"/>
      <c r="C425" s="677"/>
      <c r="D425" s="655"/>
      <c r="E425" s="64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519"/>
      <c r="AG426" s="519"/>
      <c r="AH426" s="519"/>
      <c r="AI426" s="519"/>
      <c r="AJ426" s="519"/>
      <c r="AK426" s="519"/>
      <c r="AL426" s="676"/>
      <c r="AM426" s="495"/>
      <c r="AN426" s="522"/>
    </row>
    <row r="427" spans="1:60" s="475" customFormat="1" ht="12.75" customHeight="1">
      <c r="A427" s="461"/>
      <c r="B427" s="14"/>
      <c r="C427" s="677"/>
      <c r="D427" s="655"/>
      <c r="E427" s="64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519"/>
      <c r="AG427" s="519"/>
      <c r="AH427" s="519"/>
      <c r="AI427" s="519"/>
      <c r="AJ427" s="519"/>
      <c r="AK427" s="519"/>
      <c r="AL427" s="676"/>
      <c r="AM427" s="495"/>
      <c r="AN427" s="522"/>
    </row>
    <row r="428" spans="1:60" s="475" customFormat="1" ht="12.75" customHeight="1">
      <c r="A428" s="461"/>
      <c r="B428" s="14"/>
      <c r="C428" s="677"/>
      <c r="D428" s="655"/>
      <c r="E428" s="64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519"/>
      <c r="AG428" s="519"/>
      <c r="AH428" s="519"/>
      <c r="AI428" s="519"/>
      <c r="AJ428" s="519"/>
      <c r="AK428" s="519"/>
      <c r="AL428" s="676"/>
      <c r="AM428" s="495"/>
      <c r="AN428" s="522"/>
    </row>
    <row r="429" spans="1:60" s="475" customFormat="1" ht="12.75" customHeight="1">
      <c r="A429" s="461"/>
      <c r="B429" s="14"/>
      <c r="C429" s="677"/>
      <c r="D429" s="655"/>
      <c r="E429" s="64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519"/>
      <c r="AG429" s="519"/>
      <c r="AH429" s="519"/>
      <c r="AI429" s="519"/>
      <c r="AJ429" s="519"/>
      <c r="AK429" s="519"/>
      <c r="AL429" s="676"/>
      <c r="AM429" s="495"/>
      <c r="AN429" s="522"/>
    </row>
    <row r="430" spans="1:60" s="475" customFormat="1" ht="17.25" customHeight="1">
      <c r="A430" s="461"/>
      <c r="B430" s="14"/>
      <c r="C430" s="677"/>
      <c r="D430" s="655"/>
      <c r="E430" s="64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657"/>
      <c r="AM430" s="495"/>
      <c r="AN430" s="522"/>
    </row>
    <row r="431" spans="1:60" s="475" customFormat="1" ht="12.75" customHeight="1">
      <c r="A431" s="461"/>
      <c r="B431" s="14"/>
      <c r="C431" s="1927" t="s">
        <v>299</v>
      </c>
      <c r="D431" s="1884"/>
      <c r="E431" s="644"/>
      <c r="F431" s="521" t="s">
        <v>2188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4" t="s">
        <v>2163</v>
      </c>
      <c r="AG431" s="1854"/>
      <c r="AH431" s="1854"/>
      <c r="AI431" s="1854"/>
      <c r="AJ431" s="1854"/>
      <c r="AK431" s="1854"/>
      <c r="AL431" s="193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2189</v>
      </c>
      <c r="F434" s="1930" t="s">
        <v>2190</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516"/>
      <c r="AG435" s="516"/>
      <c r="AH435" s="516"/>
      <c r="AI435" s="516"/>
      <c r="AJ435" s="516"/>
      <c r="AK435" s="516"/>
      <c r="AL435" s="645"/>
      <c r="AM435" s="495"/>
      <c r="AN435" s="522"/>
      <c r="AO435" s="475" t="s">
        <v>2191</v>
      </c>
      <c r="AP435" s="475">
        <v>5</v>
      </c>
      <c r="AQ435" s="678"/>
    </row>
    <row r="436" spans="1:54" s="475" customFormat="1" ht="12.75" customHeight="1">
      <c r="A436" s="461"/>
      <c r="B436" s="14"/>
      <c r="C436" s="677"/>
      <c r="D436" s="655"/>
      <c r="E436" s="64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516"/>
      <c r="AG436" s="516"/>
      <c r="AH436" s="516"/>
      <c r="AI436" s="516"/>
      <c r="AJ436" s="516"/>
      <c r="AK436" s="516"/>
      <c r="AL436" s="645"/>
      <c r="AM436" s="495"/>
      <c r="AN436" s="522"/>
      <c r="AO436" s="475" t="s">
        <v>2192</v>
      </c>
      <c r="AP436" s="475">
        <v>5</v>
      </c>
      <c r="AQ436" s="678"/>
    </row>
    <row r="437" spans="1:54" s="475" customFormat="1" ht="12.75" customHeight="1">
      <c r="A437" s="461"/>
      <c r="B437" s="14"/>
      <c r="C437" s="677"/>
      <c r="D437" s="655"/>
      <c r="E437" s="64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657"/>
      <c r="AM437" s="495"/>
      <c r="AN437" s="522"/>
      <c r="AO437" s="475" t="s">
        <v>2193</v>
      </c>
      <c r="AP437" s="475">
        <v>5</v>
      </c>
      <c r="AQ437" s="461"/>
    </row>
    <row r="438" spans="1:54" s="475" customFormat="1" ht="12.75" customHeight="1">
      <c r="A438" s="461"/>
      <c r="B438" s="14"/>
      <c r="C438" s="1927" t="s">
        <v>946</v>
      </c>
      <c r="D438" s="1884"/>
      <c r="E438" s="644"/>
      <c r="F438" s="646" t="s">
        <v>2194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4" t="s">
        <v>2163</v>
      </c>
      <c r="AG438" s="1854"/>
      <c r="AH438" s="1854"/>
      <c r="AI438" s="1854"/>
      <c r="AJ438" s="1854"/>
      <c r="AK438" s="1854"/>
      <c r="AL438" s="1932"/>
      <c r="AM438" s="495"/>
      <c r="AN438" s="679"/>
      <c r="AO438" s="475" t="s">
        <v>2195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2196</v>
      </c>
      <c r="AP439" s="475">
        <v>5</v>
      </c>
    </row>
    <row r="440" spans="1:54" s="475" customFormat="1" ht="12.75" customHeight="1">
      <c r="A440" s="461"/>
      <c r="B440" s="14"/>
      <c r="C440" s="665"/>
      <c r="D440" s="658"/>
      <c r="E440" s="659"/>
      <c r="F440" s="652" t="s">
        <v>2170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2197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2198</v>
      </c>
      <c r="AP441" s="475">
        <v>5</v>
      </c>
    </row>
    <row r="442" spans="1:54" s="475" customFormat="1" ht="12.75" customHeight="1">
      <c r="A442" s="461"/>
      <c r="B442" s="14"/>
      <c r="C442" s="1933" t="s">
        <v>299</v>
      </c>
      <c r="D442" s="1934"/>
      <c r="E442" s="640" t="s">
        <v>2199</v>
      </c>
      <c r="F442" s="1930" t="s">
        <v>2200</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47" t="s">
        <v>2163</v>
      </c>
      <c r="AG442" s="1947"/>
      <c r="AH442" s="1947"/>
      <c r="AI442" s="1947"/>
      <c r="AJ442" s="1947"/>
      <c r="AK442" s="1947"/>
      <c r="AL442" s="1948"/>
      <c r="AM442" s="495"/>
      <c r="AN442" s="679"/>
      <c r="AO442" s="475" t="s">
        <v>2201</v>
      </c>
      <c r="AP442" s="475">
        <v>1</v>
      </c>
    </row>
    <row r="443" spans="1:54" s="475" customFormat="1" ht="12.75" customHeight="1">
      <c r="A443" s="461"/>
      <c r="B443" s="14"/>
      <c r="C443" s="677"/>
      <c r="D443" s="655"/>
      <c r="E443" s="64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516"/>
      <c r="AG443" s="516"/>
      <c r="AH443" s="516"/>
      <c r="AI443" s="516"/>
      <c r="AJ443" s="516"/>
      <c r="AK443" s="516"/>
      <c r="AL443" s="645"/>
      <c r="AM443" s="495"/>
      <c r="AN443" s="680"/>
      <c r="AS443" s="681"/>
      <c r="AW443" s="681" t="s">
        <v>2202</v>
      </c>
      <c r="BA443" s="681" t="s">
        <v>2203</v>
      </c>
    </row>
    <row r="444" spans="1:54" s="475" customFormat="1" ht="17.850000000000001" customHeight="1">
      <c r="A444" s="461"/>
      <c r="B444" s="14"/>
      <c r="C444" s="682"/>
      <c r="D444" s="648"/>
      <c r="E444" s="649"/>
      <c r="F444" s="1946"/>
      <c r="G444" s="1946"/>
      <c r="H444" s="1946"/>
      <c r="I444" s="1946"/>
      <c r="J444" s="1946"/>
      <c r="K444" s="1946"/>
      <c r="L444" s="1946"/>
      <c r="M444" s="1946"/>
      <c r="N444" s="1946"/>
      <c r="O444" s="1946"/>
      <c r="P444" s="1946"/>
      <c r="Q444" s="1946"/>
      <c r="R444" s="1946"/>
      <c r="S444" s="1946"/>
      <c r="T444" s="1946"/>
      <c r="U444" s="1946"/>
      <c r="V444" s="1946"/>
      <c r="W444" s="1946"/>
      <c r="X444" s="1946"/>
      <c r="Y444" s="1946"/>
      <c r="Z444" s="1946"/>
      <c r="AA444" s="1946"/>
      <c r="AB444" s="1946"/>
      <c r="AC444" s="1946"/>
      <c r="AD444" s="1946"/>
      <c r="AE444" s="1946"/>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2204</v>
      </c>
      <c r="AS445" s="562">
        <v>3</v>
      </c>
      <c r="AT445" s="518"/>
      <c r="AW445" s="684">
        <v>0.4</v>
      </c>
      <c r="AX445" s="518">
        <v>3</v>
      </c>
      <c r="BA445" s="684">
        <v>0.4</v>
      </c>
      <c r="BB445" s="518">
        <v>4</v>
      </c>
    </row>
    <row r="446" spans="1:54" s="475" customFormat="1" ht="12.75" customHeight="1">
      <c r="A446" s="461"/>
      <c r="B446" s="14"/>
      <c r="C446" s="1927" t="s">
        <v>299</v>
      </c>
      <c r="D446" s="1884"/>
      <c r="E446" s="640" t="s">
        <v>2205</v>
      </c>
      <c r="F446" s="1930" t="s">
        <v>2206</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1947" t="s">
        <v>2163</v>
      </c>
      <c r="AG446" s="1947"/>
      <c r="AH446" s="1947"/>
      <c r="AI446" s="1947"/>
      <c r="AJ446" s="1947"/>
      <c r="AK446" s="1947"/>
      <c r="AL446" s="1948"/>
      <c r="AM446" s="495"/>
      <c r="AN446" s="460"/>
      <c r="AO446" s="684">
        <v>0.12</v>
      </c>
      <c r="AP446" s="562">
        <v>5</v>
      </c>
      <c r="AR446" s="475" t="s">
        <v>2207</v>
      </c>
      <c r="AS446" s="562">
        <v>5</v>
      </c>
      <c r="AT446" s="518"/>
      <c r="AW446" s="684">
        <v>0.6</v>
      </c>
      <c r="AX446" s="518">
        <v>4</v>
      </c>
      <c r="BA446" s="684">
        <v>0.6</v>
      </c>
      <c r="BB446" s="518">
        <v>5</v>
      </c>
    </row>
    <row r="447" spans="1:54" s="475" customFormat="1" ht="12.75" customHeight="1">
      <c r="A447" s="461"/>
      <c r="B447" s="14"/>
      <c r="C447" s="656"/>
      <c r="D447" s="14"/>
      <c r="E447" s="61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46"/>
      <c r="G449" s="1946"/>
      <c r="H449" s="1946"/>
      <c r="I449" s="1946"/>
      <c r="J449" s="1946"/>
      <c r="K449" s="1946"/>
      <c r="L449" s="1946"/>
      <c r="M449" s="1946"/>
      <c r="N449" s="1946"/>
      <c r="O449" s="1946"/>
      <c r="P449" s="1946"/>
      <c r="Q449" s="1946"/>
      <c r="R449" s="1946"/>
      <c r="S449" s="1946"/>
      <c r="T449" s="1946"/>
      <c r="U449" s="1946"/>
      <c r="V449" s="1946"/>
      <c r="W449" s="1946"/>
      <c r="X449" s="1946"/>
      <c r="Y449" s="1946"/>
      <c r="Z449" s="1946"/>
      <c r="AA449" s="1946"/>
      <c r="AB449" s="1946"/>
      <c r="AC449" s="1946"/>
      <c r="AD449" s="1946"/>
      <c r="AE449" s="1946"/>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2208</v>
      </c>
      <c r="F451" s="1930" t="s">
        <v>2209</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669"/>
      <c r="AH451" s="639"/>
      <c r="AI451" s="639"/>
      <c r="AJ451" s="639"/>
      <c r="AK451" s="639"/>
      <c r="AL451" s="670"/>
      <c r="AM451" s="495"/>
      <c r="AN451" s="522"/>
    </row>
    <row r="452" spans="1:49" s="475" customFormat="1" ht="12.75" customHeight="1">
      <c r="A452" s="461"/>
      <c r="B452" s="14"/>
      <c r="C452" s="656"/>
      <c r="D452" s="14"/>
      <c r="E452" s="61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657"/>
      <c r="AM452" s="495"/>
      <c r="AN452" s="522"/>
    </row>
    <row r="453" spans="1:49" s="475" customFormat="1" ht="12.75" customHeight="1">
      <c r="A453" s="461"/>
      <c r="B453" s="14"/>
      <c r="C453" s="66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657"/>
      <c r="AM453" s="495"/>
      <c r="AN453" s="522"/>
    </row>
    <row r="454" spans="1:49" s="475" customFormat="1" ht="12.75" customHeight="1">
      <c r="A454" s="461"/>
      <c r="B454" s="14"/>
      <c r="C454" s="66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657"/>
      <c r="AM454" s="495"/>
      <c r="AN454" s="522"/>
    </row>
    <row r="455" spans="1:49" s="475" customFormat="1" ht="12.75" customHeight="1">
      <c r="A455" s="461"/>
      <c r="B455" s="14"/>
      <c r="C455" s="1927" t="s">
        <v>299</v>
      </c>
      <c r="D455" s="1884"/>
      <c r="E455" s="644"/>
      <c r="F455" s="646" t="s">
        <v>2180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8" t="s">
        <v>2163</v>
      </c>
      <c r="AG455" s="1928"/>
      <c r="AH455" s="1928"/>
      <c r="AI455" s="1928"/>
      <c r="AJ455" s="1928"/>
      <c r="AK455" s="1928"/>
      <c r="AL455" s="1929"/>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2210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2211</v>
      </c>
      <c r="AK458" s="1887">
        <f>IF(Application!D213="N/A",AS347,AS349)</f>
        <v>11</v>
      </c>
      <c r="AL458" s="1888"/>
      <c r="AM458" s="1889"/>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2212</v>
      </c>
      <c r="C461" s="464"/>
      <c r="E461" s="521"/>
      <c r="AE461" s="1928" t="s">
        <v>2213</v>
      </c>
      <c r="AF461" s="1928"/>
      <c r="AG461" s="1928"/>
      <c r="AH461" s="1928"/>
      <c r="AI461" s="1928"/>
      <c r="AJ461" s="1928"/>
      <c r="AK461" s="1928"/>
      <c r="AL461" s="516"/>
      <c r="AN461" s="522"/>
      <c r="AO461" s="475" t="s">
        <v>2191</v>
      </c>
      <c r="AP461" s="475">
        <v>5</v>
      </c>
    </row>
    <row r="462" spans="1:49" s="475" customFormat="1" ht="12.75" hidden="1" customHeight="1">
      <c r="A462" s="464"/>
      <c r="B462" s="461" t="s">
        <v>2214</v>
      </c>
      <c r="C462" s="464"/>
      <c r="E462" s="521"/>
      <c r="AE462" s="516"/>
      <c r="AF462" s="516"/>
      <c r="AG462" s="516"/>
      <c r="AH462" s="516"/>
      <c r="AI462" s="516"/>
      <c r="AJ462" s="516"/>
      <c r="AK462" s="516"/>
      <c r="AL462" s="516"/>
      <c r="AN462" s="522"/>
      <c r="AO462" s="475" t="s">
        <v>2215</v>
      </c>
      <c r="AP462" s="475">
        <v>5</v>
      </c>
    </row>
    <row r="463" spans="1:49" s="475" customFormat="1" ht="12.75" hidden="1" customHeight="1">
      <c r="A463" s="464"/>
      <c r="B463" s="464" t="s">
        <v>2216</v>
      </c>
      <c r="C463" s="464"/>
      <c r="E463" s="521"/>
      <c r="AE463" s="516"/>
      <c r="AF463" s="516"/>
      <c r="AG463" s="516"/>
      <c r="AH463" s="516"/>
      <c r="AI463" s="516"/>
      <c r="AJ463" s="516"/>
      <c r="AK463" s="516"/>
      <c r="AL463" s="516"/>
      <c r="AN463" s="522"/>
      <c r="AO463" s="475" t="s">
        <v>2193</v>
      </c>
      <c r="AP463" s="475">
        <v>5</v>
      </c>
      <c r="AQ463" s="464"/>
      <c r="AR463" s="464"/>
      <c r="AS463" s="681"/>
      <c r="AW463" s="681"/>
    </row>
    <row r="464" spans="1:49" s="475" customFormat="1" ht="12.75" hidden="1" customHeight="1">
      <c r="A464" s="464"/>
      <c r="B464" s="464" t="s">
        <v>2217</v>
      </c>
      <c r="C464" s="464"/>
      <c r="E464" s="521"/>
      <c r="AE464" s="516"/>
      <c r="AF464" s="516"/>
      <c r="AG464" s="516"/>
      <c r="AH464" s="516"/>
      <c r="AI464" s="516"/>
      <c r="AJ464" s="516"/>
      <c r="AK464" s="516"/>
      <c r="AL464" s="516"/>
      <c r="AN464" s="522"/>
      <c r="AO464" s="475" t="s">
        <v>2195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2196</v>
      </c>
      <c r="AP465" s="475">
        <v>5</v>
      </c>
      <c r="AQ465" s="464"/>
      <c r="AR465" s="464"/>
      <c r="AW465" s="604"/>
    </row>
    <row r="466" spans="1:50" s="475" customFormat="1" ht="12.75" hidden="1" customHeight="1">
      <c r="A466" s="464"/>
      <c r="C466" s="637" t="s">
        <v>2218</v>
      </c>
      <c r="D466" s="495"/>
      <c r="AE466" s="516"/>
      <c r="AF466" s="516"/>
      <c r="AG466" s="521"/>
      <c r="AH466" s="521"/>
      <c r="AI466" s="521"/>
      <c r="AJ466" s="521"/>
      <c r="AK466" s="521"/>
      <c r="AL466" s="521"/>
      <c r="AN466" s="522"/>
      <c r="AO466" s="475" t="s">
        <v>2197</v>
      </c>
      <c r="AP466" s="475">
        <v>5</v>
      </c>
      <c r="AW466" s="604"/>
    </row>
    <row r="467" spans="1:50" s="475" customFormat="1" ht="12.75" hidden="1" customHeight="1">
      <c r="A467" s="464"/>
      <c r="C467" s="1949" t="s">
        <v>299</v>
      </c>
      <c r="D467" s="1950"/>
      <c r="E467" s="687" t="s">
        <v>50</v>
      </c>
      <c r="F467" s="1951" t="s">
        <v>2219</v>
      </c>
      <c r="G467" s="1951"/>
      <c r="H467" s="1951"/>
      <c r="I467" s="1951"/>
      <c r="J467" s="1951"/>
      <c r="K467" s="1951"/>
      <c r="L467" s="1951"/>
      <c r="M467" s="1951"/>
      <c r="N467" s="1951"/>
      <c r="O467" s="1951"/>
      <c r="P467" s="1951"/>
      <c r="Q467" s="1951"/>
      <c r="R467" s="1951"/>
      <c r="S467" s="1951"/>
      <c r="T467" s="1951"/>
      <c r="U467" s="1951"/>
      <c r="V467" s="1951"/>
      <c r="W467" s="1951"/>
      <c r="X467" s="1951"/>
      <c r="Y467" s="1951"/>
      <c r="Z467" s="1951"/>
      <c r="AA467" s="1951"/>
      <c r="AB467" s="1951"/>
      <c r="AC467" s="1951"/>
      <c r="AD467" s="1951"/>
      <c r="AE467" s="1951"/>
      <c r="AF467" s="639"/>
      <c r="AG467" s="639"/>
      <c r="AH467" s="639"/>
      <c r="AI467" s="639"/>
      <c r="AJ467" s="639"/>
      <c r="AK467" s="670"/>
      <c r="AN467" s="522"/>
      <c r="AO467" s="475" t="s">
        <v>2220</v>
      </c>
      <c r="AP467" s="475">
        <v>5</v>
      </c>
      <c r="AS467" s="684"/>
      <c r="AT467" s="518"/>
      <c r="AW467" s="604"/>
      <c r="AX467" s="562"/>
    </row>
    <row r="468" spans="1:50" s="475" customFormat="1" ht="12.75" hidden="1" customHeight="1">
      <c r="C468" s="688"/>
      <c r="E468" s="689"/>
      <c r="F468" s="1952"/>
      <c r="G468" s="1952"/>
      <c r="H468" s="1952"/>
      <c r="I468" s="1952"/>
      <c r="J468" s="1952"/>
      <c r="K468" s="1952"/>
      <c r="L468" s="1952"/>
      <c r="M468" s="1952"/>
      <c r="N468" s="1952"/>
      <c r="O468" s="1952"/>
      <c r="P468" s="1952"/>
      <c r="Q468" s="1952"/>
      <c r="R468" s="1952"/>
      <c r="S468" s="1952"/>
      <c r="T468" s="1952"/>
      <c r="U468" s="1952"/>
      <c r="V468" s="1952"/>
      <c r="W468" s="1952"/>
      <c r="X468" s="1952"/>
      <c r="Y468" s="1952"/>
      <c r="Z468" s="1952"/>
      <c r="AA468" s="1952"/>
      <c r="AB468" s="1952"/>
      <c r="AC468" s="1952"/>
      <c r="AD468" s="1952"/>
      <c r="AE468" s="1952"/>
      <c r="AG468" s="476"/>
      <c r="AH468" s="476"/>
      <c r="AI468" s="476"/>
      <c r="AJ468" s="476"/>
      <c r="AK468" s="657"/>
      <c r="AN468" s="522"/>
      <c r="AO468" s="475" t="s">
        <v>2201</v>
      </c>
      <c r="AP468" s="475">
        <v>1</v>
      </c>
    </row>
    <row r="469" spans="1:50" s="475" customFormat="1" ht="12.75" hidden="1" customHeight="1">
      <c r="C469" s="690"/>
      <c r="D469" s="652"/>
      <c r="E469" s="691"/>
      <c r="F469" s="1953" t="s">
        <v>299</v>
      </c>
      <c r="G469" s="1953"/>
      <c r="H469" s="1953"/>
      <c r="I469" s="1953"/>
      <c r="J469" s="1953"/>
      <c r="K469" s="1953"/>
      <c r="L469" s="1953"/>
      <c r="M469" s="1953"/>
      <c r="N469" s="1953"/>
      <c r="O469" s="1953"/>
      <c r="P469" s="1953"/>
      <c r="Q469" s="1953"/>
      <c r="R469" s="1953"/>
      <c r="S469" s="1953"/>
      <c r="T469" s="1953"/>
      <c r="U469" s="1953"/>
      <c r="V469" s="1953"/>
      <c r="W469" s="1953"/>
      <c r="X469" s="1953"/>
      <c r="Y469" s="1953"/>
      <c r="Z469" s="1953"/>
      <c r="AA469" s="692"/>
      <c r="AB469" s="583"/>
      <c r="AC469" s="583"/>
      <c r="AD469" s="652"/>
      <c r="AE469" s="652"/>
      <c r="AF469" s="652"/>
      <c r="AG469" s="693">
        <f>IF($C$467="Yes",(VLOOKUP($F$469,$AO$434:$AP$442,2,FALSE)),0)</f>
        <v>0</v>
      </c>
      <c r="AH469" s="694" t="s">
        <v>1997</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54" t="s">
        <v>946</v>
      </c>
      <c r="D471" s="1955"/>
      <c r="E471" s="687" t="s">
        <v>52</v>
      </c>
      <c r="F471" s="695" t="s">
        <v>2221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2222</v>
      </c>
      <c r="F472" s="697" t="s">
        <v>2223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2224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2225</v>
      </c>
      <c r="G474" s="475"/>
      <c r="H474" s="475"/>
      <c r="I474" s="697"/>
      <c r="J474" s="697"/>
      <c r="K474" s="697"/>
      <c r="L474" s="697"/>
      <c r="M474" s="697"/>
      <c r="N474" s="697"/>
      <c r="O474" s="697"/>
      <c r="P474" s="697"/>
      <c r="Q474" s="697"/>
      <c r="R474" s="697"/>
      <c r="S474" s="697"/>
      <c r="T474" s="697"/>
      <c r="U474" s="697"/>
      <c r="V474" s="1961" t="s">
        <v>299</v>
      </c>
      <c r="W474" s="1961"/>
      <c r="X474" s="1961"/>
      <c r="Y474" s="697"/>
      <c r="Z474" s="697"/>
      <c r="AA474" s="697"/>
      <c r="AB474" s="697"/>
      <c r="AC474" s="697"/>
      <c r="AD474" s="534"/>
      <c r="AE474" s="534"/>
      <c r="AF474" s="534"/>
      <c r="AG474" s="538">
        <f>IF(AND($C$471="Yes",$V$476="N/A",$V$481="N/A",$V$485="N/A",$V$487="N/A"),(VLOOKUP(V474,$AR$444:$AS$446,2,FALSE)),0)</f>
        <v>0</v>
      </c>
      <c r="AH474" s="565" t="s">
        <v>1997</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2226</v>
      </c>
      <c r="G476" s="475"/>
      <c r="H476" s="475"/>
      <c r="I476" s="697"/>
      <c r="J476" s="697"/>
      <c r="K476" s="697"/>
      <c r="L476" s="697"/>
      <c r="M476" s="697"/>
      <c r="N476" s="697"/>
      <c r="O476" s="697"/>
      <c r="P476" s="697"/>
      <c r="Q476" s="697"/>
      <c r="R476" s="697"/>
      <c r="S476" s="697"/>
      <c r="T476" s="697"/>
      <c r="U476" s="697"/>
      <c r="V476" s="1961" t="s">
        <v>299</v>
      </c>
      <c r="W476" s="1961"/>
      <c r="X476" s="1961"/>
      <c r="Y476" s="697"/>
      <c r="Z476" s="697"/>
      <c r="AA476" s="697"/>
      <c r="AB476" s="697"/>
      <c r="AC476" s="697"/>
      <c r="AD476" s="534"/>
      <c r="AE476" s="534"/>
      <c r="AF476" s="534"/>
      <c r="AG476" s="538">
        <f>IF(AND($C$471="Yes",$V$474="N/A", $V$481="N/A",$V$485="N/A",$V$487="N/A"),(VLOOKUP(V476,$AO$444:$AP$446,2,FALSE)),0)</f>
        <v>0</v>
      </c>
      <c r="AH476" s="565" t="s">
        <v>1997</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2227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2228</v>
      </c>
      <c r="AP478" s="562">
        <v>2</v>
      </c>
    </row>
    <row r="479" spans="1:50" s="475" customFormat="1" ht="12.75" hidden="1" customHeight="1">
      <c r="C479" s="688"/>
      <c r="F479" s="534" t="s">
        <v>2229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2230</v>
      </c>
      <c r="AP479" s="475">
        <v>2</v>
      </c>
    </row>
    <row r="480" spans="1:50" s="521" customFormat="1" ht="12.75" hidden="1" customHeight="1">
      <c r="A480" s="475"/>
      <c r="B480" s="475"/>
      <c r="C480" s="664"/>
      <c r="D480" s="495"/>
      <c r="E480" s="495"/>
      <c r="F480" s="534" t="s">
        <v>2231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2232</v>
      </c>
      <c r="AP480" s="475">
        <v>2</v>
      </c>
    </row>
    <row r="481" spans="1:81" s="475" customFormat="1" ht="12.75" hidden="1" customHeight="1">
      <c r="C481" s="703"/>
      <c r="F481" s="701" t="s">
        <v>2233</v>
      </c>
      <c r="M481" s="689"/>
      <c r="N481" s="689"/>
      <c r="O481" s="689"/>
      <c r="P481" s="689"/>
      <c r="Q481" s="476"/>
      <c r="R481" s="476"/>
      <c r="S481" s="476"/>
      <c r="T481" s="476"/>
      <c r="U481" s="476"/>
      <c r="V481" s="1961" t="s">
        <v>299</v>
      </c>
      <c r="W481" s="1961"/>
      <c r="X481" s="1961"/>
      <c r="Y481" s="476"/>
      <c r="Z481" s="476"/>
      <c r="AA481" s="476"/>
      <c r="AB481" s="476"/>
      <c r="AC481" s="476"/>
      <c r="AG481" s="538">
        <f>IF(AND($C$471="Yes",$V$474="N/A",$V$476="N/A", $V$485="N/A",$V$487="N/A"),(VLOOKUP($V$481,$AO$448:$AP$450,2,FALSE)),0)</f>
        <v>0</v>
      </c>
      <c r="AH481" s="565" t="s">
        <v>1997</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2234</v>
      </c>
      <c r="D483" s="639"/>
      <c r="E483" s="639"/>
      <c r="F483" s="706" t="s">
        <v>2235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60"/>
      <c r="E484" s="1960"/>
      <c r="F484" s="697" t="s">
        <v>2236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2237</v>
      </c>
      <c r="AP484" s="562">
        <v>5</v>
      </c>
      <c r="AQ484" s="464"/>
    </row>
    <row r="485" spans="1:81" s="495" customFormat="1" ht="12.75" hidden="1" customHeight="1">
      <c r="A485" s="604"/>
      <c r="B485" s="475"/>
      <c r="C485" s="688"/>
      <c r="D485" s="475"/>
      <c r="E485" s="475"/>
      <c r="F485" s="708" t="s">
        <v>2225</v>
      </c>
      <c r="G485" s="475"/>
      <c r="H485" s="475"/>
      <c r="I485" s="475"/>
      <c r="J485" s="475"/>
      <c r="K485" s="475"/>
      <c r="L485" s="475"/>
      <c r="M485" s="475"/>
      <c r="N485" s="475"/>
      <c r="O485" s="475"/>
      <c r="P485" s="475"/>
      <c r="Q485" s="475"/>
      <c r="R485" s="475"/>
      <c r="S485" s="475"/>
      <c r="T485" s="475"/>
      <c r="U485" s="475"/>
      <c r="V485" s="1961" t="s">
        <v>299</v>
      </c>
      <c r="W485" s="1961"/>
      <c r="X485" s="1961"/>
      <c r="Y485" s="475"/>
      <c r="Z485" s="475"/>
      <c r="AA485" s="475"/>
      <c r="AB485" s="475"/>
      <c r="AC485" s="475"/>
      <c r="AD485" s="475"/>
      <c r="AE485" s="475"/>
      <c r="AF485" s="475"/>
      <c r="AG485" s="538">
        <f>IF(AND($C$471="Yes",$V$474="N/A",V476="N/A",$V$481="N/A",$V$487="N/A"),(VLOOKUP($V$485,$AW$444:$AX$447,2,FALSE)),0)</f>
        <v>0</v>
      </c>
      <c r="AH485" s="565" t="s">
        <v>1997</v>
      </c>
      <c r="AI485" s="476"/>
      <c r="AJ485" s="475"/>
      <c r="AK485" s="657"/>
      <c r="AL485" s="475"/>
      <c r="AM485" s="475"/>
      <c r="AN485" s="609"/>
      <c r="AO485" s="475" t="s">
        <v>2238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2226</v>
      </c>
      <c r="G487" s="692"/>
      <c r="H487" s="692"/>
      <c r="I487" s="652"/>
      <c r="J487" s="652"/>
      <c r="K487" s="652"/>
      <c r="L487" s="652"/>
      <c r="M487" s="652"/>
      <c r="N487" s="652"/>
      <c r="O487" s="652"/>
      <c r="P487" s="652"/>
      <c r="Q487" s="652"/>
      <c r="R487" s="652"/>
      <c r="S487" s="652"/>
      <c r="T487" s="652"/>
      <c r="U487" s="652"/>
      <c r="V487" s="1961" t="s">
        <v>299</v>
      </c>
      <c r="W487" s="1961"/>
      <c r="X487" s="1961"/>
      <c r="Y487" s="652"/>
      <c r="Z487" s="652"/>
      <c r="AA487" s="652"/>
      <c r="AB487" s="652"/>
      <c r="AC487" s="652"/>
      <c r="AD487" s="652"/>
      <c r="AE487" s="652"/>
      <c r="AF487" s="652"/>
      <c r="AG487" s="709">
        <f>IF(AND($C$471="Yes",$V$474="N/A",$V$476="N/A",$V$481="N/A",$V$485="N/A"),(VLOOKUP($V$487,$BA$444:$BB$446,2,FALSE)),0)</f>
        <v>0</v>
      </c>
      <c r="AH487" s="694" t="s">
        <v>1997</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2240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49" t="s">
        <v>299</v>
      </c>
      <c r="D490" s="1950"/>
      <c r="E490" s="687" t="s">
        <v>50</v>
      </c>
      <c r="F490" s="1951" t="s">
        <v>2219</v>
      </c>
      <c r="G490" s="1951"/>
      <c r="H490" s="1951"/>
      <c r="I490" s="1951"/>
      <c r="J490" s="1951"/>
      <c r="K490" s="1951"/>
      <c r="L490" s="1951"/>
      <c r="M490" s="1951"/>
      <c r="N490" s="1951"/>
      <c r="O490" s="1951"/>
      <c r="P490" s="1951"/>
      <c r="Q490" s="1951"/>
      <c r="R490" s="1951"/>
      <c r="S490" s="1951"/>
      <c r="T490" s="1951"/>
      <c r="U490" s="1951"/>
      <c r="V490" s="1951"/>
      <c r="W490" s="1951"/>
      <c r="X490" s="1951"/>
      <c r="Y490" s="1951"/>
      <c r="Z490" s="1951"/>
      <c r="AA490" s="1951"/>
      <c r="AB490" s="1951"/>
      <c r="AC490" s="1951"/>
      <c r="AD490" s="1951"/>
      <c r="AE490" s="1951"/>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52"/>
      <c r="G491" s="1952"/>
      <c r="H491" s="1952"/>
      <c r="I491" s="1952"/>
      <c r="J491" s="1952"/>
      <c r="K491" s="1952"/>
      <c r="L491" s="1952"/>
      <c r="M491" s="1952"/>
      <c r="N491" s="1952"/>
      <c r="O491" s="1952"/>
      <c r="P491" s="1952"/>
      <c r="Q491" s="1952"/>
      <c r="R491" s="1952"/>
      <c r="S491" s="1952"/>
      <c r="T491" s="1952"/>
      <c r="U491" s="1952"/>
      <c r="V491" s="1952"/>
      <c r="W491" s="1952"/>
      <c r="X491" s="1952"/>
      <c r="Y491" s="1952"/>
      <c r="Z491" s="1952"/>
      <c r="AA491" s="1952"/>
      <c r="AB491" s="1952"/>
      <c r="AC491" s="1952"/>
      <c r="AD491" s="1952"/>
      <c r="AE491" s="1952"/>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56" t="s">
        <v>299</v>
      </c>
      <c r="G492" s="1956"/>
      <c r="H492" s="1956"/>
      <c r="I492" s="1956"/>
      <c r="J492" s="1956"/>
      <c r="K492" s="1956"/>
      <c r="L492" s="1956"/>
      <c r="M492" s="1956"/>
      <c r="N492" s="1956"/>
      <c r="O492" s="1956"/>
      <c r="P492" s="1956"/>
      <c r="Q492" s="1956"/>
      <c r="R492" s="1956"/>
      <c r="S492" s="1956"/>
      <c r="T492" s="1956"/>
      <c r="U492" s="1956"/>
      <c r="V492" s="1956"/>
      <c r="W492" s="1956"/>
      <c r="X492" s="1956"/>
      <c r="Y492" s="1956"/>
      <c r="Z492" s="1956"/>
      <c r="AA492" s="692"/>
      <c r="AB492" s="583"/>
      <c r="AC492" s="583"/>
      <c r="AD492" s="652"/>
      <c r="AE492" s="652"/>
      <c r="AF492" s="652"/>
      <c r="AG492" s="693">
        <f>IF($C$490="Yes",(VLOOKUP($F$492,$AO$460:$AP$468,2,FALSE)),0)</f>
        <v>0</v>
      </c>
      <c r="AH492" s="694" t="s">
        <v>1997</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49" t="s">
        <v>299</v>
      </c>
      <c r="D494" s="1950"/>
      <c r="E494" s="687" t="s">
        <v>52</v>
      </c>
      <c r="F494" s="1957" t="s">
        <v>2241</v>
      </c>
      <c r="G494" s="1957"/>
      <c r="H494" s="1957"/>
      <c r="I494" s="1957"/>
      <c r="J494" s="1957"/>
      <c r="K494" s="1957"/>
      <c r="L494" s="1957"/>
      <c r="M494" s="1957"/>
      <c r="N494" s="1957"/>
      <c r="O494" s="1957"/>
      <c r="P494" s="1957"/>
      <c r="Q494" s="1957"/>
      <c r="R494" s="1957"/>
      <c r="S494" s="1957"/>
      <c r="T494" s="1957"/>
      <c r="U494" s="1957"/>
      <c r="V494" s="1957"/>
      <c r="W494" s="1957"/>
      <c r="X494" s="1957"/>
      <c r="Y494" s="1957"/>
      <c r="Z494" s="1957"/>
      <c r="AA494" s="1957"/>
      <c r="AB494" s="1957"/>
      <c r="AC494" s="1957"/>
      <c r="AD494" s="1957"/>
      <c r="AE494" s="1957"/>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58"/>
      <c r="G495" s="1958"/>
      <c r="H495" s="1958"/>
      <c r="I495" s="1958"/>
      <c r="J495" s="1958"/>
      <c r="K495" s="1958"/>
      <c r="L495" s="1958"/>
      <c r="M495" s="1958"/>
      <c r="N495" s="1958"/>
      <c r="O495" s="1958"/>
      <c r="P495" s="1958"/>
      <c r="Q495" s="1958"/>
      <c r="R495" s="1958"/>
      <c r="S495" s="1958"/>
      <c r="T495" s="1958"/>
      <c r="U495" s="1958"/>
      <c r="V495" s="1958"/>
      <c r="W495" s="1958"/>
      <c r="X495" s="1958"/>
      <c r="Y495" s="1958"/>
      <c r="Z495" s="1958"/>
      <c r="AA495" s="1958"/>
      <c r="AB495" s="1958"/>
      <c r="AC495" s="1958"/>
      <c r="AD495" s="1958"/>
      <c r="AE495" s="1958"/>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2242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59" t="s">
        <v>299</v>
      </c>
      <c r="G497" s="1959"/>
      <c r="H497" s="195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1997</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49" t="s">
        <v>299</v>
      </c>
      <c r="D499" s="1950"/>
      <c r="E499" s="687" t="s">
        <v>2243</v>
      </c>
      <c r="F499" s="706" t="s">
        <v>2244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72"/>
      <c r="D501" s="1960"/>
      <c r="E501" s="698"/>
      <c r="F501" s="476" t="s">
        <v>2245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1997</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73" t="s">
        <v>299</v>
      </c>
      <c r="H502" s="1973"/>
      <c r="I502" s="1973"/>
      <c r="J502" s="1973"/>
      <c r="K502" s="1973"/>
      <c r="L502" s="1973"/>
      <c r="M502" s="1973"/>
      <c r="N502" s="1973"/>
      <c r="O502" s="1973"/>
      <c r="P502" s="1973"/>
      <c r="Q502" s="1973"/>
      <c r="R502" s="1973"/>
      <c r="S502" s="1973"/>
      <c r="T502" s="1973"/>
      <c r="U502" s="1973"/>
      <c r="V502" s="1973"/>
      <c r="W502" s="1973"/>
      <c r="X502" s="1973"/>
      <c r="Y502" s="1973"/>
      <c r="Z502" s="1973"/>
      <c r="AA502" s="1973"/>
      <c r="AB502" s="1973"/>
      <c r="AC502" s="1973"/>
      <c r="AD502" s="1973"/>
      <c r="AE502" s="1973"/>
      <c r="AF502" s="1973"/>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4" t="s">
        <v>299</v>
      </c>
      <c r="D504" s="1975"/>
      <c r="F504" s="476" t="s">
        <v>2246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1997</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2247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2248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74" t="s">
        <v>299</v>
      </c>
      <c r="D508" s="1975"/>
      <c r="F508" s="721" t="s">
        <v>2249</v>
      </c>
      <c r="G508" s="1931" t="s">
        <v>2250</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538">
        <f>IF(AND($C$508="Yes",$C$499="Yes"),2,0)</f>
        <v>0</v>
      </c>
      <c r="AH508" s="565" t="s">
        <v>1997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46"/>
      <c r="H509" s="1946"/>
      <c r="I509" s="1946"/>
      <c r="J509" s="1946"/>
      <c r="K509" s="1946"/>
      <c r="L509" s="1946"/>
      <c r="M509" s="1946"/>
      <c r="N509" s="1946"/>
      <c r="O509" s="1946"/>
      <c r="P509" s="1946"/>
      <c r="Q509" s="1946"/>
      <c r="R509" s="1946"/>
      <c r="S509" s="1946"/>
      <c r="T509" s="1946"/>
      <c r="U509" s="1946"/>
      <c r="V509" s="1946"/>
      <c r="W509" s="1946"/>
      <c r="X509" s="1946"/>
      <c r="Y509" s="1946"/>
      <c r="Z509" s="1946"/>
      <c r="AA509" s="1946"/>
      <c r="AB509" s="1946"/>
      <c r="AC509" s="1946"/>
      <c r="AD509" s="1946"/>
      <c r="AE509" s="1946"/>
      <c r="AF509" s="1946"/>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2251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2" t="s">
        <v>299</v>
      </c>
      <c r="D512" s="1963"/>
      <c r="E512" s="728" t="s">
        <v>2252</v>
      </c>
      <c r="F512" s="697" t="s">
        <v>2253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1997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64" t="s">
        <v>299</v>
      </c>
      <c r="G513" s="1964"/>
      <c r="H513" s="1964"/>
      <c r="I513" s="1964"/>
      <c r="J513" s="1964"/>
      <c r="K513" s="1964"/>
      <c r="L513" s="1964"/>
      <c r="M513" s="1964"/>
      <c r="N513" s="1964"/>
      <c r="O513" s="1964"/>
      <c r="P513" s="1964"/>
      <c r="Q513" s="1964"/>
      <c r="R513" s="1964"/>
      <c r="S513" s="1964"/>
      <c r="T513" s="1964"/>
      <c r="U513" s="1964"/>
      <c r="V513" s="1964"/>
      <c r="W513" s="1964"/>
      <c r="X513" s="1964"/>
      <c r="Y513" s="1964"/>
      <c r="Z513" s="1964"/>
      <c r="AA513" s="1964"/>
      <c r="AB513" s="1964"/>
      <c r="AC513" s="1964"/>
      <c r="AD513" s="1964"/>
      <c r="AE513" s="1964"/>
      <c r="AF513" s="196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65"/>
      <c r="G514" s="1965"/>
      <c r="H514" s="1965"/>
      <c r="I514" s="1965"/>
      <c r="J514" s="1965"/>
      <c r="K514" s="1965"/>
      <c r="L514" s="1965"/>
      <c r="M514" s="1965"/>
      <c r="N514" s="1965"/>
      <c r="O514" s="1965"/>
      <c r="P514" s="1965"/>
      <c r="Q514" s="1965"/>
      <c r="R514" s="1965"/>
      <c r="S514" s="1965"/>
      <c r="T514" s="1965"/>
      <c r="U514" s="1965"/>
      <c r="V514" s="1965"/>
      <c r="W514" s="1965"/>
      <c r="X514" s="1965"/>
      <c r="Y514" s="1965"/>
      <c r="Z514" s="1965"/>
      <c r="AA514" s="1965"/>
      <c r="AB514" s="1965"/>
      <c r="AC514" s="1965"/>
      <c r="AD514" s="1965"/>
      <c r="AE514" s="1965"/>
      <c r="AF514" s="196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2254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2255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2256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2261</v>
      </c>
      <c r="AK524" s="1887">
        <f>SUM(AG468:AG513)</f>
        <v>0</v>
      </c>
      <c r="AL524" s="1888"/>
      <c r="AM524" s="1889"/>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2262</v>
      </c>
      <c r="B527" s="464" t="s">
        <v>2263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2" t="s">
        <v>2264</v>
      </c>
      <c r="AF527" s="1822"/>
      <c r="AG527" s="1822"/>
      <c r="AH527" s="1822"/>
      <c r="AI527" s="1822"/>
      <c r="AJ527" s="1822"/>
      <c r="AK527" s="1822"/>
      <c r="AL527" s="520"/>
      <c r="AM527" s="520"/>
      <c r="AN527" s="522"/>
    </row>
    <row r="528" spans="1:81" s="475" customFormat="1" ht="12.75" customHeight="1">
      <c r="A528" s="464"/>
      <c r="B528" s="464" t="s">
        <v>1993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4" t="s">
        <v>946</v>
      </c>
      <c r="D530" s="1884"/>
      <c r="E530" s="476"/>
      <c r="F530" s="1966" t="s">
        <v>2265</v>
      </c>
      <c r="G530" s="1967"/>
      <c r="H530" s="1967"/>
      <c r="I530" s="1967"/>
      <c r="J530" s="1967"/>
      <c r="K530" s="1967"/>
      <c r="L530" s="1967"/>
      <c r="M530" s="1967"/>
      <c r="N530" s="1967"/>
      <c r="O530" s="1967"/>
      <c r="P530" s="1967"/>
      <c r="Q530" s="1967"/>
      <c r="R530" s="1967"/>
      <c r="S530" s="1967"/>
      <c r="T530" s="1967"/>
      <c r="U530" s="1967"/>
      <c r="V530" s="1967"/>
      <c r="W530" s="1967"/>
      <c r="X530" s="1967"/>
      <c r="Y530" s="1967"/>
      <c r="Z530" s="1967"/>
      <c r="AA530" s="1967"/>
      <c r="AB530" s="1967"/>
      <c r="AC530" s="1967"/>
      <c r="AD530" s="1967"/>
      <c r="AE530" s="1967"/>
      <c r="AF530" s="1967"/>
      <c r="AG530" s="1967"/>
      <c r="AH530" s="1967"/>
      <c r="AI530" s="1967"/>
      <c r="AJ530" s="1967"/>
      <c r="AK530" s="1967"/>
      <c r="AL530" s="1968"/>
      <c r="AM530" s="520"/>
      <c r="AN530" s="522"/>
    </row>
    <row r="531" spans="1:49" s="475" customFormat="1" ht="12.75" customHeight="1">
      <c r="A531" s="464"/>
      <c r="B531" s="464"/>
      <c r="C531" s="476"/>
      <c r="D531" s="476"/>
      <c r="E531" s="476"/>
      <c r="F531" s="1969"/>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1970"/>
      <c r="AH531" s="1970"/>
      <c r="AI531" s="1970"/>
      <c r="AJ531" s="1970"/>
      <c r="AK531" s="1970"/>
      <c r="AL531" s="1971"/>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84" t="s">
        <v>946</v>
      </c>
      <c r="D533" s="1884"/>
      <c r="E533" s="732"/>
      <c r="F533" s="569" t="s">
        <v>2266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906" t="s">
        <v>2267</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520"/>
      <c r="AN534" s="522"/>
      <c r="AS534" s="795"/>
      <c r="AT534" s="795"/>
      <c r="AU534" s="795"/>
      <c r="AV534" s="795"/>
      <c r="AW534" s="795"/>
    </row>
    <row r="535" spans="1:49" s="475" customFormat="1" ht="12.75" customHeight="1">
      <c r="B535" s="732"/>
      <c r="C535" s="732"/>
      <c r="D535" s="732"/>
      <c r="E535" s="732"/>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520"/>
      <c r="AN535" s="522"/>
    </row>
    <row r="536" spans="1:49" s="475" customFormat="1" ht="12.75" customHeight="1">
      <c r="B536" s="732"/>
      <c r="C536" s="732"/>
      <c r="D536" s="732"/>
      <c r="E536" s="732"/>
      <c r="F536" s="737" t="s">
        <v>2268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906" t="s">
        <v>2269</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739"/>
      <c r="AM537" s="520"/>
      <c r="AN537" s="522"/>
    </row>
    <row r="538" spans="1:49" s="475" customFormat="1" ht="12.75" customHeight="1">
      <c r="B538" s="732"/>
      <c r="C538" s="732"/>
      <c r="D538" s="732"/>
      <c r="E538" s="732"/>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0">
        <f>Application!AJ961</f>
        <v>60190120</v>
      </c>
      <c r="AQ539" s="2030"/>
      <c r="AR539" s="2030"/>
    </row>
    <row r="540" spans="1:49" s="475" customFormat="1" ht="12.75" customHeight="1">
      <c r="A540" s="424"/>
      <c r="B540" s="374" t="s">
        <v>2270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0">
        <f>'Sources and Uses Budget'!S107+'Sources and Uses Budget'!T107</f>
        <v>75187764</v>
      </c>
      <c r="AG540" s="1890"/>
      <c r="AH540" s="1890"/>
      <c r="AI540" s="1890"/>
      <c r="AJ540" s="1890"/>
      <c r="AK540" s="520"/>
      <c r="AL540" s="520"/>
      <c r="AM540" s="520"/>
      <c r="AN540" s="522"/>
    </row>
    <row r="541" spans="1:49" s="475" customFormat="1" ht="12.75" customHeight="1">
      <c r="A541" s="550"/>
      <c r="B541" s="550" t="s">
        <v>2271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5">
        <f>IFERROR(AP548,0)</f>
        <v>133511517</v>
      </c>
      <c r="AG541" s="2035"/>
      <c r="AH541" s="2035"/>
      <c r="AI541" s="2035"/>
      <c r="AJ541" s="2035"/>
      <c r="AK541" s="520"/>
      <c r="AL541" s="520"/>
      <c r="AM541" s="520"/>
      <c r="AN541" s="522"/>
      <c r="AP541" s="2030">
        <f>Application!AJ1010</f>
        <v>30095060</v>
      </c>
      <c r="AQ541" s="2030"/>
      <c r="AR541" s="2030"/>
    </row>
    <row r="542" spans="1:49" s="475" customFormat="1" ht="12.75" customHeight="1">
      <c r="A542" s="549"/>
      <c r="B542" s="549" t="s">
        <v>1720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36">
        <f>IFERROR(ROUNDDOWN(IF(C533="YES",((1-(AF540/AF541))*2),(1-(AF540/AF541))),2),0)</f>
        <v>0.87</v>
      </c>
      <c r="AG542" s="2036"/>
      <c r="AH542" s="2036"/>
      <c r="AI542" s="2036"/>
      <c r="AJ542" s="2036"/>
      <c r="AK542" s="520"/>
      <c r="AL542" s="520"/>
      <c r="AM542" s="520"/>
      <c r="AN542" s="522"/>
      <c r="AP542" s="2033">
        <f>Application!AJ1014</f>
        <v>60190120</v>
      </c>
      <c r="AQ542" s="2033"/>
      <c r="AR542" s="2033"/>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29">
        <f>IF(((AP541+AP542)/AP539)&gt;0.8,0.8,((AP541+AP542)/AP539))</f>
        <v>0.8</v>
      </c>
      <c r="AQ543" s="2029"/>
      <c r="AR543" s="2029"/>
    </row>
    <row r="544" spans="1:49" s="475" customFormat="1" ht="12.75" customHeight="1">
      <c r="A544" s="549"/>
      <c r="B544" s="1982" t="s">
        <v>2272</v>
      </c>
      <c r="C544" s="1983"/>
      <c r="D544" s="1983"/>
      <c r="E544" s="1983"/>
      <c r="F544" s="1983"/>
      <c r="G544" s="1983"/>
      <c r="H544" s="1983"/>
      <c r="I544" s="1983"/>
      <c r="J544" s="1983"/>
      <c r="K544" s="1983"/>
      <c r="L544" s="1983"/>
      <c r="M544" s="1983"/>
      <c r="N544" s="1983"/>
      <c r="O544" s="1983"/>
      <c r="P544" s="1983"/>
      <c r="Q544" s="1983"/>
      <c r="R544" s="1983"/>
      <c r="S544" s="1983"/>
      <c r="T544" s="1983"/>
      <c r="U544" s="1983"/>
      <c r="V544" s="1983"/>
      <c r="W544" s="1983"/>
      <c r="X544" s="1983"/>
      <c r="Y544" s="1983"/>
      <c r="Z544" s="1983"/>
      <c r="AA544" s="1983"/>
      <c r="AB544" s="1983"/>
      <c r="AC544" s="1983"/>
      <c r="AD544" s="1983"/>
      <c r="AE544" s="1983"/>
      <c r="AF544" s="1983"/>
      <c r="AG544" s="1983"/>
      <c r="AH544" s="1983"/>
      <c r="AI544" s="1983"/>
      <c r="AJ544" s="1984"/>
      <c r="AK544" s="520"/>
      <c r="AL544" s="520"/>
      <c r="AM544" s="520"/>
      <c r="AN544" s="522"/>
    </row>
    <row r="545" spans="1:44" s="475" customFormat="1" ht="12.75" customHeight="1">
      <c r="A545" s="549"/>
      <c r="B545" s="1985"/>
      <c r="C545" s="1986"/>
      <c r="D545" s="1986"/>
      <c r="E545" s="1986"/>
      <c r="F545" s="1986"/>
      <c r="G545" s="1986"/>
      <c r="H545" s="1986"/>
      <c r="I545" s="1986"/>
      <c r="J545" s="1986"/>
      <c r="K545" s="1986"/>
      <c r="L545" s="1986"/>
      <c r="M545" s="1986"/>
      <c r="N545" s="1986"/>
      <c r="O545" s="1986"/>
      <c r="P545" s="1986"/>
      <c r="Q545" s="1986"/>
      <c r="R545" s="1986"/>
      <c r="S545" s="1986"/>
      <c r="T545" s="1986"/>
      <c r="U545" s="1986"/>
      <c r="V545" s="1986"/>
      <c r="W545" s="1986"/>
      <c r="X545" s="1986"/>
      <c r="Y545" s="1986"/>
      <c r="Z545" s="1986"/>
      <c r="AA545" s="1986"/>
      <c r="AB545" s="1986"/>
      <c r="AC545" s="1986"/>
      <c r="AD545" s="1986"/>
      <c r="AE545" s="1986"/>
      <c r="AF545" s="1986"/>
      <c r="AG545" s="1986"/>
      <c r="AH545" s="1986"/>
      <c r="AI545" s="1986"/>
      <c r="AJ545" s="1987"/>
      <c r="AK545" s="520"/>
      <c r="AL545" s="520"/>
      <c r="AM545" s="520"/>
      <c r="AN545" s="522"/>
      <c r="AP545" s="2030">
        <f>AP546-AP541-AP542</f>
        <v>85359421</v>
      </c>
      <c r="AQ545" s="1939"/>
      <c r="AR545" s="1939"/>
    </row>
    <row r="546" spans="1:44" s="475" customFormat="1" ht="12.75" customHeight="1">
      <c r="A546" s="549"/>
      <c r="B546" s="1988"/>
      <c r="C546" s="1989"/>
      <c r="D546" s="1989"/>
      <c r="E546" s="1989"/>
      <c r="F546" s="1989"/>
      <c r="G546" s="1989"/>
      <c r="H546" s="1989"/>
      <c r="I546" s="1989"/>
      <c r="J546" s="1989"/>
      <c r="K546" s="1989"/>
      <c r="L546" s="1989"/>
      <c r="M546" s="1989"/>
      <c r="N546" s="1989"/>
      <c r="O546" s="1989"/>
      <c r="P546" s="1989"/>
      <c r="Q546" s="1989"/>
      <c r="R546" s="1989"/>
      <c r="S546" s="1989"/>
      <c r="T546" s="1989"/>
      <c r="U546" s="1989"/>
      <c r="V546" s="1989"/>
      <c r="W546" s="1989"/>
      <c r="X546" s="1989"/>
      <c r="Y546" s="1989"/>
      <c r="Z546" s="1989"/>
      <c r="AA546" s="1989"/>
      <c r="AB546" s="1989"/>
      <c r="AC546" s="1989"/>
      <c r="AD546" s="1989"/>
      <c r="AE546" s="1989"/>
      <c r="AF546" s="1989"/>
      <c r="AG546" s="1989"/>
      <c r="AH546" s="1989"/>
      <c r="AI546" s="1989"/>
      <c r="AJ546" s="1990"/>
      <c r="AK546" s="520"/>
      <c r="AL546" s="520"/>
      <c r="AM546" s="520"/>
      <c r="AN546" s="522"/>
      <c r="AP546" s="2030">
        <f>Application!AJ1018</f>
        <v>175644601</v>
      </c>
      <c r="AQ546" s="2030"/>
      <c r="AR546" s="2030"/>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2273</v>
      </c>
      <c r="AK548" s="1991">
        <f>IFERROR(IF(AND(C530="N/A",C533="N/A"),0,IF(AF542=0,0,IF((AF542*100)&gt;12,12,(AF542*100)))),0)</f>
        <v>12</v>
      </c>
      <c r="AL548" s="1991"/>
      <c r="AM548" s="1992"/>
      <c r="AN548" s="522"/>
      <c r="AP548" s="2046">
        <f>AP545+(AP539*AP543)</f>
        <v>133511517</v>
      </c>
      <c r="AQ548" s="2047"/>
      <c r="AR548" s="2048"/>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2274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2" t="s">
        <v>1977</v>
      </c>
      <c r="AF551" s="1822"/>
      <c r="AG551" s="1822"/>
      <c r="AH551" s="1822"/>
      <c r="AI551" s="1822"/>
      <c r="AJ551" s="1822"/>
      <c r="AK551" s="182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907" t="s">
        <v>2275</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67"/>
      <c r="AL553" s="498"/>
      <c r="AM553" s="528"/>
      <c r="AN553" s="522"/>
    </row>
    <row r="554" spans="1:44" s="475" customFormat="1" ht="12.75" customHeight="1">
      <c r="A554" s="528"/>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67"/>
      <c r="AL554" s="498"/>
      <c r="AM554" s="528"/>
      <c r="AN554" s="522"/>
    </row>
    <row r="555" spans="1:44" s="475" customFormat="1" ht="12.75" customHeight="1">
      <c r="A555" s="528"/>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67"/>
      <c r="AL555" s="498"/>
      <c r="AM555" s="528"/>
      <c r="AN555" s="522"/>
    </row>
    <row r="556" spans="1:44" s="475" customFormat="1" ht="12.75" customHeight="1">
      <c r="A556" s="528"/>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67"/>
      <c r="AL556" s="498"/>
      <c r="AM556" s="528"/>
      <c r="AN556" s="522"/>
    </row>
    <row r="557" spans="1:44" s="475" customFormat="1" ht="12.75" customHeight="1">
      <c r="A557" s="528"/>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67"/>
      <c r="AL557" s="498"/>
      <c r="AM557" s="528"/>
      <c r="AN557" s="522"/>
    </row>
    <row r="558" spans="1:44" s="475" customFormat="1" ht="12.75" customHeight="1">
      <c r="A558" s="528"/>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67"/>
      <c r="AL558" s="498"/>
      <c r="AM558" s="528"/>
      <c r="AN558" s="522"/>
    </row>
    <row r="559" spans="1:44" s="475" customFormat="1" ht="12.75" customHeight="1">
      <c r="A559" s="528"/>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67"/>
      <c r="AL559" s="498"/>
      <c r="AM559" s="528"/>
      <c r="AN559" s="522"/>
    </row>
    <row r="560" spans="1:44" ht="12.75" customHeight="1">
      <c r="A560" s="528"/>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67"/>
      <c r="AL560" s="498"/>
      <c r="AM560" s="528"/>
    </row>
    <row r="561" spans="1:42" s="475"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2276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946</v>
      </c>
    </row>
    <row r="565" spans="1:42" s="475" customFormat="1" ht="12.75" customHeight="1">
      <c r="C565" s="464" t="s">
        <v>2277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2278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4" t="s">
        <v>2022</v>
      </c>
      <c r="AG567" s="1854"/>
      <c r="AH567" s="1854"/>
      <c r="AI567" s="1854"/>
      <c r="AJ567" s="1854"/>
      <c r="AK567" s="1854"/>
      <c r="AL567" s="1854"/>
      <c r="AN567" s="522"/>
    </row>
    <row r="568" spans="1:42" s="475" customFormat="1" ht="12.75" customHeight="1">
      <c r="B568" s="461"/>
      <c r="C568" s="541"/>
      <c r="D568" s="588"/>
      <c r="E568" s="764" t="s">
        <v>2279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2280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2281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2282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2283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2284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54" t="s">
        <v>2285</v>
      </c>
      <c r="AG574" s="1854"/>
      <c r="AH574" s="1854"/>
      <c r="AI574" s="1854"/>
      <c r="AJ574" s="1854"/>
      <c r="AK574" s="1854"/>
      <c r="AL574" s="1854"/>
      <c r="AN574" s="522"/>
    </row>
    <row r="575" spans="1:42" s="475" customFormat="1" ht="12.75" customHeight="1">
      <c r="B575" s="461"/>
      <c r="C575" s="854"/>
      <c r="D575" s="588"/>
      <c r="E575" s="764" t="s">
        <v>2286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2287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2288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2289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2290</v>
      </c>
      <c r="AP579" s="475">
        <v>4</v>
      </c>
    </row>
    <row r="580" spans="1:53" s="475" customFormat="1" ht="12.75" customHeight="1">
      <c r="B580" s="461"/>
      <c r="C580" s="852"/>
      <c r="D580" s="588" t="s">
        <v>48</v>
      </c>
      <c r="E580" s="764" t="s">
        <v>2291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54" t="s">
        <v>2292</v>
      </c>
      <c r="AG580" s="1854"/>
      <c r="AH580" s="1854"/>
      <c r="AI580" s="1854"/>
      <c r="AJ580" s="1854"/>
      <c r="AK580" s="1854"/>
      <c r="AL580" s="1854"/>
      <c r="AN580" s="522"/>
      <c r="AO580" s="536" t="s">
        <v>2293</v>
      </c>
      <c r="AP580" s="475">
        <v>3</v>
      </c>
    </row>
    <row r="581" spans="1:53" s="475" customFormat="1" ht="12.75" customHeight="1">
      <c r="B581" s="461"/>
      <c r="C581" s="854"/>
      <c r="D581" s="588"/>
      <c r="E581" s="764" t="s">
        <v>2286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2287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2288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2289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2290</v>
      </c>
      <c r="E586" s="764" t="s">
        <v>2294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54" t="s">
        <v>2295</v>
      </c>
      <c r="AG586" s="1854"/>
      <c r="AH586" s="1854"/>
      <c r="AI586" s="1854"/>
      <c r="AJ586" s="1854"/>
      <c r="AK586" s="1854"/>
      <c r="AL586" s="1854"/>
      <c r="AN586" s="522"/>
      <c r="AO586" s="475" t="str">
        <f>X623</f>
        <v>N/A</v>
      </c>
    </row>
    <row r="587" spans="1:53" s="475" customFormat="1" ht="12.75" customHeight="1">
      <c r="B587" s="461"/>
      <c r="C587" s="854"/>
      <c r="D587" s="588"/>
      <c r="E587" s="764" t="s">
        <v>2296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2297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2298</v>
      </c>
      <c r="O590" s="1938" t="s">
        <v>1426</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2293</v>
      </c>
      <c r="E592" s="764" t="s">
        <v>2299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54" t="s">
        <v>2035</v>
      </c>
      <c r="AG592" s="1854"/>
      <c r="AH592" s="1854"/>
      <c r="AI592" s="1854"/>
      <c r="AJ592" s="1854"/>
      <c r="AK592" s="1854"/>
      <c r="AL592" s="1854"/>
      <c r="AN592" s="522"/>
    </row>
    <row r="593" spans="2:47" s="475" customFormat="1" ht="12.75" customHeight="1">
      <c r="B593" s="461"/>
      <c r="C593" s="852"/>
      <c r="D593" s="588"/>
      <c r="E593" s="764" t="s">
        <v>2300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2301</v>
      </c>
      <c r="E595" s="857"/>
      <c r="F595" s="857"/>
      <c r="G595" s="857"/>
      <c r="H595" s="1936" t="s">
        <v>21</v>
      </c>
      <c r="I595" s="1936"/>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2302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2303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2304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2305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2301</v>
      </c>
      <c r="F603" s="857"/>
      <c r="G603" s="857"/>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2306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2307</v>
      </c>
      <c r="AP604" s="475">
        <v>2</v>
      </c>
    </row>
    <row r="605" spans="2:47" s="475" customFormat="1" ht="12.75" customHeight="1">
      <c r="B605" s="1881" t="s">
        <v>299</v>
      </c>
      <c r="C605" s="1881"/>
      <c r="D605" s="567"/>
      <c r="E605" s="1907" t="s">
        <v>2308</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67"/>
      <c r="AI605" s="567"/>
      <c r="AJ605" s="567"/>
      <c r="AK605" s="567"/>
      <c r="AL605" s="567"/>
      <c r="AN605" s="522"/>
    </row>
    <row r="606" spans="2:47" s="475" customFormat="1" ht="12.75" customHeight="1">
      <c r="B606" s="461"/>
      <c r="C606" s="854"/>
      <c r="D606" s="567"/>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67"/>
      <c r="AI606" s="567"/>
      <c r="AJ606" s="567"/>
      <c r="AK606" s="567"/>
      <c r="AL606" s="567"/>
      <c r="AN606" s="522"/>
    </row>
    <row r="607" spans="2:47" s="475" customFormat="1" ht="12.75" customHeight="1">
      <c r="B607" s="461"/>
      <c r="C607" s="854"/>
      <c r="D607" s="567"/>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67"/>
      <c r="AI607" s="567"/>
      <c r="AJ607" s="567"/>
      <c r="AK607" s="567"/>
      <c r="AL607" s="567"/>
      <c r="AN607" s="522"/>
    </row>
    <row r="608" spans="2:47" s="475" customFormat="1" ht="12.75" customHeight="1">
      <c r="B608" s="461"/>
      <c r="C608" s="854"/>
      <c r="D608" s="567"/>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2309</v>
      </c>
      <c r="AJ610" s="1887">
        <f>VLOOKUP($H$595,$AO$575:$AP$580,2,FALSE)+VLOOKUP($I$603,$AO$602:$AP$604,2,FALSE)</f>
        <v>7</v>
      </c>
      <c r="AK610" s="1889"/>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2310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2311</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54" t="s">
        <v>2035</v>
      </c>
      <c r="AG614" s="1854"/>
      <c r="AH614" s="1854"/>
      <c r="AI614" s="1854"/>
      <c r="AJ614" s="1854"/>
      <c r="AK614" s="1854"/>
      <c r="AL614" s="1854"/>
      <c r="AM614" s="475"/>
      <c r="AN614" s="603"/>
    </row>
    <row r="615" spans="1:42" s="475" customFormat="1" ht="12.75" customHeight="1">
      <c r="A615" s="604"/>
      <c r="B615" s="461"/>
      <c r="C615" s="854"/>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2"/>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2"/>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2"/>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2"/>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1"/>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1"/>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2312</v>
      </c>
      <c r="F623" s="862"/>
      <c r="G623" s="862"/>
      <c r="H623" s="862"/>
      <c r="I623" s="862"/>
      <c r="J623" s="862"/>
      <c r="K623" s="862"/>
      <c r="L623" s="862"/>
      <c r="M623" s="862"/>
      <c r="N623" s="862"/>
      <c r="O623" s="862"/>
      <c r="P623" s="862"/>
      <c r="Q623" s="862"/>
      <c r="R623" s="862"/>
      <c r="U623" s="862"/>
      <c r="V623" s="862"/>
      <c r="W623" s="862"/>
      <c r="X623" s="1881" t="s">
        <v>299</v>
      </c>
      <c r="Y623" s="1881"/>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2313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54" t="s">
        <v>2314</v>
      </c>
      <c r="AG625" s="1854"/>
      <c r="AH625" s="1854"/>
      <c r="AI625" s="1854"/>
      <c r="AJ625" s="1854"/>
      <c r="AK625" s="1854"/>
      <c r="AL625" s="1854"/>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2290</v>
      </c>
      <c r="AP626" s="605">
        <v>4</v>
      </c>
    </row>
    <row r="627" spans="1:42" s="475" customFormat="1" ht="12.75" customHeight="1">
      <c r="B627" s="461"/>
      <c r="C627" s="852"/>
      <c r="D627" s="461" t="s">
        <v>2301</v>
      </c>
      <c r="E627" s="857"/>
      <c r="F627" s="857"/>
      <c r="G627" s="857"/>
      <c r="H627" s="1936" t="s">
        <v>21</v>
      </c>
      <c r="I627" s="1936"/>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2293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2315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2316</v>
      </c>
      <c r="AJ629" s="1887">
        <f>VLOOKUP($H$627,$AO$594:$AP$596,2,FALSE)</f>
        <v>3</v>
      </c>
      <c r="AK629" s="1889"/>
      <c r="AL629" s="520"/>
      <c r="AN629" s="522"/>
      <c r="AO629" s="536" t="s">
        <v>2317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2318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907" t="s">
        <v>2319</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61"/>
      <c r="AF633" s="1854" t="s">
        <v>2035</v>
      </c>
      <c r="AG633" s="1854"/>
      <c r="AH633" s="1854"/>
      <c r="AI633" s="1854"/>
      <c r="AJ633" s="1854"/>
      <c r="AK633" s="1854"/>
      <c r="AL633" s="1854"/>
      <c r="AN633" s="522"/>
    </row>
    <row r="634" spans="1:42" s="475" customFormat="1" ht="12.75" customHeight="1">
      <c r="B634" s="461"/>
      <c r="C634" s="461"/>
      <c r="D634" s="588"/>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2320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4" t="s">
        <v>2314</v>
      </c>
      <c r="AG636" s="1854"/>
      <c r="AH636" s="1854"/>
      <c r="AI636" s="1854"/>
      <c r="AJ636" s="1854"/>
      <c r="AK636" s="1854"/>
      <c r="AL636" s="1854"/>
      <c r="AN636" s="522"/>
    </row>
    <row r="637" spans="1:42" s="475" customFormat="1" ht="12.75" customHeight="1">
      <c r="B637" s="461"/>
      <c r="C637" s="852"/>
      <c r="D637" s="588"/>
      <c r="E637" s="541" t="s">
        <v>2321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2301</v>
      </c>
      <c r="E639" s="857"/>
      <c r="F639" s="857"/>
      <c r="G639" s="857"/>
      <c r="H639" s="1936" t="s">
        <v>26</v>
      </c>
      <c r="I639" s="193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2322</v>
      </c>
      <c r="AJ641" s="1887">
        <f>VLOOKUP(H639,AT594:AU596,2,FALSE)</f>
        <v>2</v>
      </c>
      <c r="AK641" s="1889"/>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2323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2324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7" t="s">
        <v>2325</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61"/>
      <c r="AE646" s="461"/>
      <c r="AF646" s="1854" t="s">
        <v>2292</v>
      </c>
      <c r="AG646" s="1854"/>
      <c r="AH646" s="1854"/>
      <c r="AI646" s="1854"/>
      <c r="AJ646" s="1854"/>
      <c r="AK646" s="1854"/>
      <c r="AL646" s="1854"/>
      <c r="AN646" s="522"/>
    </row>
    <row r="647" spans="1:42" s="475" customFormat="1" ht="12.75" customHeight="1">
      <c r="B647" s="461"/>
      <c r="C647" s="464"/>
      <c r="D647" s="461"/>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61"/>
      <c r="AE647" s="461"/>
      <c r="AF647" s="461"/>
      <c r="AG647" s="461"/>
      <c r="AH647" s="461"/>
      <c r="AI647" s="461"/>
      <c r="AJ647" s="461"/>
      <c r="AK647" s="461"/>
      <c r="AL647" s="461"/>
      <c r="AN647" s="522"/>
    </row>
    <row r="648" spans="1:42" s="475" customFormat="1" ht="12.75" customHeight="1">
      <c r="B648" s="461"/>
      <c r="C648" s="464"/>
      <c r="D648" s="588"/>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907" t="s">
        <v>2326</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61"/>
      <c r="AE650" s="461"/>
      <c r="AF650" s="1854" t="s">
        <v>2295</v>
      </c>
      <c r="AG650" s="1854"/>
      <c r="AH650" s="1854"/>
      <c r="AI650" s="1854"/>
      <c r="AJ650" s="1854"/>
      <c r="AK650" s="1854"/>
      <c r="AL650" s="1854"/>
      <c r="AN650" s="522"/>
    </row>
    <row r="651" spans="1:42" s="475" customFormat="1" ht="12.75" customHeight="1">
      <c r="B651" s="461"/>
      <c r="C651" s="464"/>
      <c r="D651" s="461"/>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61"/>
      <c r="AE651" s="461"/>
      <c r="AF651" s="461"/>
      <c r="AG651" s="461"/>
      <c r="AH651" s="461"/>
      <c r="AI651" s="461"/>
      <c r="AJ651" s="461"/>
      <c r="AK651" s="461"/>
      <c r="AL651" s="461"/>
      <c r="AN651" s="522"/>
    </row>
    <row r="652" spans="1:42" s="475" customFormat="1" ht="15" customHeight="1">
      <c r="B652" s="461"/>
      <c r="C652" s="464"/>
      <c r="D652" s="588"/>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907" t="s">
        <v>2327</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61"/>
      <c r="AE654" s="461"/>
      <c r="AF654" s="1854" t="s">
        <v>2035</v>
      </c>
      <c r="AG654" s="1854"/>
      <c r="AH654" s="1854"/>
      <c r="AI654" s="1854"/>
      <c r="AJ654" s="1854"/>
      <c r="AK654" s="1854"/>
      <c r="AL654" s="1854"/>
      <c r="AN654" s="522"/>
    </row>
    <row r="655" spans="1:42" s="475" customFormat="1" ht="12.75" customHeight="1">
      <c r="B655" s="461"/>
      <c r="C655" s="852"/>
      <c r="D655" s="461"/>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61"/>
      <c r="AE655" s="1854"/>
      <c r="AF655" s="1854"/>
      <c r="AG655" s="1854"/>
      <c r="AH655" s="1854"/>
      <c r="AI655" s="1854"/>
      <c r="AJ655" s="1854"/>
      <c r="AK655" s="1854"/>
      <c r="AL655" s="519"/>
      <c r="AN655" s="522"/>
      <c r="AO655" s="475" t="s">
        <v>299</v>
      </c>
      <c r="AP655" s="598">
        <v>0</v>
      </c>
    </row>
    <row r="656" spans="1:42" s="475" customFormat="1" ht="12.75" customHeight="1">
      <c r="A656" s="604"/>
      <c r="B656" s="461"/>
      <c r="C656" s="461"/>
      <c r="D656" s="588"/>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2290</v>
      </c>
      <c r="E658" s="1907" t="s">
        <v>2328</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61"/>
      <c r="AE658" s="461"/>
      <c r="AF658" s="1854" t="s">
        <v>2295</v>
      </c>
      <c r="AG658" s="1854"/>
      <c r="AH658" s="1854"/>
      <c r="AI658" s="1854"/>
      <c r="AJ658" s="1854"/>
      <c r="AK658" s="1854"/>
      <c r="AL658" s="1854"/>
      <c r="AN658" s="522"/>
    </row>
    <row r="659" spans="1:42" s="475" customFormat="1" ht="12.75" customHeight="1">
      <c r="A659" s="595"/>
      <c r="B659" s="461"/>
      <c r="C659" s="868"/>
      <c r="D659" s="588"/>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61"/>
      <c r="AE659" s="519"/>
      <c r="AF659" s="519"/>
      <c r="AG659" s="519"/>
      <c r="AH659" s="519"/>
      <c r="AI659" s="519"/>
      <c r="AJ659" s="519"/>
      <c r="AK659" s="519"/>
      <c r="AL659" s="519"/>
      <c r="AM659" s="521"/>
      <c r="AN659" s="522"/>
    </row>
    <row r="660" spans="1:42" s="475" customFormat="1" ht="12.75" customHeight="1">
      <c r="A660" s="595"/>
      <c r="B660" s="461"/>
      <c r="C660" s="868"/>
      <c r="D660" s="588"/>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2293</v>
      </c>
      <c r="E662" s="1907" t="s">
        <v>2329</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61"/>
      <c r="AE662" s="461"/>
      <c r="AF662" s="1854" t="s">
        <v>2035</v>
      </c>
      <c r="AG662" s="1854"/>
      <c r="AH662" s="1854"/>
      <c r="AI662" s="1854"/>
      <c r="AJ662" s="1854"/>
      <c r="AK662" s="1854"/>
      <c r="AL662" s="1854"/>
      <c r="AM662" s="521"/>
      <c r="AN662" s="522"/>
    </row>
    <row r="663" spans="1:42" s="475" customFormat="1" ht="12.75" customHeight="1">
      <c r="B663" s="461"/>
      <c r="C663" s="852"/>
      <c r="D663" s="588"/>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61"/>
      <c r="AE663" s="461"/>
      <c r="AF663" s="461"/>
      <c r="AG663" s="461"/>
      <c r="AH663" s="461"/>
      <c r="AI663" s="461"/>
      <c r="AJ663" s="461"/>
      <c r="AK663" s="461"/>
      <c r="AL663" s="461"/>
      <c r="AM663" s="521"/>
      <c r="AN663" s="522"/>
    </row>
    <row r="664" spans="1:42" s="475" customFormat="1" ht="12.75" customHeight="1">
      <c r="B664" s="461"/>
      <c r="C664" s="852"/>
      <c r="D664" s="588"/>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2315</v>
      </c>
      <c r="E666" s="1907" t="s">
        <v>2330</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61"/>
      <c r="AE666" s="461"/>
      <c r="AF666" s="1854" t="s">
        <v>2314</v>
      </c>
      <c r="AG666" s="1854"/>
      <c r="AH666" s="1854"/>
      <c r="AI666" s="1854"/>
      <c r="AJ666" s="1854"/>
      <c r="AK666" s="1854"/>
      <c r="AL666" s="1854"/>
      <c r="AM666" s="521"/>
      <c r="AN666" s="522"/>
    </row>
    <row r="667" spans="1:42" s="475" customFormat="1" ht="12.75" customHeight="1">
      <c r="A667" s="604"/>
      <c r="B667" s="461"/>
      <c r="C667" s="852"/>
      <c r="D667" s="588"/>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61"/>
      <c r="AE667" s="461"/>
      <c r="AF667" s="519"/>
      <c r="AG667" s="519"/>
      <c r="AH667" s="519"/>
      <c r="AI667" s="519"/>
      <c r="AJ667" s="519"/>
      <c r="AK667" s="519"/>
      <c r="AL667" s="519"/>
      <c r="AM667" s="521"/>
      <c r="AN667" s="522"/>
    </row>
    <row r="668" spans="1:42" s="475" customFormat="1" ht="12.75" customHeight="1">
      <c r="A668" s="604"/>
      <c r="B668" s="461"/>
      <c r="C668" s="852"/>
      <c r="D668" s="588"/>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2317</v>
      </c>
      <c r="E670" s="1907" t="s">
        <v>2331</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61"/>
      <c r="AE670" s="461"/>
      <c r="AF670" s="1854" t="s">
        <v>2332</v>
      </c>
      <c r="AG670" s="1854"/>
      <c r="AH670" s="1854"/>
      <c r="AI670" s="1854"/>
      <c r="AJ670" s="1854"/>
      <c r="AK670" s="1854"/>
      <c r="AL670" s="1854"/>
      <c r="AM670" s="521"/>
      <c r="AN670" s="522"/>
      <c r="AO670" s="536" t="s">
        <v>21</v>
      </c>
      <c r="AP670" s="475">
        <v>3</v>
      </c>
    </row>
    <row r="671" spans="1:42" s="475" customFormat="1" ht="12.75" customHeight="1">
      <c r="A671" s="604"/>
      <c r="B671" s="461"/>
      <c r="C671" s="852"/>
      <c r="D671" s="588"/>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2301</v>
      </c>
      <c r="E674" s="857"/>
      <c r="F674" s="857"/>
      <c r="G674" s="857"/>
      <c r="H674" s="1936" t="s">
        <v>21</v>
      </c>
      <c r="I674" s="193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2333</v>
      </c>
      <c r="AJ676" s="1887">
        <f>VLOOKUP($H$674,$AO$622:$AP$629,2,FALSE)</f>
        <v>5</v>
      </c>
      <c r="AK676" s="1889"/>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2334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907" t="s">
        <v>2335</v>
      </c>
      <c r="F680" s="1907"/>
      <c r="G680" s="1907"/>
      <c r="H680" s="1907"/>
      <c r="I680" s="1907"/>
      <c r="J680" s="1907"/>
      <c r="K680" s="1907"/>
      <c r="L680" s="1907"/>
      <c r="M680" s="1907"/>
      <c r="N680" s="1907"/>
      <c r="O680" s="1907"/>
      <c r="P680" s="1907"/>
      <c r="Q680" s="1907"/>
      <c r="R680" s="1907"/>
      <c r="S680" s="1907"/>
      <c r="T680" s="1907"/>
      <c r="U680" s="1907"/>
      <c r="V680" s="1907"/>
      <c r="W680" s="1907"/>
      <c r="X680" s="1907"/>
      <c r="Y680" s="1907"/>
      <c r="Z680" s="1907"/>
      <c r="AA680" s="1907"/>
      <c r="AB680" s="1907"/>
      <c r="AC680" s="461"/>
      <c r="AD680" s="461"/>
      <c r="AE680" s="461"/>
      <c r="AF680" s="1854" t="s">
        <v>2035</v>
      </c>
      <c r="AG680" s="1854"/>
      <c r="AH680" s="1854"/>
      <c r="AI680" s="1854"/>
      <c r="AJ680" s="1854"/>
      <c r="AK680" s="1854"/>
      <c r="AL680" s="1854"/>
      <c r="AN680" s="522"/>
    </row>
    <row r="681" spans="1:42" s="475" customFormat="1" ht="12.75" customHeight="1">
      <c r="B681" s="461"/>
      <c r="C681" s="861"/>
      <c r="D681" s="588"/>
      <c r="E681" s="1907"/>
      <c r="F681" s="1907"/>
      <c r="G681" s="1907"/>
      <c r="H681" s="1907"/>
      <c r="I681" s="1907"/>
      <c r="J681" s="1907"/>
      <c r="K681" s="1907"/>
      <c r="L681" s="1907"/>
      <c r="M681" s="1907"/>
      <c r="N681" s="1907"/>
      <c r="O681" s="1907"/>
      <c r="P681" s="1907"/>
      <c r="Q681" s="1907"/>
      <c r="R681" s="1907"/>
      <c r="S681" s="1907"/>
      <c r="T681" s="1907"/>
      <c r="U681" s="1907"/>
      <c r="V681" s="1907"/>
      <c r="W681" s="1907"/>
      <c r="X681" s="1907"/>
      <c r="Y681" s="1907"/>
      <c r="Z681" s="1907"/>
      <c r="AA681" s="1907"/>
      <c r="AB681" s="1907"/>
      <c r="AC681" s="461"/>
      <c r="AD681" s="461"/>
      <c r="AE681" s="541"/>
      <c r="AF681" s="461"/>
      <c r="AG681" s="461"/>
      <c r="AH681" s="461"/>
      <c r="AI681" s="461"/>
      <c r="AJ681" s="461"/>
      <c r="AK681" s="461"/>
      <c r="AL681" s="461"/>
      <c r="AN681" s="522"/>
      <c r="AO681" s="1939"/>
      <c r="AP681" s="1939"/>
    </row>
    <row r="682" spans="1:42" s="475" customFormat="1" ht="12.75" customHeight="1">
      <c r="B682" s="461"/>
      <c r="C682" s="861"/>
      <c r="D682" s="588"/>
      <c r="E682" s="1907"/>
      <c r="F682" s="1907"/>
      <c r="G682" s="1907"/>
      <c r="H682" s="1907"/>
      <c r="I682" s="1907"/>
      <c r="J682" s="1907"/>
      <c r="K682" s="1907"/>
      <c r="L682" s="1907"/>
      <c r="M682" s="1907"/>
      <c r="N682" s="1907"/>
      <c r="O682" s="1907"/>
      <c r="P682" s="1907"/>
      <c r="Q682" s="1907"/>
      <c r="R682" s="1907"/>
      <c r="S682" s="1907"/>
      <c r="T682" s="1907"/>
      <c r="U682" s="1907"/>
      <c r="V682" s="1907"/>
      <c r="W682" s="1907"/>
      <c r="X682" s="1907"/>
      <c r="Y682" s="1907"/>
      <c r="Z682" s="1907"/>
      <c r="AA682" s="1907"/>
      <c r="AB682" s="1907"/>
      <c r="AC682" s="461"/>
      <c r="AD682" s="461"/>
      <c r="AE682" s="541"/>
      <c r="AF682" s="541"/>
      <c r="AG682" s="541"/>
      <c r="AH682" s="541"/>
      <c r="AI682" s="541"/>
      <c r="AJ682" s="541"/>
      <c r="AK682" s="541"/>
      <c r="AL682" s="541"/>
      <c r="AN682" s="522"/>
    </row>
    <row r="683" spans="1:42" s="475" customFormat="1" ht="28.5" customHeight="1">
      <c r="B683" s="461"/>
      <c r="C683" s="861"/>
      <c r="D683" s="588"/>
      <c r="E683" s="1907"/>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907" t="s">
        <v>2336</v>
      </c>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61"/>
      <c r="AD685" s="461"/>
      <c r="AE685" s="461"/>
      <c r="AF685" s="1854" t="s">
        <v>2314</v>
      </c>
      <c r="AG685" s="1854"/>
      <c r="AH685" s="1854"/>
      <c r="AI685" s="1854"/>
      <c r="AJ685" s="1854"/>
      <c r="AK685" s="1854"/>
      <c r="AL685" s="1854"/>
      <c r="AN685" s="522"/>
      <c r="AO685" s="536" t="s">
        <v>26</v>
      </c>
      <c r="AP685" s="475">
        <v>1</v>
      </c>
    </row>
    <row r="686" spans="1:42" s="475" customFormat="1" ht="12" customHeight="1">
      <c r="B686" s="461"/>
      <c r="C686" s="852"/>
      <c r="D686" s="461"/>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61"/>
      <c r="AD686" s="461"/>
      <c r="AE686" s="541"/>
      <c r="AF686" s="461"/>
      <c r="AG686" s="461"/>
      <c r="AH686" s="461"/>
      <c r="AI686" s="461"/>
      <c r="AJ686" s="461"/>
      <c r="AK686" s="461"/>
      <c r="AL686" s="461"/>
      <c r="AN686" s="522"/>
    </row>
    <row r="687" spans="1:42" s="475" customFormat="1" ht="12" customHeight="1">
      <c r="B687" s="461"/>
      <c r="C687" s="852"/>
      <c r="D687" s="461"/>
      <c r="E687" s="1907"/>
      <c r="F687" s="1907"/>
      <c r="G687" s="1907"/>
      <c r="H687" s="1907"/>
      <c r="I687" s="1907"/>
      <c r="J687" s="1907"/>
      <c r="K687" s="1907"/>
      <c r="L687" s="1907"/>
      <c r="M687" s="1907"/>
      <c r="N687" s="1907"/>
      <c r="O687" s="1907"/>
      <c r="P687" s="1907"/>
      <c r="Q687" s="1907"/>
      <c r="R687" s="1907"/>
      <c r="S687" s="1907"/>
      <c r="T687" s="1907"/>
      <c r="U687" s="1907"/>
      <c r="V687" s="1907"/>
      <c r="W687" s="1907"/>
      <c r="X687" s="1907"/>
      <c r="Y687" s="1907"/>
      <c r="Z687" s="1907"/>
      <c r="AA687" s="1907"/>
      <c r="AB687" s="1907"/>
      <c r="AC687" s="461"/>
      <c r="AD687" s="461"/>
      <c r="AE687" s="541"/>
      <c r="AF687" s="461"/>
      <c r="AG687" s="461"/>
      <c r="AH687" s="461"/>
      <c r="AI687" s="461"/>
      <c r="AJ687" s="461"/>
      <c r="AK687" s="461"/>
      <c r="AL687" s="461"/>
      <c r="AN687" s="522"/>
    </row>
    <row r="688" spans="1:42" s="495" customFormat="1" ht="29.25" customHeight="1">
      <c r="A688" s="475"/>
      <c r="B688" s="461"/>
      <c r="C688" s="852"/>
      <c r="D688" s="461"/>
      <c r="E688" s="1907"/>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907" t="s">
        <v>2337</v>
      </c>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2301</v>
      </c>
      <c r="E694" s="857"/>
      <c r="F694" s="857"/>
      <c r="G694" s="857"/>
      <c r="H694" s="1936" t="s">
        <v>21</v>
      </c>
      <c r="I694" s="1936"/>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2338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2310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2339</v>
      </c>
      <c r="AJ696" s="1887">
        <f>VLOOKUP($H$694,$AO$641:$AP$643,2,FALSE)</f>
        <v>3</v>
      </c>
      <c r="AK696" s="1889"/>
      <c r="AL696" s="520"/>
      <c r="AM696" s="475"/>
      <c r="AN696" s="609"/>
      <c r="AP696" s="495" t="s">
        <v>2318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2340</v>
      </c>
    </row>
    <row r="698" spans="1:42" s="495" customFormat="1" ht="12.75" customHeight="1">
      <c r="A698" s="475"/>
      <c r="B698" s="461"/>
      <c r="C698" s="464" t="s">
        <v>2341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2342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2343</v>
      </c>
    </row>
    <row r="700" spans="1:42" s="495" customFormat="1" ht="12.75" customHeight="1">
      <c r="A700" s="562"/>
      <c r="B700" s="461"/>
      <c r="C700" s="852"/>
      <c r="D700" s="588" t="s">
        <v>21</v>
      </c>
      <c r="E700" s="1940" t="s">
        <v>2344</v>
      </c>
      <c r="F700" s="1940"/>
      <c r="G700" s="1940"/>
      <c r="H700" s="1940"/>
      <c r="I700" s="1940"/>
      <c r="J700" s="1940"/>
      <c r="K700" s="1940"/>
      <c r="L700" s="1940"/>
      <c r="M700" s="1940"/>
      <c r="N700" s="1940"/>
      <c r="O700" s="1940"/>
      <c r="P700" s="1940"/>
      <c r="Q700" s="1940"/>
      <c r="R700" s="1940"/>
      <c r="S700" s="1940"/>
      <c r="T700" s="1940"/>
      <c r="U700" s="1940"/>
      <c r="V700" s="1940"/>
      <c r="W700" s="1940"/>
      <c r="X700" s="1940"/>
      <c r="Y700" s="1940"/>
      <c r="Z700" s="1940"/>
      <c r="AA700" s="1940"/>
      <c r="AB700" s="1940"/>
      <c r="AC700" s="461"/>
      <c r="AD700" s="461"/>
      <c r="AE700" s="461"/>
      <c r="AF700" s="1854" t="s">
        <v>2035</v>
      </c>
      <c r="AG700" s="1854"/>
      <c r="AH700" s="1854"/>
      <c r="AI700" s="1854"/>
      <c r="AJ700" s="1854"/>
      <c r="AK700" s="1854"/>
      <c r="AL700" s="1854"/>
      <c r="AM700" s="475"/>
      <c r="AN700" s="609"/>
      <c r="AP700" s="495" t="s">
        <v>2345</v>
      </c>
    </row>
    <row r="701" spans="1:42" s="495" customFormat="1" ht="12" customHeight="1">
      <c r="A701" s="475"/>
      <c r="B701" s="461"/>
      <c r="C701" s="854"/>
      <c r="D701" s="588"/>
      <c r="E701" s="1940"/>
      <c r="F701" s="1940"/>
      <c r="G701" s="1940"/>
      <c r="H701" s="1940"/>
      <c r="I701" s="1940"/>
      <c r="J701" s="1940"/>
      <c r="K701" s="1940"/>
      <c r="L701" s="1940"/>
      <c r="M701" s="1940"/>
      <c r="N701" s="1940"/>
      <c r="O701" s="1940"/>
      <c r="P701" s="1940"/>
      <c r="Q701" s="1940"/>
      <c r="R701" s="1940"/>
      <c r="S701" s="1940"/>
      <c r="T701" s="1940"/>
      <c r="U701" s="1940"/>
      <c r="V701" s="1940"/>
      <c r="W701" s="1940"/>
      <c r="X701" s="1940"/>
      <c r="Y701" s="1940"/>
      <c r="Z701" s="1940"/>
      <c r="AA701" s="1940"/>
      <c r="AB701" s="1940"/>
      <c r="AC701" s="461"/>
      <c r="AD701" s="461"/>
      <c r="AE701" s="461"/>
      <c r="AF701" s="461"/>
      <c r="AG701" s="461"/>
      <c r="AH701" s="461"/>
      <c r="AI701" s="461"/>
      <c r="AJ701" s="461"/>
      <c r="AK701" s="461"/>
      <c r="AL701" s="461"/>
      <c r="AM701" s="475"/>
      <c r="AN701" s="609"/>
      <c r="AP701" s="495" t="s">
        <v>2346</v>
      </c>
    </row>
    <row r="702" spans="1:42" s="495" customFormat="1" ht="14.1" customHeight="1">
      <c r="A702" s="475"/>
      <c r="B702" s="535"/>
      <c r="C702" s="852"/>
      <c r="D702" s="588"/>
      <c r="E702" s="1940"/>
      <c r="F702" s="1940"/>
      <c r="G702" s="1940"/>
      <c r="H702" s="1940"/>
      <c r="I702" s="1940"/>
      <c r="J702" s="1940"/>
      <c r="K702" s="1940"/>
      <c r="L702" s="1940"/>
      <c r="M702" s="1940"/>
      <c r="N702" s="1940"/>
      <c r="O702" s="1940"/>
      <c r="P702" s="1940"/>
      <c r="Q702" s="1940"/>
      <c r="R702" s="1940"/>
      <c r="S702" s="1940"/>
      <c r="T702" s="1940"/>
      <c r="U702" s="1940"/>
      <c r="V702" s="1940"/>
      <c r="W702" s="1940"/>
      <c r="X702" s="1940"/>
      <c r="Y702" s="1940"/>
      <c r="Z702" s="1940"/>
      <c r="AA702" s="1940"/>
      <c r="AB702" s="1940"/>
      <c r="AC702" s="461"/>
      <c r="AD702" s="461"/>
      <c r="AE702" s="541"/>
      <c r="AF702" s="461"/>
      <c r="AG702" s="461"/>
      <c r="AH702" s="461"/>
      <c r="AI702" s="461"/>
      <c r="AJ702" s="461"/>
      <c r="AK702" s="461"/>
      <c r="AL702" s="461"/>
      <c r="AM702" s="475"/>
      <c r="AN702" s="609"/>
      <c r="AP702" s="495" t="s">
        <v>2347</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2348</v>
      </c>
    </row>
    <row r="704" spans="1:42" s="495" customFormat="1" ht="14.1" customHeight="1">
      <c r="A704" s="475"/>
      <c r="B704" s="461"/>
      <c r="C704" s="852"/>
      <c r="D704" s="588" t="s">
        <v>26</v>
      </c>
      <c r="E704" s="1941" t="s">
        <v>2349</v>
      </c>
      <c r="F704" s="1941"/>
      <c r="G704" s="1941"/>
      <c r="H704" s="1941"/>
      <c r="I704" s="1941"/>
      <c r="J704" s="1941"/>
      <c r="K704" s="1941"/>
      <c r="L704" s="1941"/>
      <c r="M704" s="1941"/>
      <c r="N704" s="1941"/>
      <c r="O704" s="1941"/>
      <c r="P704" s="1941"/>
      <c r="Q704" s="1941"/>
      <c r="R704" s="1941"/>
      <c r="S704" s="1941"/>
      <c r="T704" s="1941"/>
      <c r="U704" s="1941"/>
      <c r="V704" s="1941"/>
      <c r="W704" s="1941"/>
      <c r="X704" s="1941"/>
      <c r="Y704" s="1941"/>
      <c r="Z704" s="1941"/>
      <c r="AA704" s="1941"/>
      <c r="AB704" s="1941"/>
      <c r="AC704" s="461"/>
      <c r="AD704" s="461"/>
      <c r="AE704" s="461"/>
      <c r="AF704" s="1854" t="s">
        <v>2314</v>
      </c>
      <c r="AG704" s="1854"/>
      <c r="AH704" s="1854"/>
      <c r="AI704" s="1854"/>
      <c r="AJ704" s="1854"/>
      <c r="AK704" s="1854"/>
      <c r="AL704" s="1854"/>
      <c r="AM704" s="475"/>
      <c r="AN704" s="610"/>
    </row>
    <row r="705" spans="1:52" s="495" customFormat="1" ht="12.75" customHeight="1">
      <c r="A705" s="475"/>
      <c r="B705" s="461"/>
      <c r="C705" s="854"/>
      <c r="D705" s="461"/>
      <c r="E705" s="1941"/>
      <c r="F705" s="1941"/>
      <c r="G705" s="1941"/>
      <c r="H705" s="1941"/>
      <c r="I705" s="1941"/>
      <c r="J705" s="1941"/>
      <c r="K705" s="1941"/>
      <c r="L705" s="1941"/>
      <c r="M705" s="1941"/>
      <c r="N705" s="1941"/>
      <c r="O705" s="1941"/>
      <c r="P705" s="1941"/>
      <c r="Q705" s="1941"/>
      <c r="R705" s="1941"/>
      <c r="S705" s="1941"/>
      <c r="T705" s="1941"/>
      <c r="U705" s="1941"/>
      <c r="V705" s="1941"/>
      <c r="W705" s="1941"/>
      <c r="X705" s="1941"/>
      <c r="Y705" s="1941"/>
      <c r="Z705" s="1941"/>
      <c r="AA705" s="1941"/>
      <c r="AB705" s="1941"/>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41"/>
      <c r="F706" s="1941"/>
      <c r="G706" s="1941"/>
      <c r="H706" s="1941"/>
      <c r="I706" s="1941"/>
      <c r="J706" s="1941"/>
      <c r="K706" s="1941"/>
      <c r="L706" s="1941"/>
      <c r="M706" s="1941"/>
      <c r="N706" s="1941"/>
      <c r="O706" s="1941"/>
      <c r="P706" s="1941"/>
      <c r="Q706" s="1941"/>
      <c r="R706" s="1941"/>
      <c r="S706" s="1941"/>
      <c r="T706" s="1941"/>
      <c r="U706" s="1941"/>
      <c r="V706" s="1941"/>
      <c r="W706" s="1941"/>
      <c r="X706" s="1941"/>
      <c r="Y706" s="1941"/>
      <c r="Z706" s="1941"/>
      <c r="AA706" s="1941"/>
      <c r="AB706" s="1941"/>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2301</v>
      </c>
      <c r="E708" s="857"/>
      <c r="F708" s="857"/>
      <c r="G708" s="857"/>
      <c r="H708" s="1936" t="s">
        <v>299</v>
      </c>
      <c r="I708" s="1936"/>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2350</v>
      </c>
      <c r="AJ710" s="1887">
        <f>VLOOKUP($H$708,$AO$641:$AP$643,2,FALSE)</f>
        <v>0</v>
      </c>
      <c r="AK710" s="1889"/>
      <c r="AL710" s="520"/>
      <c r="AM710" s="475"/>
      <c r="AN710" s="609"/>
      <c r="AP710" s="1887"/>
      <c r="AQ710" s="1889"/>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2351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907" t="s">
        <v>2352</v>
      </c>
      <c r="F714" s="1907"/>
      <c r="G714" s="1907"/>
      <c r="H714" s="1907"/>
      <c r="I714" s="1907"/>
      <c r="J714" s="1907"/>
      <c r="K714" s="1907"/>
      <c r="L714" s="1907"/>
      <c r="M714" s="1907"/>
      <c r="N714" s="1907"/>
      <c r="O714" s="1907"/>
      <c r="P714" s="1907"/>
      <c r="Q714" s="1907"/>
      <c r="R714" s="1907"/>
      <c r="S714" s="1907"/>
      <c r="T714" s="1907"/>
      <c r="U714" s="1907"/>
      <c r="V714" s="1907"/>
      <c r="W714" s="1907"/>
      <c r="X714" s="1907"/>
      <c r="Y714" s="1907"/>
      <c r="Z714" s="1907"/>
      <c r="AA714" s="1907"/>
      <c r="AB714" s="1907"/>
      <c r="AC714" s="461"/>
      <c r="AD714" s="461"/>
      <c r="AE714" s="461"/>
      <c r="AF714" s="1854" t="s">
        <v>2035</v>
      </c>
      <c r="AG714" s="1854"/>
      <c r="AH714" s="1854"/>
      <c r="AI714" s="1854"/>
      <c r="AJ714" s="1854"/>
      <c r="AK714" s="1854"/>
      <c r="AL714" s="1854"/>
      <c r="AM714" s="475"/>
      <c r="AN714" s="609"/>
      <c r="AT714" s="14"/>
      <c r="AU714" s="14"/>
      <c r="AV714" s="14"/>
      <c r="AW714" s="14"/>
      <c r="AX714" s="14"/>
      <c r="AY714" s="14"/>
      <c r="AZ714" s="14"/>
    </row>
    <row r="715" spans="1:52" s="495" customFormat="1">
      <c r="A715" s="475"/>
      <c r="B715" s="461"/>
      <c r="C715" s="854"/>
      <c r="D715" s="588"/>
      <c r="E715" s="1907"/>
      <c r="F715" s="1907"/>
      <c r="G715" s="1907"/>
      <c r="H715" s="1907"/>
      <c r="I715" s="1907"/>
      <c r="J715" s="1907"/>
      <c r="K715" s="1907"/>
      <c r="L715" s="1907"/>
      <c r="M715" s="1907"/>
      <c r="N715" s="1907"/>
      <c r="O715" s="1907"/>
      <c r="P715" s="1907"/>
      <c r="Q715" s="1907"/>
      <c r="R715" s="1907"/>
      <c r="S715" s="1907"/>
      <c r="T715" s="1907"/>
      <c r="U715" s="1907"/>
      <c r="V715" s="1907"/>
      <c r="W715" s="1907"/>
      <c r="X715" s="1907"/>
      <c r="Y715" s="1907"/>
      <c r="Z715" s="1907"/>
      <c r="AA715" s="1907"/>
      <c r="AB715" s="1907"/>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907" t="s">
        <v>2353</v>
      </c>
      <c r="F717" s="1907"/>
      <c r="G717" s="1907"/>
      <c r="H717" s="1907"/>
      <c r="I717" s="1907"/>
      <c r="J717" s="1907"/>
      <c r="K717" s="1907"/>
      <c r="L717" s="1907"/>
      <c r="M717" s="1907"/>
      <c r="N717" s="1907"/>
      <c r="O717" s="1907"/>
      <c r="P717" s="1907"/>
      <c r="Q717" s="1907"/>
      <c r="R717" s="1907"/>
      <c r="S717" s="1907"/>
      <c r="T717" s="1907"/>
      <c r="U717" s="1907"/>
      <c r="V717" s="1907"/>
      <c r="W717" s="1907"/>
      <c r="X717" s="1907"/>
      <c r="Y717" s="1907"/>
      <c r="Z717" s="1907"/>
      <c r="AA717" s="1907"/>
      <c r="AB717" s="1907"/>
      <c r="AC717" s="461"/>
      <c r="AD717" s="461"/>
      <c r="AE717" s="461"/>
      <c r="AF717" s="1854" t="s">
        <v>2314</v>
      </c>
      <c r="AG717" s="1854"/>
      <c r="AH717" s="1854"/>
      <c r="AI717" s="1854"/>
      <c r="AJ717" s="1854"/>
      <c r="AK717" s="1854"/>
      <c r="AL717" s="1854"/>
      <c r="AM717" s="475"/>
      <c r="AN717" s="609"/>
      <c r="AT717" s="14"/>
      <c r="AU717" s="14"/>
      <c r="AV717" s="14"/>
      <c r="AW717" s="14"/>
      <c r="AX717" s="14"/>
      <c r="AY717" s="14"/>
      <c r="AZ717" s="14"/>
    </row>
    <row r="718" spans="1:52" s="495" customFormat="1">
      <c r="A718" s="475"/>
      <c r="B718" s="461"/>
      <c r="C718" s="854"/>
      <c r="D718" s="461"/>
      <c r="E718" s="1907"/>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2301</v>
      </c>
      <c r="E720" s="857"/>
      <c r="F720" s="857"/>
      <c r="G720" s="857"/>
      <c r="H720" s="1936" t="s">
        <v>299</v>
      </c>
      <c r="I720" s="1936"/>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2354</v>
      </c>
      <c r="AJ722" s="1887">
        <f>VLOOKUP($H$720,$AO$655:$AP$657,2,FALSE)</f>
        <v>0</v>
      </c>
      <c r="AK722" s="1889"/>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2355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907" t="s">
        <v>2356</v>
      </c>
      <c r="F726" s="1907"/>
      <c r="G726" s="1907"/>
      <c r="H726" s="1907"/>
      <c r="I726" s="1907"/>
      <c r="J726" s="1907"/>
      <c r="K726" s="1907"/>
      <c r="L726" s="1907"/>
      <c r="M726" s="1907"/>
      <c r="N726" s="1907"/>
      <c r="O726" s="1907"/>
      <c r="P726" s="1907"/>
      <c r="Q726" s="1907"/>
      <c r="R726" s="1907"/>
      <c r="S726" s="1907"/>
      <c r="T726" s="1907"/>
      <c r="U726" s="1907"/>
      <c r="V726" s="1907"/>
      <c r="W726" s="1907"/>
      <c r="X726" s="1907"/>
      <c r="Y726" s="1907"/>
      <c r="Z726" s="1907"/>
      <c r="AA726" s="1907"/>
      <c r="AB726" s="1907"/>
      <c r="AC726" s="461"/>
      <c r="AD726" s="461"/>
      <c r="AE726" s="461"/>
      <c r="AF726" s="1854" t="s">
        <v>2035</v>
      </c>
      <c r="AG726" s="1854"/>
      <c r="AH726" s="1854"/>
      <c r="AI726" s="1854"/>
      <c r="AJ726" s="1854"/>
      <c r="AK726" s="1854"/>
      <c r="AL726" s="1854"/>
      <c r="AM726" s="475"/>
      <c r="AN726" s="609"/>
      <c r="AT726" s="14"/>
      <c r="AU726" s="14"/>
      <c r="AV726" s="14"/>
      <c r="AW726" s="14"/>
      <c r="AX726" s="14"/>
      <c r="AY726" s="14"/>
      <c r="AZ726" s="14"/>
    </row>
    <row r="727" spans="1:81" s="495" customFormat="1">
      <c r="A727" s="475"/>
      <c r="B727" s="461"/>
      <c r="C727" s="852"/>
      <c r="D727" s="588"/>
      <c r="E727" s="1907"/>
      <c r="F727" s="1907"/>
      <c r="G727" s="1907"/>
      <c r="H727" s="1907"/>
      <c r="I727" s="1907"/>
      <c r="J727" s="1907"/>
      <c r="K727" s="1907"/>
      <c r="L727" s="1907"/>
      <c r="M727" s="1907"/>
      <c r="N727" s="1907"/>
      <c r="O727" s="1907"/>
      <c r="P727" s="1907"/>
      <c r="Q727" s="1907"/>
      <c r="R727" s="1907"/>
      <c r="S727" s="1907"/>
      <c r="T727" s="1907"/>
      <c r="U727" s="1907"/>
      <c r="V727" s="1907"/>
      <c r="W727" s="1907"/>
      <c r="X727" s="1907"/>
      <c r="Y727" s="1907"/>
      <c r="Z727" s="1907"/>
      <c r="AA727" s="1907"/>
      <c r="AB727" s="1907"/>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907"/>
      <c r="F728" s="1907"/>
      <c r="G728" s="1907"/>
      <c r="H728" s="1907"/>
      <c r="I728" s="1907"/>
      <c r="J728" s="1907"/>
      <c r="K728" s="1907"/>
      <c r="L728" s="1907"/>
      <c r="M728" s="1907"/>
      <c r="N728" s="1907"/>
      <c r="O728" s="1907"/>
      <c r="P728" s="1907"/>
      <c r="Q728" s="1907"/>
      <c r="R728" s="1907"/>
      <c r="S728" s="1907"/>
      <c r="T728" s="1907"/>
      <c r="U728" s="1907"/>
      <c r="V728" s="1907"/>
      <c r="W728" s="1907"/>
      <c r="X728" s="1907"/>
      <c r="Y728" s="1907"/>
      <c r="Z728" s="1907"/>
      <c r="AA728" s="1907"/>
      <c r="AB728" s="1907"/>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907"/>
      <c r="F729" s="1907"/>
      <c r="G729" s="1907"/>
      <c r="H729" s="1907"/>
      <c r="I729" s="1907"/>
      <c r="J729" s="1907"/>
      <c r="K729" s="1907"/>
      <c r="L729" s="1907"/>
      <c r="M729" s="1907"/>
      <c r="N729" s="1907"/>
      <c r="O729" s="1907"/>
      <c r="P729" s="1907"/>
      <c r="Q729" s="1907"/>
      <c r="R729" s="1907"/>
      <c r="S729" s="1907"/>
      <c r="T729" s="1907"/>
      <c r="U729" s="1907"/>
      <c r="V729" s="1907"/>
      <c r="W729" s="1907"/>
      <c r="X729" s="1907"/>
      <c r="Y729" s="1907"/>
      <c r="Z729" s="1907"/>
      <c r="AA729" s="1907"/>
      <c r="AB729" s="1907"/>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907" t="s">
        <v>2357</v>
      </c>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500"/>
      <c r="AC731" s="461"/>
      <c r="AD731" s="461"/>
      <c r="AE731" s="461"/>
      <c r="AF731" s="1854" t="s">
        <v>2314</v>
      </c>
      <c r="AG731" s="1854"/>
      <c r="AH731" s="1854"/>
      <c r="AI731" s="1854"/>
      <c r="AJ731" s="1854"/>
      <c r="AK731" s="1854"/>
      <c r="AL731" s="1854"/>
      <c r="AM731" s="475"/>
      <c r="AN731" s="609"/>
      <c r="AO731" s="26"/>
      <c r="AP731" s="14"/>
    </row>
    <row r="732" spans="1:81" s="495" customFormat="1">
      <c r="A732" s="475"/>
      <c r="B732" s="461"/>
      <c r="C732" s="852"/>
      <c r="D732" s="588"/>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907"/>
      <c r="F734" s="1907"/>
      <c r="G734" s="1907"/>
      <c r="H734" s="1907"/>
      <c r="I734" s="1907"/>
      <c r="J734" s="1907"/>
      <c r="K734" s="1907"/>
      <c r="L734" s="1907"/>
      <c r="M734" s="1907"/>
      <c r="N734" s="1907"/>
      <c r="O734" s="1907"/>
      <c r="P734" s="1907"/>
      <c r="Q734" s="1907"/>
      <c r="R734" s="1907"/>
      <c r="S734" s="1907"/>
      <c r="T734" s="1907"/>
      <c r="U734" s="1907"/>
      <c r="V734" s="1907"/>
      <c r="W734" s="1907"/>
      <c r="X734" s="1907"/>
      <c r="Y734" s="1907"/>
      <c r="Z734" s="1907"/>
      <c r="AA734" s="1907"/>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2301</v>
      </c>
      <c r="E736" s="857"/>
      <c r="F736" s="857"/>
      <c r="G736" s="857"/>
      <c r="H736" s="1936" t="s">
        <v>26</v>
      </c>
      <c r="I736" s="1936"/>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2358</v>
      </c>
      <c r="AJ738" s="1887">
        <f>VLOOKUP($H$736,$AO$669:$AP$671,2,FALSE)</f>
        <v>2</v>
      </c>
      <c r="AK738" s="1889"/>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2347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907" t="s">
        <v>2359</v>
      </c>
      <c r="F742" s="1907"/>
      <c r="G742" s="1907"/>
      <c r="H742" s="1907"/>
      <c r="I742" s="1907"/>
      <c r="J742" s="1907"/>
      <c r="K742" s="1907"/>
      <c r="L742" s="1907"/>
      <c r="M742" s="1907"/>
      <c r="N742" s="1907"/>
      <c r="O742" s="1907"/>
      <c r="P742" s="1907"/>
      <c r="Q742" s="1907"/>
      <c r="R742" s="1907"/>
      <c r="S742" s="1907"/>
      <c r="T742" s="1907"/>
      <c r="U742" s="1907"/>
      <c r="V742" s="1907"/>
      <c r="W742" s="1907"/>
      <c r="X742" s="1907"/>
      <c r="Y742" s="1907"/>
      <c r="Z742" s="1907"/>
      <c r="AA742" s="1907"/>
      <c r="AB742" s="1907"/>
      <c r="AC742" s="461"/>
      <c r="AD742" s="461"/>
      <c r="AE742" s="461"/>
      <c r="AF742" s="1854" t="s">
        <v>2314</v>
      </c>
      <c r="AG742" s="1854"/>
      <c r="AH742" s="1854"/>
      <c r="AI742" s="1854"/>
      <c r="AJ742" s="1854"/>
      <c r="AK742" s="1854"/>
      <c r="AL742" s="1854"/>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907"/>
      <c r="F743" s="1907"/>
      <c r="G743" s="1907"/>
      <c r="H743" s="1907"/>
      <c r="I743" s="1907"/>
      <c r="J743" s="1907"/>
      <c r="K743" s="1907"/>
      <c r="L743" s="1907"/>
      <c r="M743" s="1907"/>
      <c r="N743" s="1907"/>
      <c r="O743" s="1907"/>
      <c r="P743" s="1907"/>
      <c r="Q743" s="1907"/>
      <c r="R743" s="1907"/>
      <c r="S743" s="1907"/>
      <c r="T743" s="1907"/>
      <c r="U743" s="1907"/>
      <c r="V743" s="1907"/>
      <c r="W743" s="1907"/>
      <c r="X743" s="1907"/>
      <c r="Y743" s="1907"/>
      <c r="Z743" s="1907"/>
      <c r="AA743" s="1907"/>
      <c r="AB743" s="1907"/>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907" t="s">
        <v>2360</v>
      </c>
      <c r="F745" s="1907"/>
      <c r="G745" s="1907"/>
      <c r="H745" s="1907"/>
      <c r="I745" s="1907"/>
      <c r="J745" s="1907"/>
      <c r="K745" s="1907"/>
      <c r="L745" s="1907"/>
      <c r="M745" s="1907"/>
      <c r="N745" s="1907"/>
      <c r="O745" s="1907"/>
      <c r="P745" s="1907"/>
      <c r="Q745" s="1907"/>
      <c r="R745" s="1907"/>
      <c r="S745" s="1907"/>
      <c r="T745" s="1907"/>
      <c r="U745" s="1907"/>
      <c r="V745" s="1907"/>
      <c r="W745" s="1907"/>
      <c r="X745" s="1907"/>
      <c r="Y745" s="1907"/>
      <c r="Z745" s="1907"/>
      <c r="AA745" s="1907"/>
      <c r="AB745" s="1907"/>
      <c r="AC745" s="461"/>
      <c r="AD745" s="461"/>
      <c r="AE745" s="461"/>
      <c r="AF745" s="1854" t="s">
        <v>2332</v>
      </c>
      <c r="AG745" s="1854"/>
      <c r="AH745" s="1854"/>
      <c r="AI745" s="1854"/>
      <c r="AJ745" s="1854"/>
      <c r="AK745" s="1854"/>
      <c r="AL745" s="1854"/>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907"/>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2301</v>
      </c>
      <c r="E748" s="857"/>
      <c r="F748" s="857"/>
      <c r="G748" s="857"/>
      <c r="H748" s="1936" t="s">
        <v>21</v>
      </c>
      <c r="I748" s="1936"/>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2361</v>
      </c>
      <c r="AJ750" s="1887">
        <f>VLOOKUP($H$748,$AO$683:$AP$685,2,FALSE)</f>
        <v>2</v>
      </c>
      <c r="AK750" s="1889"/>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2348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907" t="s">
        <v>2362</v>
      </c>
      <c r="F754" s="1907"/>
      <c r="G754" s="1907"/>
      <c r="H754" s="1907"/>
      <c r="I754" s="1907"/>
      <c r="J754" s="1907"/>
      <c r="K754" s="1907"/>
      <c r="L754" s="1907"/>
      <c r="M754" s="1907"/>
      <c r="N754" s="1907"/>
      <c r="O754" s="1907"/>
      <c r="P754" s="1907"/>
      <c r="Q754" s="1907"/>
      <c r="R754" s="1907"/>
      <c r="S754" s="1907"/>
      <c r="T754" s="1907"/>
      <c r="U754" s="1907"/>
      <c r="V754" s="1907"/>
      <c r="W754" s="1907"/>
      <c r="X754" s="1907"/>
      <c r="Y754" s="1907"/>
      <c r="Z754" s="1907"/>
      <c r="AA754" s="1907"/>
      <c r="AB754" s="1907"/>
      <c r="AC754" s="1907"/>
      <c r="AD754" s="1907"/>
      <c r="AE754" s="461"/>
      <c r="AF754" s="1854" t="s">
        <v>2314</v>
      </c>
      <c r="AG754" s="1854"/>
      <c r="AH754" s="1854"/>
      <c r="AI754" s="1854"/>
      <c r="AJ754" s="1854"/>
      <c r="AK754" s="1854"/>
      <c r="AL754" s="1854"/>
      <c r="AM754" s="538"/>
      <c r="AN754" s="609"/>
    </row>
    <row r="755" spans="1:81" s="495" customFormat="1" ht="13.7" customHeight="1">
      <c r="A755" s="475"/>
      <c r="B755" s="541"/>
      <c r="C755" s="861"/>
      <c r="D755" s="588"/>
      <c r="E755" s="1907"/>
      <c r="F755" s="1907"/>
      <c r="G755" s="1907"/>
      <c r="H755" s="1907"/>
      <c r="I755" s="1907"/>
      <c r="J755" s="1907"/>
      <c r="K755" s="1907"/>
      <c r="L755" s="1907"/>
      <c r="M755" s="1907"/>
      <c r="N755" s="1907"/>
      <c r="O755" s="1907"/>
      <c r="P755" s="1907"/>
      <c r="Q755" s="1907"/>
      <c r="R755" s="1907"/>
      <c r="S755" s="1907"/>
      <c r="T755" s="1907"/>
      <c r="U755" s="1907"/>
      <c r="V755" s="1907"/>
      <c r="W755" s="1907"/>
      <c r="X755" s="1907"/>
      <c r="Y755" s="1907"/>
      <c r="Z755" s="1907"/>
      <c r="AA755" s="1907"/>
      <c r="AB755" s="1907"/>
      <c r="AC755" s="1907"/>
      <c r="AD755" s="1907"/>
      <c r="AE755" s="461"/>
      <c r="AF755" s="519"/>
      <c r="AG755" s="519"/>
      <c r="AH755" s="519"/>
      <c r="AI755" s="519"/>
      <c r="AJ755" s="519"/>
      <c r="AK755" s="519"/>
      <c r="AL755" s="519"/>
      <c r="AM755" s="538"/>
      <c r="AN755" s="609"/>
    </row>
    <row r="756" spans="1:81" s="495" customFormat="1">
      <c r="A756" s="475"/>
      <c r="B756" s="541"/>
      <c r="C756" s="861"/>
      <c r="D756" s="588"/>
      <c r="E756" s="1907"/>
      <c r="F756" s="1907"/>
      <c r="G756" s="1907"/>
      <c r="H756" s="1907"/>
      <c r="I756" s="1907"/>
      <c r="J756" s="1907"/>
      <c r="K756" s="1907"/>
      <c r="L756" s="1907"/>
      <c r="M756" s="1907"/>
      <c r="N756" s="1907"/>
      <c r="O756" s="1907"/>
      <c r="P756" s="1907"/>
      <c r="Q756" s="1907"/>
      <c r="R756" s="1907"/>
      <c r="S756" s="1907"/>
      <c r="T756" s="1907"/>
      <c r="U756" s="1907"/>
      <c r="V756" s="1907"/>
      <c r="W756" s="1907"/>
      <c r="X756" s="1907"/>
      <c r="Y756" s="1907"/>
      <c r="Z756" s="1907"/>
      <c r="AA756" s="1907"/>
      <c r="AB756" s="1907"/>
      <c r="AC756" s="1907"/>
      <c r="AD756" s="1907"/>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75" customHeight="1">
      <c r="A757" s="475"/>
      <c r="B757" s="541"/>
      <c r="C757" s="861"/>
      <c r="D757" s="588"/>
      <c r="E757" s="1907"/>
      <c r="F757" s="1907"/>
      <c r="G757" s="1907"/>
      <c r="H757" s="1907"/>
      <c r="I757" s="1907"/>
      <c r="J757" s="1907"/>
      <c r="K757" s="1907"/>
      <c r="L757" s="1907"/>
      <c r="M757" s="1907"/>
      <c r="N757" s="1907"/>
      <c r="O757" s="1907"/>
      <c r="P757" s="1907"/>
      <c r="Q757" s="1907"/>
      <c r="R757" s="1907"/>
      <c r="S757" s="1907"/>
      <c r="T757" s="1907"/>
      <c r="U757" s="1907"/>
      <c r="V757" s="1907"/>
      <c r="W757" s="1907"/>
      <c r="X757" s="1907"/>
      <c r="Y757" s="1907"/>
      <c r="Z757" s="1907"/>
      <c r="AA757" s="1907"/>
      <c r="AB757" s="1907"/>
      <c r="AC757" s="1907"/>
      <c r="AD757" s="1907"/>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42" t="s">
        <v>2363</v>
      </c>
      <c r="F759" s="1942"/>
      <c r="G759" s="1942"/>
      <c r="H759" s="1942"/>
      <c r="I759" s="1942"/>
      <c r="J759" s="1942"/>
      <c r="K759" s="1942"/>
      <c r="L759" s="1942"/>
      <c r="M759" s="1942"/>
      <c r="N759" s="1942"/>
      <c r="O759" s="1942"/>
      <c r="P759" s="1942"/>
      <c r="Q759" s="1942"/>
      <c r="R759" s="1942"/>
      <c r="S759" s="1942"/>
      <c r="T759" s="1942"/>
      <c r="U759" s="1942"/>
      <c r="V759" s="1942"/>
      <c r="W759" s="1942"/>
      <c r="X759" s="1942"/>
      <c r="Y759" s="1942"/>
      <c r="Z759" s="1942"/>
      <c r="AA759" s="1942"/>
      <c r="AB759" s="1942"/>
      <c r="AC759" s="1942"/>
      <c r="AD759" s="1942"/>
      <c r="AE759" s="461"/>
      <c r="AF759" s="1854" t="s">
        <v>2035</v>
      </c>
      <c r="AG759" s="1854"/>
      <c r="AH759" s="1854"/>
      <c r="AI759" s="1854"/>
      <c r="AJ759" s="1854"/>
      <c r="AK759" s="1854"/>
      <c r="AL759" s="1854"/>
      <c r="AM759" s="538"/>
      <c r="AN759" s="522"/>
    </row>
    <row r="760" spans="1:81" s="475" customFormat="1" ht="12.75" customHeight="1">
      <c r="B760" s="541"/>
      <c r="C760" s="861"/>
      <c r="D760" s="588"/>
      <c r="E760" s="1942"/>
      <c r="F760" s="1942"/>
      <c r="G760" s="1942"/>
      <c r="H760" s="1942"/>
      <c r="I760" s="1942"/>
      <c r="J760" s="1942"/>
      <c r="K760" s="1942"/>
      <c r="L760" s="1942"/>
      <c r="M760" s="1942"/>
      <c r="N760" s="1942"/>
      <c r="O760" s="1942"/>
      <c r="P760" s="1942"/>
      <c r="Q760" s="1942"/>
      <c r="R760" s="1942"/>
      <c r="S760" s="1942"/>
      <c r="T760" s="1942"/>
      <c r="U760" s="1942"/>
      <c r="V760" s="1942"/>
      <c r="W760" s="1942"/>
      <c r="X760" s="1942"/>
      <c r="Y760" s="1942"/>
      <c r="Z760" s="1942"/>
      <c r="AA760" s="1942"/>
      <c r="AB760" s="1942"/>
      <c r="AC760" s="1942"/>
      <c r="AD760" s="1942"/>
      <c r="AE760" s="519"/>
      <c r="AF760" s="519"/>
      <c r="AG760" s="519"/>
      <c r="AH760" s="519"/>
      <c r="AI760" s="519"/>
      <c r="AJ760" s="519"/>
      <c r="AK760" s="519"/>
      <c r="AL760" s="519"/>
      <c r="AM760" s="538"/>
      <c r="AN760" s="522"/>
    </row>
    <row r="761" spans="1:81" s="475" customFormat="1" ht="12.75" customHeight="1">
      <c r="B761" s="541"/>
      <c r="C761" s="861"/>
      <c r="D761" s="588"/>
      <c r="E761" s="1942"/>
      <c r="F761" s="1942"/>
      <c r="G761" s="1942"/>
      <c r="H761" s="1942"/>
      <c r="I761" s="1942"/>
      <c r="J761" s="1942"/>
      <c r="K761" s="1942"/>
      <c r="L761" s="1942"/>
      <c r="M761" s="1942"/>
      <c r="N761" s="1942"/>
      <c r="O761" s="1942"/>
      <c r="P761" s="1942"/>
      <c r="Q761" s="1942"/>
      <c r="R761" s="1942"/>
      <c r="S761" s="1942"/>
      <c r="T761" s="1942"/>
      <c r="U761" s="1942"/>
      <c r="V761" s="1942"/>
      <c r="W761" s="1942"/>
      <c r="X761" s="1942"/>
      <c r="Y761" s="1942"/>
      <c r="Z761" s="1942"/>
      <c r="AA761" s="1942"/>
      <c r="AB761" s="1942"/>
      <c r="AC761" s="1942"/>
      <c r="AD761" s="1942"/>
      <c r="AE761" s="519"/>
      <c r="AF761" s="519"/>
      <c r="AG761" s="519"/>
      <c r="AH761" s="519"/>
      <c r="AI761" s="519"/>
      <c r="AJ761" s="519"/>
      <c r="AK761" s="519"/>
      <c r="AL761" s="519"/>
      <c r="AM761" s="538"/>
      <c r="AN761" s="522"/>
    </row>
    <row r="762" spans="1:81" s="475" customFormat="1" ht="12.75" customHeight="1">
      <c r="B762" s="541"/>
      <c r="C762" s="861"/>
      <c r="D762" s="588"/>
      <c r="E762" s="1942"/>
      <c r="F762" s="1942"/>
      <c r="G762" s="1942"/>
      <c r="H762" s="1942"/>
      <c r="I762" s="1942"/>
      <c r="J762" s="1942"/>
      <c r="K762" s="1942"/>
      <c r="L762" s="1942"/>
      <c r="M762" s="1942"/>
      <c r="N762" s="1942"/>
      <c r="O762" s="1942"/>
      <c r="P762" s="1942"/>
      <c r="Q762" s="1942"/>
      <c r="R762" s="1942"/>
      <c r="S762" s="1942"/>
      <c r="T762" s="1942"/>
      <c r="U762" s="1942"/>
      <c r="V762" s="1942"/>
      <c r="W762" s="1942"/>
      <c r="X762" s="1942"/>
      <c r="Y762" s="1942"/>
      <c r="Z762" s="1942"/>
      <c r="AA762" s="1942"/>
      <c r="AB762" s="1942"/>
      <c r="AC762" s="1942"/>
      <c r="AD762" s="1942"/>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2301</v>
      </c>
      <c r="E764" s="857"/>
      <c r="F764" s="857"/>
      <c r="G764" s="857"/>
      <c r="H764" s="1936" t="s">
        <v>299</v>
      </c>
      <c r="I764" s="1936"/>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2364</v>
      </c>
      <c r="AJ766" s="1887">
        <f>VLOOKUP($H$764,$AP$705:$AQ$707,2,FALSE)</f>
        <v>0</v>
      </c>
      <c r="AK766" s="1889"/>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2365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907" t="s">
        <v>2366</v>
      </c>
      <c r="F770" s="1907"/>
      <c r="G770" s="1907"/>
      <c r="H770" s="1907"/>
      <c r="I770" s="1907"/>
      <c r="J770" s="1907"/>
      <c r="K770" s="1907"/>
      <c r="L770" s="1907"/>
      <c r="M770" s="1907"/>
      <c r="N770" s="1907"/>
      <c r="O770" s="1907"/>
      <c r="P770" s="1907"/>
      <c r="Q770" s="1907"/>
      <c r="R770" s="1907"/>
      <c r="S770" s="1907"/>
      <c r="T770" s="1907"/>
      <c r="U770" s="1907"/>
      <c r="V770" s="1907"/>
      <c r="W770" s="1907"/>
      <c r="X770" s="1907"/>
      <c r="Y770" s="1907"/>
      <c r="Z770" s="1907"/>
      <c r="AA770" s="1907"/>
      <c r="AB770" s="1907"/>
      <c r="AC770" s="1907"/>
      <c r="AD770" s="1907"/>
      <c r="AE770" s="461"/>
      <c r="AF770" s="1854" t="s">
        <v>2035</v>
      </c>
      <c r="AG770" s="1854"/>
      <c r="AH770" s="1854"/>
      <c r="AI770" s="1854"/>
      <c r="AJ770" s="1854"/>
      <c r="AK770" s="1854"/>
      <c r="AL770" s="1854"/>
      <c r="AM770" s="538"/>
      <c r="AN770" s="609"/>
      <c r="AO770" s="536" t="s">
        <v>946</v>
      </c>
      <c r="AP770" s="475">
        <v>3</v>
      </c>
      <c r="AT770" s="599"/>
      <c r="AU770" s="599"/>
      <c r="AV770" s="599"/>
      <c r="AW770" s="599"/>
      <c r="AX770" s="599"/>
      <c r="AY770" s="599"/>
      <c r="AZ770" s="599"/>
    </row>
    <row r="771" spans="1:81" s="495" customFormat="1" ht="13.7" customHeight="1">
      <c r="A771" s="475"/>
      <c r="B771" s="541"/>
      <c r="C771" s="861"/>
      <c r="D771" s="588"/>
      <c r="E771" s="1907"/>
      <c r="F771" s="1907"/>
      <c r="G771" s="1907"/>
      <c r="H771" s="1907"/>
      <c r="I771" s="1907"/>
      <c r="J771" s="1907"/>
      <c r="K771" s="1907"/>
      <c r="L771" s="1907"/>
      <c r="M771" s="1907"/>
      <c r="N771" s="1907"/>
      <c r="O771" s="1907"/>
      <c r="P771" s="1907"/>
      <c r="Q771" s="1907"/>
      <c r="R771" s="1907"/>
      <c r="S771" s="1907"/>
      <c r="T771" s="1907"/>
      <c r="U771" s="1907"/>
      <c r="V771" s="1907"/>
      <c r="W771" s="1907"/>
      <c r="X771" s="1907"/>
      <c r="Y771" s="1907"/>
      <c r="Z771" s="1907"/>
      <c r="AA771" s="1907"/>
      <c r="AB771" s="1907"/>
      <c r="AC771" s="1907"/>
      <c r="AD771" s="1907"/>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907"/>
      <c r="F772" s="1907"/>
      <c r="G772" s="1907"/>
      <c r="H772" s="1907"/>
      <c r="I772" s="1907"/>
      <c r="J772" s="1907"/>
      <c r="K772" s="1907"/>
      <c r="L772" s="1907"/>
      <c r="M772" s="1907"/>
      <c r="N772" s="1907"/>
      <c r="O772" s="1907"/>
      <c r="P772" s="1907"/>
      <c r="Q772" s="1907"/>
      <c r="R772" s="1907"/>
      <c r="S772" s="1907"/>
      <c r="T772" s="1907"/>
      <c r="U772" s="1907"/>
      <c r="V772" s="1907"/>
      <c r="W772" s="1907"/>
      <c r="X772" s="1907"/>
      <c r="Y772" s="1907"/>
      <c r="Z772" s="1907"/>
      <c r="AA772" s="1907"/>
      <c r="AB772" s="1907"/>
      <c r="AC772" s="1907"/>
      <c r="AD772" s="1907"/>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907"/>
      <c r="F773" s="1907"/>
      <c r="G773" s="1907"/>
      <c r="H773" s="1907"/>
      <c r="I773" s="1907"/>
      <c r="J773" s="1907"/>
      <c r="K773" s="1907"/>
      <c r="L773" s="1907"/>
      <c r="M773" s="1907"/>
      <c r="N773" s="1907"/>
      <c r="O773" s="1907"/>
      <c r="P773" s="1907"/>
      <c r="Q773" s="1907"/>
      <c r="R773" s="1907"/>
      <c r="S773" s="1907"/>
      <c r="T773" s="1907"/>
      <c r="U773" s="1907"/>
      <c r="V773" s="1907"/>
      <c r="W773" s="1907"/>
      <c r="X773" s="1907"/>
      <c r="Y773" s="1907"/>
      <c r="Z773" s="1907"/>
      <c r="AA773" s="1907"/>
      <c r="AB773" s="1907"/>
      <c r="AC773" s="1907"/>
      <c r="AD773" s="1907"/>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2301</v>
      </c>
      <c r="E775" s="857"/>
      <c r="F775" s="857"/>
      <c r="G775" s="857"/>
      <c r="H775" s="1936" t="s">
        <v>946</v>
      </c>
      <c r="I775" s="1936"/>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2367</v>
      </c>
      <c r="AJ777" s="1887">
        <f>VLOOKUP($H$775,$AO$769:$AP$770,2,FALSE)</f>
        <v>3</v>
      </c>
      <c r="AK777" s="1889"/>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2368</v>
      </c>
      <c r="AK779" s="1887">
        <f>IF(($AJ$610+$AJ$629+$AJ$641+$AJ$676+$AJ$696+$AJ$710+$AJ$722+$AJ$738+$AJ$750+$AJ$766+AJ777)&gt;10,10,($AJ$610+$AJ$629+$AJ$641+$AJ$676+$AJ$696+$AJ$710+$AJ$722+$AJ$738+$AJ$750+$AJ$766+AJ777))</f>
        <v>10</v>
      </c>
      <c r="AL779" s="1888"/>
      <c r="AM779" s="1889"/>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93" t="s">
        <v>2369</v>
      </c>
      <c r="B782" s="1994"/>
      <c r="C782" s="1994"/>
      <c r="D782" s="1994"/>
      <c r="E782" s="1994"/>
      <c r="F782" s="1994"/>
      <c r="G782" s="1994"/>
      <c r="H782" s="1994"/>
      <c r="I782" s="1994"/>
      <c r="J782" s="1994"/>
      <c r="K782" s="1994"/>
      <c r="L782" s="1994"/>
      <c r="M782" s="1994"/>
      <c r="N782" s="1994"/>
      <c r="O782" s="1994"/>
      <c r="P782" s="1994"/>
      <c r="Q782" s="1994"/>
      <c r="R782" s="1994"/>
      <c r="S782" s="1994"/>
      <c r="T782" s="1994"/>
      <c r="U782" s="1994"/>
      <c r="V782" s="1994"/>
      <c r="W782" s="1994"/>
      <c r="X782" s="1994"/>
      <c r="Y782" s="1994"/>
      <c r="Z782" s="1994"/>
      <c r="AA782" s="1994"/>
      <c r="AB782" s="1994"/>
      <c r="AC782" s="1994"/>
      <c r="AD782" s="1994"/>
      <c r="AE782" s="1994"/>
      <c r="AF782" s="1994"/>
      <c r="AG782" s="1994"/>
      <c r="AH782" s="1994"/>
      <c r="AI782" s="1994"/>
      <c r="AJ782" s="1994"/>
      <c r="AK782" s="1994"/>
      <c r="AL782" s="1994"/>
      <c r="AM782" s="1994"/>
    </row>
    <row r="783" spans="1:81">
      <c r="A783" s="1995"/>
      <c r="B783" s="1995"/>
      <c r="C783" s="1995"/>
      <c r="D783" s="1995"/>
      <c r="E783" s="1995"/>
      <c r="F783" s="1995"/>
      <c r="G783" s="1995"/>
      <c r="H783" s="1995"/>
      <c r="I783" s="1995"/>
      <c r="J783" s="1995"/>
      <c r="K783" s="1995"/>
      <c r="L783" s="1995"/>
      <c r="M783" s="1995"/>
      <c r="N783" s="1995"/>
      <c r="O783" s="1995"/>
      <c r="P783" s="1995"/>
      <c r="Q783" s="1995"/>
      <c r="R783" s="1995"/>
      <c r="S783" s="1995"/>
      <c r="T783" s="1995"/>
      <c r="U783" s="1995"/>
      <c r="V783" s="1995"/>
      <c r="W783" s="1995"/>
      <c r="X783" s="1995"/>
      <c r="Y783" s="1995"/>
      <c r="Z783" s="1995"/>
      <c r="AA783" s="1995"/>
      <c r="AB783" s="1995"/>
      <c r="AC783" s="1995"/>
      <c r="AD783" s="1995"/>
      <c r="AE783" s="1995"/>
      <c r="AF783" s="1995"/>
      <c r="AG783" s="1995"/>
      <c r="AH783" s="1995"/>
      <c r="AI783" s="1995"/>
      <c r="AJ783" s="1995"/>
      <c r="AK783" s="1995"/>
      <c r="AL783" s="1995"/>
      <c r="AM783" s="1995"/>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928"/>
      <c r="B785" s="1928"/>
      <c r="C785" s="1928"/>
      <c r="D785" s="1928"/>
      <c r="E785" s="1928"/>
      <c r="F785" s="1928"/>
      <c r="G785" s="1928"/>
      <c r="H785" s="1928"/>
      <c r="I785" s="1928"/>
      <c r="J785" s="1928"/>
      <c r="K785" s="1928"/>
      <c r="L785" s="1928"/>
      <c r="M785" s="1928"/>
      <c r="N785" s="1928"/>
      <c r="O785" s="1928"/>
      <c r="P785" s="1928"/>
      <c r="Q785" s="1928"/>
      <c r="R785" s="1928"/>
      <c r="S785" s="1928"/>
      <c r="T785" s="1928"/>
      <c r="U785" s="1928"/>
      <c r="V785" s="1928"/>
      <c r="W785" s="1928"/>
      <c r="X785" s="1928"/>
      <c r="Y785" s="1928"/>
      <c r="Z785" s="1928"/>
      <c r="AA785" s="1928"/>
      <c r="AB785" s="1928"/>
      <c r="AC785" s="1928"/>
      <c r="AD785" s="1928"/>
      <c r="AE785" s="1928"/>
      <c r="AF785" s="1928"/>
      <c r="AG785" s="1928"/>
      <c r="AH785" s="1928"/>
      <c r="AI785" s="1928"/>
      <c r="AJ785" s="1928"/>
      <c r="AK785" s="1928"/>
      <c r="AL785" s="1928"/>
      <c r="AM785" s="1928"/>
      <c r="AP785" s="742"/>
      <c r="AQ785" s="742"/>
    </row>
    <row r="786" spans="1:81">
      <c r="A786" s="1928"/>
      <c r="B786" s="1928"/>
      <c r="C786" s="1928"/>
      <c r="D786" s="1928"/>
      <c r="E786" s="1928"/>
      <c r="F786" s="1928"/>
      <c r="G786" s="1928"/>
      <c r="H786" s="1928"/>
      <c r="I786" s="1928"/>
      <c r="J786" s="1928"/>
      <c r="K786" s="1928"/>
      <c r="L786" s="1928"/>
      <c r="M786" s="1928"/>
      <c r="N786" s="1928"/>
      <c r="O786" s="1928"/>
      <c r="P786" s="1928"/>
      <c r="Q786" s="1928"/>
      <c r="R786" s="1928"/>
      <c r="S786" s="1928"/>
      <c r="T786" s="1928"/>
      <c r="U786" s="1928"/>
      <c r="V786" s="1928"/>
      <c r="W786" s="1928"/>
      <c r="X786" s="1928"/>
      <c r="Y786" s="1928"/>
      <c r="Z786" s="1928"/>
      <c r="AA786" s="1928"/>
      <c r="AB786" s="1928"/>
      <c r="AC786" s="1928"/>
      <c r="AD786" s="1928"/>
      <c r="AE786" s="1928"/>
      <c r="AF786" s="1928"/>
      <c r="AG786" s="1928"/>
      <c r="AH786" s="1928"/>
      <c r="AI786" s="1928"/>
      <c r="AJ786" s="1928"/>
      <c r="AK786" s="1928"/>
      <c r="AL786" s="1928"/>
      <c r="AM786" s="1928"/>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96" t="s">
        <v>2370</v>
      </c>
      <c r="U787" s="1997"/>
      <c r="V787" s="1997"/>
      <c r="W787" s="1997"/>
      <c r="X787" s="1997"/>
      <c r="Y787" s="1998"/>
      <c r="Z787" s="1996" t="s">
        <v>2371</v>
      </c>
      <c r="AA787" s="1997"/>
      <c r="AB787" s="1997"/>
      <c r="AC787" s="1997"/>
      <c r="AD787" s="1997"/>
      <c r="AE787" s="1998"/>
      <c r="AF787" s="1996" t="s">
        <v>2372</v>
      </c>
      <c r="AG787" s="1997"/>
      <c r="AH787" s="1997"/>
      <c r="AI787" s="1997"/>
      <c r="AJ787" s="1997"/>
      <c r="AK787" s="1998"/>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99"/>
      <c r="U788" s="2000"/>
      <c r="V788" s="2000"/>
      <c r="W788" s="2000"/>
      <c r="X788" s="2000"/>
      <c r="Y788" s="2001"/>
      <c r="Z788" s="1999"/>
      <c r="AA788" s="2000"/>
      <c r="AB788" s="2000"/>
      <c r="AC788" s="2000"/>
      <c r="AD788" s="2000"/>
      <c r="AE788" s="2001"/>
      <c r="AF788" s="1999"/>
      <c r="AG788" s="2000"/>
      <c r="AH788" s="2000"/>
      <c r="AI788" s="2000"/>
      <c r="AJ788" s="2000"/>
      <c r="AK788" s="2001"/>
      <c r="AL788" s="744"/>
      <c r="AM788" s="521"/>
      <c r="AO788" s="742"/>
      <c r="AP788" s="742"/>
      <c r="AQ788" s="742"/>
    </row>
    <row r="789" spans="1:81">
      <c r="A789" s="745" t="s">
        <v>52</v>
      </c>
      <c r="B789" s="1976" t="s">
        <v>1954</v>
      </c>
      <c r="C789" s="1976"/>
      <c r="D789" s="1976"/>
      <c r="E789" s="1976"/>
      <c r="F789" s="1976"/>
      <c r="G789" s="1976"/>
      <c r="H789" s="1976"/>
      <c r="I789" s="1976"/>
      <c r="J789" s="1976"/>
      <c r="K789" s="1976"/>
      <c r="L789" s="1976"/>
      <c r="M789" s="1976"/>
      <c r="N789" s="1976"/>
      <c r="O789" s="1976"/>
      <c r="P789" s="1976"/>
      <c r="Q789" s="1976"/>
      <c r="R789" s="1976"/>
      <c r="S789" s="1977"/>
      <c r="T789" s="1978">
        <f>AK56</f>
        <v>0</v>
      </c>
      <c r="U789" s="1979"/>
      <c r="V789" s="1979"/>
      <c r="W789" s="1979"/>
      <c r="X789" s="1979"/>
      <c r="Y789" s="1980"/>
      <c r="Z789" s="1981">
        <v>20</v>
      </c>
      <c r="AA789" s="1979"/>
      <c r="AB789" s="1979"/>
      <c r="AC789" s="1979"/>
      <c r="AD789" s="1979"/>
      <c r="AE789" s="1980"/>
      <c r="AF789" s="1945">
        <f>IF(T789&gt;Z789,Z789,T789)</f>
        <v>0</v>
      </c>
      <c r="AG789" s="1945"/>
      <c r="AH789" s="1945"/>
      <c r="AI789" s="1945"/>
      <c r="AJ789" s="1945"/>
      <c r="AK789" s="1945"/>
      <c r="AL789" s="744"/>
      <c r="AM789" s="521"/>
      <c r="AO789" s="742"/>
      <c r="AP789" s="742"/>
      <c r="AQ789" s="742"/>
    </row>
    <row r="790" spans="1:81">
      <c r="A790" s="745" t="s">
        <v>2243</v>
      </c>
      <c r="B790" s="1976" t="s">
        <v>782</v>
      </c>
      <c r="C790" s="1976"/>
      <c r="D790" s="1976"/>
      <c r="E790" s="1976"/>
      <c r="F790" s="1976"/>
      <c r="G790" s="1976"/>
      <c r="H790" s="1976"/>
      <c r="I790" s="1976"/>
      <c r="J790" s="1976"/>
      <c r="K790" s="1976"/>
      <c r="L790" s="1976"/>
      <c r="M790" s="1976"/>
      <c r="N790" s="1976"/>
      <c r="O790" s="1976"/>
      <c r="P790" s="1976"/>
      <c r="Q790" s="1976"/>
      <c r="R790" s="1976"/>
      <c r="S790" s="1977"/>
      <c r="T790" s="1978">
        <f>AK78</f>
        <v>10</v>
      </c>
      <c r="U790" s="1979"/>
      <c r="V790" s="1979"/>
      <c r="W790" s="1979"/>
      <c r="X790" s="1979"/>
      <c r="Y790" s="1980"/>
      <c r="Z790" s="1981">
        <v>10</v>
      </c>
      <c r="AA790" s="1979"/>
      <c r="AB790" s="1979"/>
      <c r="AC790" s="1979"/>
      <c r="AD790" s="1979"/>
      <c r="AE790" s="1980"/>
      <c r="AF790" s="1945">
        <f>IF(T790&gt;Z790,Z790,T790)</f>
        <v>10</v>
      </c>
      <c r="AG790" s="1945"/>
      <c r="AH790" s="1945"/>
      <c r="AI790" s="1945"/>
      <c r="AJ790" s="1945"/>
      <c r="AK790" s="1945"/>
      <c r="AL790" s="744"/>
      <c r="AM790" s="521"/>
      <c r="AO790" s="742"/>
      <c r="AP790" s="742"/>
      <c r="AQ790" s="742"/>
    </row>
    <row r="791" spans="1:81">
      <c r="A791" s="745" t="s">
        <v>2252</v>
      </c>
      <c r="B791" s="1976" t="s">
        <v>1992</v>
      </c>
      <c r="C791" s="1976"/>
      <c r="D791" s="1976"/>
      <c r="E791" s="1976"/>
      <c r="F791" s="1976"/>
      <c r="G791" s="1976"/>
      <c r="H791" s="1976"/>
      <c r="I791" s="1976"/>
      <c r="J791" s="1976"/>
      <c r="K791" s="1976"/>
      <c r="L791" s="1976"/>
      <c r="M791" s="1976"/>
      <c r="N791" s="1976"/>
      <c r="O791" s="1976"/>
      <c r="P791" s="1976"/>
      <c r="Q791" s="1976"/>
      <c r="R791" s="1976"/>
      <c r="S791" s="1977"/>
      <c r="T791" s="1978">
        <f ca="1">AK103</f>
        <v>20</v>
      </c>
      <c r="U791" s="1979"/>
      <c r="V791" s="1979"/>
      <c r="W791" s="1979"/>
      <c r="X791" s="1979"/>
      <c r="Y791" s="1980"/>
      <c r="Z791" s="1981">
        <v>20</v>
      </c>
      <c r="AA791" s="1979"/>
      <c r="AB791" s="1979"/>
      <c r="AC791" s="1979"/>
      <c r="AD791" s="1979"/>
      <c r="AE791" s="1980"/>
      <c r="AF791" s="1945">
        <f ca="1">IF(T791&gt;Z791,Z791,T791)</f>
        <v>20</v>
      </c>
      <c r="AG791" s="1945"/>
      <c r="AH791" s="1945"/>
      <c r="AI791" s="1945"/>
      <c r="AJ791" s="1945"/>
      <c r="AK791" s="1945"/>
      <c r="AL791" s="744"/>
      <c r="AM791" s="521"/>
      <c r="AO791" s="742"/>
      <c r="AP791" s="742"/>
      <c r="AQ791" s="742"/>
    </row>
    <row r="792" spans="1:81">
      <c r="A792" s="745" t="s">
        <v>2373</v>
      </c>
      <c r="B792" s="1976" t="s">
        <v>2003</v>
      </c>
      <c r="C792" s="1976"/>
      <c r="D792" s="1976"/>
      <c r="E792" s="1976"/>
      <c r="F792" s="1976"/>
      <c r="G792" s="1976"/>
      <c r="H792" s="1976"/>
      <c r="I792" s="1976"/>
      <c r="J792" s="1976"/>
      <c r="K792" s="1976"/>
      <c r="L792" s="1976"/>
      <c r="M792" s="1976"/>
      <c r="N792" s="1976"/>
      <c r="O792" s="1976"/>
      <c r="P792" s="1976"/>
      <c r="Q792" s="1976"/>
      <c r="R792" s="1976"/>
      <c r="S792" s="1977"/>
      <c r="T792" s="1978">
        <f>AK137</f>
        <v>10</v>
      </c>
      <c r="U792" s="1979"/>
      <c r="V792" s="1979"/>
      <c r="W792" s="1979"/>
      <c r="X792" s="1979"/>
      <c r="Y792" s="1980"/>
      <c r="Z792" s="1981">
        <v>10</v>
      </c>
      <c r="AA792" s="1979"/>
      <c r="AB792" s="1979"/>
      <c r="AC792" s="1979"/>
      <c r="AD792" s="1979"/>
      <c r="AE792" s="1980"/>
      <c r="AF792" s="1945">
        <f>IF(T792&gt;Z792,Z792,T792)</f>
        <v>10</v>
      </c>
      <c r="AG792" s="1945"/>
      <c r="AH792" s="1945"/>
      <c r="AI792" s="1945"/>
      <c r="AJ792" s="1945"/>
      <c r="AK792" s="1945"/>
      <c r="AL792" s="744"/>
      <c r="AM792" s="521"/>
      <c r="AO792" s="742"/>
      <c r="AP792" s="742"/>
      <c r="AQ792" s="742"/>
    </row>
    <row r="793" spans="1:81">
      <c r="A793" s="746" t="s">
        <v>2374</v>
      </c>
      <c r="B793" s="1976" t="s">
        <v>2375</v>
      </c>
      <c r="C793" s="1976"/>
      <c r="D793" s="1976"/>
      <c r="E793" s="1976"/>
      <c r="F793" s="1976"/>
      <c r="G793" s="1976"/>
      <c r="H793" s="1976"/>
      <c r="I793" s="1976"/>
      <c r="J793" s="1976"/>
      <c r="K793" s="1976"/>
      <c r="L793" s="1976"/>
      <c r="M793" s="1976"/>
      <c r="N793" s="1976"/>
      <c r="O793" s="1976"/>
      <c r="P793" s="1976"/>
      <c r="Q793" s="1976"/>
      <c r="R793" s="1976"/>
      <c r="S793" s="1977"/>
      <c r="T793" s="2002">
        <f>SUM(T794:Y795)</f>
        <v>10</v>
      </c>
      <c r="U793" s="2002"/>
      <c r="V793" s="2002"/>
      <c r="W793" s="2002"/>
      <c r="X793" s="2002"/>
      <c r="Y793" s="2002"/>
      <c r="Z793" s="1945">
        <v>10</v>
      </c>
      <c r="AA793" s="1945"/>
      <c r="AB793" s="1945"/>
      <c r="AC793" s="1945"/>
      <c r="AD793" s="1945"/>
      <c r="AE793" s="1945"/>
      <c r="AF793" s="1945">
        <f>IF(T793&gt;Z793,Z793,T793)</f>
        <v>10</v>
      </c>
      <c r="AG793" s="1945"/>
      <c r="AH793" s="1945"/>
      <c r="AI793" s="1945"/>
      <c r="AJ793" s="1945"/>
      <c r="AK793" s="1945"/>
      <c r="AL793" s="744"/>
      <c r="AM793" s="521"/>
    </row>
    <row r="794" spans="1:81">
      <c r="A794" s="460"/>
      <c r="B794" s="526"/>
      <c r="C794" s="2003" t="s">
        <v>2376</v>
      </c>
      <c r="D794" s="2003"/>
      <c r="E794" s="2003"/>
      <c r="F794" s="2003"/>
      <c r="G794" s="2003"/>
      <c r="H794" s="2003"/>
      <c r="I794" s="2003"/>
      <c r="J794" s="2003"/>
      <c r="K794" s="2003"/>
      <c r="L794" s="2003"/>
      <c r="M794" s="2003"/>
      <c r="N794" s="2003"/>
      <c r="O794" s="2003"/>
      <c r="P794" s="2003"/>
      <c r="Q794" s="2003"/>
      <c r="R794" s="2003"/>
      <c r="S794" s="2004"/>
      <c r="T794" s="1882">
        <f>AJ155</f>
        <v>7</v>
      </c>
      <c r="U794" s="1882"/>
      <c r="V794" s="1882"/>
      <c r="W794" s="1882"/>
      <c r="X794" s="1882"/>
      <c r="Y794" s="1882"/>
      <c r="Z794" s="1883">
        <v>7</v>
      </c>
      <c r="AA794" s="1883"/>
      <c r="AB794" s="1883"/>
      <c r="AC794" s="1883"/>
      <c r="AD794" s="1883"/>
      <c r="AE794" s="1883"/>
      <c r="AF794" s="2005"/>
      <c r="AG794" s="2005"/>
      <c r="AH794" s="2005"/>
      <c r="AI794" s="2005"/>
      <c r="AJ794" s="2005"/>
      <c r="AK794" s="2005"/>
      <c r="AL794" s="744"/>
      <c r="AM794" s="521"/>
    </row>
    <row r="795" spans="1:81">
      <c r="A795" s="525"/>
      <c r="B795" s="526"/>
      <c r="C795" s="2003" t="s">
        <v>2377</v>
      </c>
      <c r="D795" s="2003"/>
      <c r="E795" s="2003"/>
      <c r="F795" s="2003"/>
      <c r="G795" s="2003"/>
      <c r="H795" s="2003"/>
      <c r="I795" s="2003"/>
      <c r="J795" s="2003"/>
      <c r="K795" s="2003"/>
      <c r="L795" s="2003"/>
      <c r="M795" s="2003"/>
      <c r="N795" s="2003"/>
      <c r="O795" s="2003"/>
      <c r="P795" s="2003"/>
      <c r="Q795" s="2003"/>
      <c r="R795" s="2003"/>
      <c r="S795" s="2004"/>
      <c r="T795" s="1882">
        <f>AJ169</f>
        <v>3</v>
      </c>
      <c r="U795" s="1882"/>
      <c r="V795" s="1882"/>
      <c r="W795" s="1882"/>
      <c r="X795" s="1882"/>
      <c r="Y795" s="1882"/>
      <c r="Z795" s="1883">
        <v>3</v>
      </c>
      <c r="AA795" s="1883"/>
      <c r="AB795" s="1883"/>
      <c r="AC795" s="1883"/>
      <c r="AD795" s="1883"/>
      <c r="AE795" s="1883"/>
      <c r="AF795" s="2005"/>
      <c r="AG795" s="2005"/>
      <c r="AH795" s="2005"/>
      <c r="AI795" s="2005"/>
      <c r="AJ795" s="2005"/>
      <c r="AK795" s="2005"/>
      <c r="AL795" s="744"/>
      <c r="AM795" s="521"/>
      <c r="AO795" s="475"/>
    </row>
    <row r="796" spans="1:81">
      <c r="A796" s="746" t="s">
        <v>2047</v>
      </c>
      <c r="B796" s="1976" t="s">
        <v>2378</v>
      </c>
      <c r="C796" s="1976"/>
      <c r="D796" s="1976"/>
      <c r="E796" s="1976"/>
      <c r="F796" s="1976"/>
      <c r="G796" s="1976"/>
      <c r="H796" s="1976"/>
      <c r="I796" s="1976"/>
      <c r="J796" s="1976"/>
      <c r="K796" s="1976"/>
      <c r="L796" s="1976"/>
      <c r="M796" s="1976"/>
      <c r="N796" s="1976"/>
      <c r="O796" s="1976"/>
      <c r="P796" s="1976"/>
      <c r="Q796" s="1976"/>
      <c r="R796" s="1976"/>
      <c r="S796" s="1977"/>
      <c r="T796" s="2002">
        <f>AK180</f>
        <v>10</v>
      </c>
      <c r="U796" s="2002"/>
      <c r="V796" s="2002"/>
      <c r="W796" s="2002"/>
      <c r="X796" s="2002"/>
      <c r="Y796" s="2002"/>
      <c r="Z796" s="1945">
        <v>10</v>
      </c>
      <c r="AA796" s="1945"/>
      <c r="AB796" s="1945"/>
      <c r="AC796" s="1945"/>
      <c r="AD796" s="1945"/>
      <c r="AE796" s="1945"/>
      <c r="AF796" s="1945">
        <f>IF(T796&gt;Z796,Z796,T796)</f>
        <v>10</v>
      </c>
      <c r="AG796" s="1945"/>
      <c r="AH796" s="1945"/>
      <c r="AI796" s="1945"/>
      <c r="AJ796" s="1945"/>
      <c r="AK796" s="1945"/>
      <c r="AL796" s="744"/>
      <c r="AM796" s="521"/>
    </row>
    <row r="797" spans="1:81">
      <c r="A797" s="745" t="s">
        <v>2057</v>
      </c>
      <c r="B797" s="1976" t="s">
        <v>2058</v>
      </c>
      <c r="C797" s="1976"/>
      <c r="D797" s="1976"/>
      <c r="E797" s="1976"/>
      <c r="F797" s="1976"/>
      <c r="G797" s="1976"/>
      <c r="H797" s="1976"/>
      <c r="I797" s="1976"/>
      <c r="J797" s="1976"/>
      <c r="K797" s="1976"/>
      <c r="L797" s="1976"/>
      <c r="M797" s="1976"/>
      <c r="N797" s="1976"/>
      <c r="O797" s="1976"/>
      <c r="P797" s="1976"/>
      <c r="Q797" s="1976"/>
      <c r="R797" s="1976"/>
      <c r="S797" s="1977"/>
      <c r="T797" s="2002">
        <f>AK262</f>
        <v>8</v>
      </c>
      <c r="U797" s="2002"/>
      <c r="V797" s="2002"/>
      <c r="W797" s="2002"/>
      <c r="X797" s="2002"/>
      <c r="Y797" s="2002"/>
      <c r="Z797" s="1981">
        <v>8</v>
      </c>
      <c r="AA797" s="1979"/>
      <c r="AB797" s="1979"/>
      <c r="AC797" s="1979"/>
      <c r="AD797" s="1979"/>
      <c r="AE797" s="1980"/>
      <c r="AF797" s="1945">
        <f>IF(T797&gt;Z797,Z797,T797)</f>
        <v>8</v>
      </c>
      <c r="AG797" s="1945"/>
      <c r="AH797" s="1945"/>
      <c r="AI797" s="1945"/>
      <c r="AJ797" s="1945"/>
      <c r="AK797" s="1945"/>
      <c r="AL797" s="744"/>
      <c r="AM797" s="521"/>
    </row>
    <row r="798" spans="1:81" s="459" customFormat="1" hidden="1">
      <c r="A798" s="746" t="s">
        <v>1102</v>
      </c>
      <c r="B798" s="1976" t="s">
        <v>2379</v>
      </c>
      <c r="C798" s="1976"/>
      <c r="D798" s="1976"/>
      <c r="E798" s="1976"/>
      <c r="F798" s="1976"/>
      <c r="G798" s="1976"/>
      <c r="H798" s="1976"/>
      <c r="I798" s="1976"/>
      <c r="J798" s="1976"/>
      <c r="K798" s="1976"/>
      <c r="L798" s="1976"/>
      <c r="M798" s="1976"/>
      <c r="N798" s="1976"/>
      <c r="O798" s="1976"/>
      <c r="P798" s="1976"/>
      <c r="Q798" s="1976"/>
      <c r="R798" s="1976"/>
      <c r="S798" s="1977"/>
      <c r="T798" s="2002">
        <f>IF(AK524&gt;5,5,AK524)</f>
        <v>0</v>
      </c>
      <c r="U798" s="2002"/>
      <c r="V798" s="2002"/>
      <c r="W798" s="2002"/>
      <c r="X798" s="2002"/>
      <c r="Y798" s="2002"/>
      <c r="Z798" s="1945">
        <v>5</v>
      </c>
      <c r="AA798" s="1945"/>
      <c r="AB798" s="1945"/>
      <c r="AC798" s="1945"/>
      <c r="AD798" s="1945"/>
      <c r="AE798" s="1945"/>
      <c r="AF798" s="1945">
        <f>IF(T798&gt;Z798,5,T798)</f>
        <v>0</v>
      </c>
      <c r="AG798" s="1945"/>
      <c r="AH798" s="1945"/>
      <c r="AI798" s="1945"/>
      <c r="AJ798" s="1945"/>
      <c r="AK798" s="1945"/>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2111</v>
      </c>
      <c r="B799" s="1976" t="s">
        <v>2380</v>
      </c>
      <c r="C799" s="1976"/>
      <c r="D799" s="1976"/>
      <c r="E799" s="1976"/>
      <c r="F799" s="1976"/>
      <c r="G799" s="1976"/>
      <c r="H799" s="1976"/>
      <c r="I799" s="1976"/>
      <c r="J799" s="1976"/>
      <c r="K799" s="1976"/>
      <c r="L799" s="1976"/>
      <c r="M799" s="1976"/>
      <c r="N799" s="1976"/>
      <c r="O799" s="1976"/>
      <c r="P799" s="1976"/>
      <c r="Q799" s="1976"/>
      <c r="R799" s="1976"/>
      <c r="S799" s="1977"/>
      <c r="T799" s="2002">
        <f>AK274</f>
        <v>10</v>
      </c>
      <c r="U799" s="2002"/>
      <c r="V799" s="2002"/>
      <c r="W799" s="2002"/>
      <c r="X799" s="2002"/>
      <c r="Y799" s="2002"/>
      <c r="Z799" s="1945">
        <v>10</v>
      </c>
      <c r="AA799" s="1945"/>
      <c r="AB799" s="1945"/>
      <c r="AC799" s="1945"/>
      <c r="AD799" s="1945"/>
      <c r="AE799" s="1945"/>
      <c r="AF799" s="2008">
        <f>IF(T799&gt;Z799,Z799,T799)</f>
        <v>10</v>
      </c>
      <c r="AG799" s="2009"/>
      <c r="AH799" s="2009"/>
      <c r="AI799" s="2009"/>
      <c r="AJ799" s="2009"/>
      <c r="AK799" s="2010"/>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2115</v>
      </c>
      <c r="B800" s="1976" t="s">
        <v>2381</v>
      </c>
      <c r="C800" s="1976"/>
      <c r="D800" s="1976"/>
      <c r="E800" s="1976"/>
      <c r="F800" s="1976"/>
      <c r="G800" s="1976"/>
      <c r="H800" s="1976"/>
      <c r="I800" s="1976"/>
      <c r="J800" s="1976"/>
      <c r="K800" s="1976"/>
      <c r="L800" s="1976"/>
      <c r="M800" s="1976"/>
      <c r="N800" s="1976"/>
      <c r="O800" s="1976"/>
      <c r="P800" s="1976"/>
      <c r="Q800" s="1976"/>
      <c r="R800" s="1976"/>
      <c r="S800" s="1977"/>
      <c r="T800" s="2002">
        <f>AK327</f>
        <v>10</v>
      </c>
      <c r="U800" s="2002"/>
      <c r="V800" s="2002"/>
      <c r="W800" s="2002"/>
      <c r="X800" s="2002"/>
      <c r="Y800" s="2002"/>
      <c r="Z800" s="2008">
        <v>10</v>
      </c>
      <c r="AA800" s="2009"/>
      <c r="AB800" s="2009"/>
      <c r="AC800" s="2009"/>
      <c r="AD800" s="2009"/>
      <c r="AE800" s="2010"/>
      <c r="AF800" s="2008">
        <f>IF(T800&gt;Z800,Z800,T800)</f>
        <v>10</v>
      </c>
      <c r="AG800" s="2009"/>
      <c r="AH800" s="2009"/>
      <c r="AI800" s="2009"/>
      <c r="AJ800" s="2009"/>
      <c r="AK800" s="2010"/>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2382</v>
      </c>
      <c r="D801" s="749"/>
      <c r="E801" s="749"/>
      <c r="F801" s="749"/>
      <c r="G801" s="749"/>
      <c r="H801" s="749"/>
      <c r="I801" s="749"/>
      <c r="J801" s="749"/>
      <c r="K801" s="749"/>
      <c r="L801" s="749"/>
      <c r="M801" s="749"/>
      <c r="N801" s="749"/>
      <c r="O801" s="749"/>
      <c r="P801" s="749"/>
      <c r="Q801" s="749"/>
      <c r="R801" s="747"/>
      <c r="S801" s="750"/>
      <c r="T801" s="1882">
        <f>AK327</f>
        <v>10</v>
      </c>
      <c r="U801" s="1882"/>
      <c r="V801" s="1882"/>
      <c r="W801" s="1882"/>
      <c r="X801" s="1882"/>
      <c r="Y801" s="1882"/>
      <c r="Z801" s="1887">
        <v>20</v>
      </c>
      <c r="AA801" s="1888"/>
      <c r="AB801" s="1888"/>
      <c r="AC801" s="1888"/>
      <c r="AD801" s="1888"/>
      <c r="AE801" s="1889"/>
      <c r="AF801" s="2005"/>
      <c r="AG801" s="2005"/>
      <c r="AH801" s="2005"/>
      <c r="AI801" s="2005"/>
      <c r="AJ801" s="2005"/>
      <c r="AK801" s="2005"/>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2145</v>
      </c>
      <c r="B802" s="1976" t="s">
        <v>2146</v>
      </c>
      <c r="C802" s="1976"/>
      <c r="D802" s="1976"/>
      <c r="E802" s="1976"/>
      <c r="F802" s="1976"/>
      <c r="G802" s="1976"/>
      <c r="H802" s="1976"/>
      <c r="I802" s="1976"/>
      <c r="J802" s="1976"/>
      <c r="K802" s="1976"/>
      <c r="L802" s="1976"/>
      <c r="M802" s="1976"/>
      <c r="N802" s="1976"/>
      <c r="O802" s="1976"/>
      <c r="P802" s="1976"/>
      <c r="Q802" s="1976"/>
      <c r="R802" s="1976"/>
      <c r="S802" s="1977"/>
      <c r="T802" s="2002">
        <f>AK458</f>
        <v>11</v>
      </c>
      <c r="U802" s="2002"/>
      <c r="V802" s="2002"/>
      <c r="W802" s="2002"/>
      <c r="X802" s="2002"/>
      <c r="Y802" s="2002"/>
      <c r="Z802" s="2008">
        <v>10</v>
      </c>
      <c r="AA802" s="2009"/>
      <c r="AB802" s="2009"/>
      <c r="AC802" s="2009"/>
      <c r="AD802" s="2009"/>
      <c r="AE802" s="2010"/>
      <c r="AF802" s="1945">
        <f>IF(T802&gt;Z802,Z802,T802)</f>
        <v>10</v>
      </c>
      <c r="AG802" s="1945"/>
      <c r="AH802" s="1945"/>
      <c r="AI802" s="1945"/>
      <c r="AJ802" s="1945"/>
      <c r="AK802" s="1945"/>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2262</v>
      </c>
      <c r="B803" s="1976" t="s">
        <v>2263</v>
      </c>
      <c r="C803" s="1976"/>
      <c r="D803" s="1976"/>
      <c r="E803" s="1976"/>
      <c r="F803" s="1976"/>
      <c r="G803" s="1976"/>
      <c r="H803" s="1976"/>
      <c r="I803" s="1976"/>
      <c r="J803" s="1976"/>
      <c r="K803" s="1976"/>
      <c r="L803" s="1976"/>
      <c r="M803" s="1976"/>
      <c r="N803" s="1976"/>
      <c r="O803" s="1976"/>
      <c r="P803" s="1976"/>
      <c r="Q803" s="1976"/>
      <c r="R803" s="1976"/>
      <c r="S803" s="1977"/>
      <c r="T803" s="2002">
        <f>AK548</f>
        <v>12</v>
      </c>
      <c r="U803" s="2002"/>
      <c r="V803" s="2002"/>
      <c r="W803" s="2002"/>
      <c r="X803" s="2002"/>
      <c r="Y803" s="2002"/>
      <c r="Z803" s="2008">
        <v>12</v>
      </c>
      <c r="AA803" s="2009"/>
      <c r="AB803" s="2009"/>
      <c r="AC803" s="2009"/>
      <c r="AD803" s="2009"/>
      <c r="AE803" s="2010"/>
      <c r="AF803" s="1945">
        <f>IF(T803&gt;Z803,Z803,T803)</f>
        <v>12</v>
      </c>
      <c r="AG803" s="1945"/>
      <c r="AH803" s="1945"/>
      <c r="AI803" s="1945"/>
      <c r="AJ803" s="1945"/>
      <c r="AK803" s="1945"/>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2383</v>
      </c>
      <c r="B804" s="1976" t="s">
        <v>2384</v>
      </c>
      <c r="C804" s="1976"/>
      <c r="D804" s="1976"/>
      <c r="E804" s="1976"/>
      <c r="F804" s="1976"/>
      <c r="G804" s="1976"/>
      <c r="H804" s="1976"/>
      <c r="I804" s="1976"/>
      <c r="J804" s="1976"/>
      <c r="K804" s="1976"/>
      <c r="L804" s="1976"/>
      <c r="M804" s="1976"/>
      <c r="N804" s="1976"/>
      <c r="O804" s="1976"/>
      <c r="P804" s="1976"/>
      <c r="Q804" s="1976"/>
      <c r="R804" s="1976"/>
      <c r="S804" s="1977"/>
      <c r="T804" s="2002">
        <f>AK779</f>
        <v>10</v>
      </c>
      <c r="U804" s="2002"/>
      <c r="V804" s="2002"/>
      <c r="W804" s="2002"/>
      <c r="X804" s="2002"/>
      <c r="Y804" s="2002"/>
      <c r="Z804" s="2008">
        <v>10</v>
      </c>
      <c r="AA804" s="2009"/>
      <c r="AB804" s="2009"/>
      <c r="AC804" s="2009"/>
      <c r="AD804" s="2009"/>
      <c r="AE804" s="2010"/>
      <c r="AF804" s="1945">
        <f>IF(T804&gt;Z804,Z804,T804)</f>
        <v>10</v>
      </c>
      <c r="AG804" s="1945"/>
      <c r="AH804" s="1945"/>
      <c r="AI804" s="1945"/>
      <c r="AJ804" s="1945"/>
      <c r="AK804" s="194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2006" t="s">
        <v>2385</v>
      </c>
      <c r="B805" s="1976"/>
      <c r="C805" s="1976"/>
      <c r="D805" s="1976"/>
      <c r="E805" s="1976"/>
      <c r="F805" s="1976"/>
      <c r="G805" s="1976"/>
      <c r="H805" s="1976"/>
      <c r="I805" s="1976"/>
      <c r="J805" s="1976"/>
      <c r="K805" s="1976"/>
      <c r="L805" s="1976"/>
      <c r="M805" s="1976"/>
      <c r="N805" s="1976"/>
      <c r="O805" s="1976"/>
      <c r="P805" s="1976"/>
      <c r="Q805" s="1976"/>
      <c r="R805" s="1976"/>
      <c r="S805" s="1977"/>
      <c r="T805" s="2007"/>
      <c r="U805" s="2007"/>
      <c r="V805" s="2007"/>
      <c r="W805" s="2007"/>
      <c r="X805" s="2007"/>
      <c r="Y805" s="2007"/>
      <c r="Z805" s="1883" t="s">
        <v>2386</v>
      </c>
      <c r="AA805" s="1883"/>
      <c r="AB805" s="1883"/>
      <c r="AC805" s="1883"/>
      <c r="AD805" s="1883"/>
      <c r="AE805" s="1883"/>
      <c r="AF805" s="2008">
        <f>IF(T805&gt;0,T805,0)</f>
        <v>0</v>
      </c>
      <c r="AG805" s="2009"/>
      <c r="AH805" s="2009"/>
      <c r="AI805" s="2009"/>
      <c r="AJ805" s="2009"/>
      <c r="AK805" s="2010"/>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2011" t="s">
        <v>2387</v>
      </c>
      <c r="B806" s="2012"/>
      <c r="C806" s="2012"/>
      <c r="D806" s="2012"/>
      <c r="E806" s="2012"/>
      <c r="F806" s="2012"/>
      <c r="G806" s="2012"/>
      <c r="H806" s="2012"/>
      <c r="I806" s="2012"/>
      <c r="J806" s="2012"/>
      <c r="K806" s="2012"/>
      <c r="L806" s="2012"/>
      <c r="M806" s="2012"/>
      <c r="N806" s="2012"/>
      <c r="O806" s="2012"/>
      <c r="P806" s="2012"/>
      <c r="Q806" s="2012"/>
      <c r="R806" s="2012"/>
      <c r="S806" s="2012"/>
      <c r="T806" s="2012"/>
      <c r="U806" s="2012"/>
      <c r="V806" s="2012"/>
      <c r="W806" s="2012"/>
      <c r="X806" s="2012"/>
      <c r="Y806" s="2012"/>
      <c r="Z806" s="2012"/>
      <c r="AA806" s="2012"/>
      <c r="AB806" s="2012"/>
      <c r="AC806" s="2012"/>
      <c r="AD806" s="2012"/>
      <c r="AE806" s="2013"/>
      <c r="AF806" s="2017">
        <f ca="1">SUM(AF789:AK804)-AF805</f>
        <v>120</v>
      </c>
      <c r="AG806" s="2018"/>
      <c r="AH806" s="2018"/>
      <c r="AI806" s="2018"/>
      <c r="AJ806" s="2018"/>
      <c r="AK806" s="2019"/>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2014"/>
      <c r="B807" s="2015"/>
      <c r="C807" s="2015"/>
      <c r="D807" s="2015"/>
      <c r="E807" s="2015"/>
      <c r="F807" s="2015"/>
      <c r="G807" s="2015"/>
      <c r="H807" s="2015"/>
      <c r="I807" s="2015"/>
      <c r="J807" s="2015"/>
      <c r="K807" s="2015"/>
      <c r="L807" s="2015"/>
      <c r="M807" s="2015"/>
      <c r="N807" s="2015"/>
      <c r="O807" s="2015"/>
      <c r="P807" s="2015"/>
      <c r="Q807" s="2015"/>
      <c r="R807" s="2015"/>
      <c r="S807" s="2015"/>
      <c r="T807" s="2015"/>
      <c r="U807" s="2015"/>
      <c r="V807" s="2015"/>
      <c r="W807" s="2015"/>
      <c r="X807" s="2015"/>
      <c r="Y807" s="2015"/>
      <c r="Z807" s="2015"/>
      <c r="AA807" s="2015"/>
      <c r="AB807" s="2015"/>
      <c r="AC807" s="2015"/>
      <c r="AD807" s="2015"/>
      <c r="AE807" s="2016"/>
      <c r="AF807" s="2020"/>
      <c r="AG807" s="2021"/>
      <c r="AH807" s="2021"/>
      <c r="AI807" s="2021"/>
      <c r="AJ807" s="2021"/>
      <c r="AK807" s="2022"/>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63" sqref="I63"/>
    </sheetView>
  </sheetViews>
  <sheetFormatPr defaultColWidth="9.140625" defaultRowHeight="14.25"/>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67" t="s">
        <v>2388</v>
      </c>
      <c r="B1" s="2067"/>
      <c r="C1" s="2067"/>
      <c r="D1" s="2067"/>
      <c r="E1" s="2067"/>
      <c r="F1" s="2067"/>
      <c r="G1" s="2067"/>
      <c r="H1" s="2067"/>
      <c r="I1" s="2067"/>
      <c r="J1" s="2067"/>
    </row>
    <row r="2" spans="1:13" ht="15" customHeight="1" thickBot="1">
      <c r="A2" s="970"/>
      <c r="B2" s="970"/>
      <c r="I2" s="971"/>
      <c r="K2" s="972"/>
    </row>
    <row r="3" spans="1:13" s="975" customFormat="1" ht="20.25" customHeight="1">
      <c r="A3" s="1028"/>
      <c r="B3" s="1029"/>
      <c r="C3" s="1030"/>
      <c r="D3" s="1035"/>
      <c r="E3" s="1030"/>
      <c r="F3" s="1031" t="s">
        <v>2389</v>
      </c>
      <c r="G3" s="1030"/>
      <c r="H3" s="1032">
        <f>E16</f>
        <v>37893318</v>
      </c>
      <c r="I3" s="1033"/>
    </row>
    <row r="4" spans="1:13" s="975" customFormat="1" ht="20.25" customHeight="1">
      <c r="B4" s="1022"/>
      <c r="D4" s="1036"/>
      <c r="F4" s="1020" t="s">
        <v>2390</v>
      </c>
      <c r="G4" s="1019" t="s">
        <v>2391</v>
      </c>
      <c r="H4" s="1021">
        <f>I16</f>
        <v>32577453.128594771</v>
      </c>
      <c r="I4" s="1023"/>
      <c r="K4" s="979"/>
    </row>
    <row r="5" spans="1:13" s="975" customFormat="1" ht="20.25" customHeight="1" thickBot="1">
      <c r="B5" s="1024"/>
      <c r="C5" s="1025"/>
      <c r="D5" s="1037"/>
      <c r="E5" s="1026"/>
      <c r="F5" s="1037" t="s">
        <v>2392</v>
      </c>
      <c r="G5" s="1038"/>
      <c r="H5" s="1034">
        <f>H3/H4</f>
        <v>1.1631761958315656</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69" t="s">
        <v>2393</v>
      </c>
      <c r="C8" s="2070"/>
      <c r="D8" s="2070"/>
      <c r="E8" s="2071"/>
      <c r="G8" s="2072" t="s">
        <v>2394</v>
      </c>
      <c r="H8" s="2073"/>
      <c r="I8" s="2074"/>
      <c r="K8" s="981"/>
    </row>
    <row r="9" spans="1:13" ht="15" customHeight="1">
      <c r="A9" s="970"/>
      <c r="B9" s="2068" t="s">
        <v>2395</v>
      </c>
      <c r="C9" s="2068"/>
      <c r="D9" s="2068"/>
      <c r="E9" s="983">
        <f>G31</f>
        <v>4867500</v>
      </c>
      <c r="G9" s="2077" t="s">
        <v>2396</v>
      </c>
      <c r="H9" s="2077"/>
      <c r="I9" s="984">
        <f>Application!AM550</f>
        <v>45112346</v>
      </c>
      <c r="K9" s="985"/>
      <c r="M9" s="986"/>
    </row>
    <row r="10" spans="1:13" ht="15" customHeight="1" thickBot="1">
      <c r="A10" s="970"/>
      <c r="B10" s="2068" t="s">
        <v>2397</v>
      </c>
      <c r="C10" s="2068"/>
      <c r="D10" s="2068"/>
      <c r="E10" s="984">
        <f>G40</f>
        <v>23101668</v>
      </c>
      <c r="G10" s="2077" t="s">
        <v>2398</v>
      </c>
      <c r="H10" s="2077"/>
      <c r="I10" s="1070">
        <f>'Basis &amp; Credits'!AB77</f>
        <v>0</v>
      </c>
      <c r="M10" s="986"/>
    </row>
    <row r="11" spans="1:13" ht="15" customHeight="1">
      <c r="A11" s="987"/>
      <c r="B11" s="2068" t="s">
        <v>2399</v>
      </c>
      <c r="C11" s="2068"/>
      <c r="D11" s="2068"/>
      <c r="E11" s="984">
        <f>G49</f>
        <v>420000</v>
      </c>
      <c r="G11" s="2077" t="s">
        <v>2400</v>
      </c>
      <c r="H11" s="2077"/>
      <c r="I11" s="1069">
        <f>I9+I10</f>
        <v>45112346</v>
      </c>
      <c r="M11" s="986"/>
    </row>
    <row r="12" spans="1:13" ht="15" customHeight="1">
      <c r="A12" s="973"/>
      <c r="B12" s="2068" t="s">
        <v>2401</v>
      </c>
      <c r="C12" s="2068"/>
      <c r="D12" s="2068"/>
      <c r="E12" s="984">
        <f>G58</f>
        <v>840000</v>
      </c>
      <c r="G12" s="1071" t="s">
        <v>2402</v>
      </c>
      <c r="H12" s="1072"/>
      <c r="M12" s="986"/>
    </row>
    <row r="13" spans="1:13" ht="15" customHeight="1">
      <c r="A13" s="970"/>
      <c r="B13" s="2068" t="s">
        <v>2403</v>
      </c>
      <c r="C13" s="2068"/>
      <c r="D13" s="2068"/>
      <c r="E13" s="989">
        <f>G83</f>
        <v>6717150</v>
      </c>
      <c r="G13" s="2078" t="s">
        <v>1834</v>
      </c>
      <c r="H13" s="2078"/>
      <c r="I13" s="988">
        <f>15%*(Application!AJ963&gt;0)</f>
        <v>0.15</v>
      </c>
      <c r="M13" s="986"/>
    </row>
    <row r="14" spans="1:13" ht="15" customHeight="1">
      <c r="A14" s="970"/>
      <c r="B14" s="2068" t="s">
        <v>2404</v>
      </c>
      <c r="C14" s="2068"/>
      <c r="D14" s="2068"/>
      <c r="E14" s="984">
        <f>IF(G96&gt;G106,G96,0)</f>
        <v>1947000</v>
      </c>
      <c r="G14" s="1067" t="s">
        <v>2405</v>
      </c>
      <c r="H14" s="1067"/>
      <c r="I14" s="988">
        <f>IF(Application!AJ997&gt;0,10%,IF(Application!AJ1001&gt;0,5%,0))</f>
        <v>0</v>
      </c>
      <c r="M14" s="986"/>
    </row>
    <row r="15" spans="1:13" ht="15" customHeight="1" thickBot="1">
      <c r="A15" s="970"/>
      <c r="B15" s="2075" t="s">
        <v>2406</v>
      </c>
      <c r="C15" s="2075"/>
      <c r="D15" s="2075"/>
      <c r="E15" s="1039">
        <f>IF(E14&gt;0,0,G106)</f>
        <v>0</v>
      </c>
      <c r="G15" s="2081" t="s">
        <v>2407</v>
      </c>
      <c r="H15" s="2082"/>
      <c r="I15" s="1041">
        <f>G114</f>
        <v>0.127859477124183</v>
      </c>
      <c r="M15" s="986"/>
    </row>
    <row r="16" spans="1:13" ht="15" customHeight="1">
      <c r="A16" s="970"/>
      <c r="B16" s="2076" t="s">
        <v>2408</v>
      </c>
      <c r="C16" s="2076"/>
      <c r="D16" s="2076"/>
      <c r="E16" s="1040">
        <f>SUM(E9:E15)</f>
        <v>37893318</v>
      </c>
      <c r="G16" s="1068" t="s">
        <v>2409</v>
      </c>
      <c r="H16" s="1068"/>
      <c r="I16" s="1042">
        <f>I11-((I11*I13)+(I11*I14)+(I11*I15))</f>
        <v>32577453.128594771</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84</v>
      </c>
      <c r="O18" s="1013" t="s">
        <v>1027</v>
      </c>
      <c r="P18" s="968">
        <f>MATCH(Application!T189,Application!BP656:BP713,0)</f>
        <v>43</v>
      </c>
      <c r="S18" s="990">
        <f>SUM(Cdlac[Population])</f>
        <v>42</v>
      </c>
    </row>
    <row r="19" spans="1:20" ht="15" customHeight="1">
      <c r="A19" s="970"/>
      <c r="B19" s="970"/>
      <c r="I19" s="996"/>
      <c r="L19" s="968" t="s">
        <v>2410</v>
      </c>
      <c r="M19" s="968" t="s">
        <v>2411</v>
      </c>
      <c r="N19" s="968" t="s">
        <v>2412</v>
      </c>
      <c r="O19" s="968" t="s">
        <v>2413</v>
      </c>
      <c r="P19" s="968" t="s">
        <v>2414</v>
      </c>
      <c r="Q19" s="968" t="s">
        <v>2415</v>
      </c>
      <c r="R19" s="968" t="s">
        <v>2416</v>
      </c>
      <c r="S19" s="968" t="s">
        <v>2417</v>
      </c>
      <c r="T19" s="968" t="s">
        <v>1088</v>
      </c>
    </row>
    <row r="20" spans="1:20" ht="15" customHeight="1">
      <c r="A20" s="973"/>
      <c r="C20" s="2079" t="s">
        <v>2418</v>
      </c>
      <c r="D20" s="2079" t="s">
        <v>2419</v>
      </c>
      <c r="E20" s="2079" t="s">
        <v>2420</v>
      </c>
      <c r="F20" s="2079" t="s">
        <v>2421</v>
      </c>
      <c r="G20" s="2079" t="s">
        <v>2422</v>
      </c>
      <c r="H20" s="997"/>
      <c r="I20" s="996"/>
      <c r="L20" s="968">
        <f>IFERROR(MIN(4,MATCH(Application!B714,UnitSizes,0)-1),"")</f>
        <v>0</v>
      </c>
      <c r="M20" s="990">
        <f>Application!G714</f>
        <v>21</v>
      </c>
      <c r="N20" s="998">
        <f>Application!AC714</f>
        <v>0.3</v>
      </c>
      <c r="O20" s="998">
        <f>IF(Cdlac[[#This Row],[Quantity]]&gt;0,IF(Cdlac[[#This Row],[Federal]],30%,IF($G$36,40%,Cdlac[[#This Row],[iAMI]])),"")</f>
        <v>0.4</v>
      </c>
      <c r="P20" s="990" cm="1">
        <f t="array" ref="P20">IF(Cdlac[[#This Row],[Quantity]]&gt;0,INDEX(TcacRents,$P$18,Cdlac[[#This Row],[Bedrooms]]+1)*Cdlac[[#This Row],[AMI]],"")</f>
        <v>1180</v>
      </c>
      <c r="Q20" s="990" cm="1">
        <f t="array" ref="Q20">IF(Cdlac[[#This Row],[Quantity]]&gt;0,INDEX(HudFmrs,$P$18,Cdlac[[#This Row],[Bedrooms]]+1),"")</f>
        <v>2145</v>
      </c>
      <c r="R20" s="990">
        <f>IF(Cdlac[[#This Row],[Quantity]]&gt;0,MAX(0,Cdlac[[#This Row],[Fair Market Rent]]-Cdlac[[#This Row],[Restricted Rent]]),"")</f>
        <v>965</v>
      </c>
      <c r="S20" s="968">
        <f>IF(Cdlac[[#This Row],[Quantity]]&gt;0,AND(Application!AK714&lt;&gt;"N/A",Application!AK714&lt;&gt;"")*Cdlac[[#This Row],[Quantity]],"")</f>
        <v>21</v>
      </c>
      <c r="T20" s="968" t="b">
        <f>AND('Subsidy Contract Calculation'!F4&gt;0,'Subsidy Contract Calculation'!C4="Federal",Cdlac[[#This Row],[Quantity]]&gt;0)</f>
        <v>0</v>
      </c>
    </row>
    <row r="21" spans="1:20" ht="15" customHeight="1">
      <c r="A21" s="973"/>
      <c r="C21" s="2080"/>
      <c r="D21" s="2080"/>
      <c r="E21" s="2080"/>
      <c r="F21" s="2080"/>
      <c r="G21" s="2080"/>
      <c r="H21" s="997"/>
      <c r="I21" s="996"/>
      <c r="L21" s="968">
        <f>IFERROR(MIN(4,MATCH(Application!B715,UnitSizes,0)-1),"")</f>
        <v>1</v>
      </c>
      <c r="M21" s="990">
        <f>Application!G715</f>
        <v>10</v>
      </c>
      <c r="N21" s="998">
        <f>Application!AC715</f>
        <v>0.3</v>
      </c>
      <c r="O21" s="998">
        <f>IF(Cdlac[[#This Row],[Quantity]]&gt;0,IF(Cdlac[[#This Row],[Federal]],30%,IF($G$36,40%,Cdlac[[#This Row],[iAMI]])),"")</f>
        <v>0.4</v>
      </c>
      <c r="P21" s="990" cm="1">
        <f t="array" ref="P21">IF(Cdlac[[#This Row],[Quantity]]&gt;0,INDEX(TcacRents,$P$18,Cdlac[[#This Row],[Bedrooms]]+1)*Cdlac[[#This Row],[AMI]],"")</f>
        <v>1264</v>
      </c>
      <c r="Q21" s="990" cm="1">
        <f t="array" ref="Q21">IF(Cdlac[[#This Row],[Quantity]]&gt;0,INDEX(HudFmrs,$P$18,Cdlac[[#This Row],[Bedrooms]]+1),"")</f>
        <v>2418</v>
      </c>
      <c r="R21" s="990">
        <f>IF(Cdlac[[#This Row],[Quantity]]&gt;0,MAX(0,Cdlac[[#This Row],[Fair Market Rent]]-Cdlac[[#This Row],[Restricted Rent]]),"")</f>
        <v>1154</v>
      </c>
      <c r="S21" s="968">
        <f>IF(Cdlac[[#This Row],[Quantity]]&gt;0,AND(Application!AK715&lt;&gt;"N/A",Application!AK715&lt;&gt;"")*Cdlac[[#This Row],[Quantity]],"")</f>
        <v>10</v>
      </c>
      <c r="T21" s="968" t="b">
        <f>AND('Subsidy Contract Calculation'!F5&gt;0,'Subsidy Contract Calculation'!C5="Federal",Cdlac[[#This Row],[Quantity]]&gt;0)</f>
        <v>0</v>
      </c>
    </row>
    <row r="22" spans="1:20" ht="15" customHeight="1">
      <c r="C22" s="999">
        <v>0</v>
      </c>
      <c r="D22" s="1000">
        <v>0.9</v>
      </c>
      <c r="E22" s="999">
        <f>SUMIFS(Cdlac[Quantity],Cdlac[Bedrooms],C22)</f>
        <v>24</v>
      </c>
      <c r="F22" s="999">
        <f>E22</f>
        <v>24</v>
      </c>
      <c r="G22" s="999">
        <f>D22*F22</f>
        <v>21.6</v>
      </c>
      <c r="L22" s="968">
        <f>IFERROR(MIN(4,MATCH(Application!B716,UnitSizes,0)-1),"")</f>
        <v>2</v>
      </c>
      <c r="M22" s="990">
        <f>Application!G716</f>
        <v>9</v>
      </c>
      <c r="N22" s="998">
        <f>Application!AC716</f>
        <v>0.3</v>
      </c>
      <c r="O22" s="998">
        <f>IF(Cdlac[[#This Row],[Quantity]]&gt;0,IF(Cdlac[[#This Row],[Federal]],30%,IF($G$36,40%,Cdlac[[#This Row],[iAMI]])),"")</f>
        <v>0.4</v>
      </c>
      <c r="P22" s="990" cm="1">
        <f t="array" ref="P22">IF(Cdlac[[#This Row],[Quantity]]&gt;0,INDEX(TcacRents,$P$18,Cdlac[[#This Row],[Bedrooms]]+1)*Cdlac[[#This Row],[AMI]],"")</f>
        <v>1516.8000000000002</v>
      </c>
      <c r="Q22" s="990" cm="1">
        <f t="array" ref="Q22">IF(Cdlac[[#This Row],[Quantity]]&gt;0,INDEX(HudFmrs,$P$18,Cdlac[[#This Row],[Bedrooms]]+1),"")</f>
        <v>2868</v>
      </c>
      <c r="R22" s="990">
        <f>IF(Cdlac[[#This Row],[Quantity]]&gt;0,MAX(0,Cdlac[[#This Row],[Fair Market Rent]]-Cdlac[[#This Row],[Restricted Rent]]),"")</f>
        <v>1351.1999999999998</v>
      </c>
      <c r="S22" s="968">
        <f>IF(Cdlac[[#This Row],[Quantity]]&gt;0,AND(Application!AK716&lt;&gt;"N/A",Application!AK716&lt;&gt;"")*Cdlac[[#This Row],[Quantity]],"")</f>
        <v>9</v>
      </c>
      <c r="T22" s="968" t="b">
        <f>AND('Subsidy Contract Calculation'!F6&gt;0,'Subsidy Contract Calculation'!C6="Federal",Cdlac[[#This Row],[Quantity]]&gt;0)</f>
        <v>0</v>
      </c>
    </row>
    <row r="23" spans="1:20" ht="15" customHeight="1">
      <c r="C23" s="999">
        <v>1</v>
      </c>
      <c r="D23" s="1000">
        <v>1</v>
      </c>
      <c r="E23" s="999">
        <f>SUMIFS(Cdlac[Quantity],Cdlac[Bedrooms],C23)</f>
        <v>18</v>
      </c>
      <c r="F23" s="999">
        <f>E23</f>
        <v>18</v>
      </c>
      <c r="G23" s="999">
        <f>D23*F23</f>
        <v>18</v>
      </c>
      <c r="L23" s="968">
        <f>IFERROR(MIN(4,MATCH(Application!B717,UnitSizes,0)-1),"")</f>
        <v>3</v>
      </c>
      <c r="M23" s="990">
        <f>Application!G717</f>
        <v>2</v>
      </c>
      <c r="N23" s="998">
        <f>Application!AC717</f>
        <v>0.3</v>
      </c>
      <c r="O23" s="998">
        <f>IF(Cdlac[[#This Row],[Quantity]]&gt;0,IF(Cdlac[[#This Row],[Federal]],30%,IF($G$36,40%,Cdlac[[#This Row],[iAMI]])),"")</f>
        <v>0.4</v>
      </c>
      <c r="P23" s="990" cm="1">
        <f t="array" ref="P23">IF(Cdlac[[#This Row],[Quantity]]&gt;0,INDEX(TcacRents,$P$18,Cdlac[[#This Row],[Bedrooms]]+1)*Cdlac[[#This Row],[AMI]],"")</f>
        <v>1752</v>
      </c>
      <c r="Q23" s="990" cm="1">
        <f t="array" ref="Q23">IF(Cdlac[[#This Row],[Quantity]]&gt;0,INDEX(HudFmrs,$P$18,Cdlac[[#This Row],[Bedrooms]]+1),"")</f>
        <v>3687</v>
      </c>
      <c r="R23" s="990">
        <f>IF(Cdlac[[#This Row],[Quantity]]&gt;0,MAX(0,Cdlac[[#This Row],[Fair Market Rent]]-Cdlac[[#This Row],[Restricted Rent]]),"")</f>
        <v>1935</v>
      </c>
      <c r="S23" s="968">
        <f>IF(Cdlac[[#This Row],[Quantity]]&gt;0,AND(Application!AK717&lt;&gt;"N/A",Application!AK717&lt;&gt;"")*Cdlac[[#This Row],[Quantity]],"")</f>
        <v>2</v>
      </c>
      <c r="T23" s="968" t="b">
        <f>AND('Subsidy Contract Calculation'!F7&gt;0,'Subsidy Contract Calculation'!C7="Federal",Cdlac[[#This Row],[Quantity]]&gt;0)</f>
        <v>0</v>
      </c>
    </row>
    <row r="24" spans="1:20" ht="15" customHeight="1">
      <c r="A24" s="1001"/>
      <c r="C24" s="1002">
        <v>2</v>
      </c>
      <c r="D24" s="1000">
        <v>1.25</v>
      </c>
      <c r="E24" s="999">
        <f>SUMIFS(Cdlac[Quantity],Cdlac[Bedrooms],C24)</f>
        <v>21</v>
      </c>
      <c r="F24" s="1002">
        <f>SUM(E24:E26)-SUM(F25:F26)</f>
        <v>21</v>
      </c>
      <c r="G24" s="999">
        <f>D24*F24</f>
        <v>26.25</v>
      </c>
      <c r="H24" s="1001"/>
      <c r="I24" s="1001"/>
      <c r="L24" s="968">
        <f>IFERROR(MIN(4,MATCH(Application!B718,UnitSizes,0)-1),"")</f>
        <v>0</v>
      </c>
      <c r="M24" s="990">
        <f>Application!G718</f>
        <v>3</v>
      </c>
      <c r="N24" s="998">
        <f>Application!AC718</f>
        <v>0.5</v>
      </c>
      <c r="O24" s="998">
        <f>IF(Cdlac[[#This Row],[Quantity]]&gt;0,IF(Cdlac[[#This Row],[Federal]],30%,IF($G$36,40%,Cdlac[[#This Row],[iAMI]])),"")</f>
        <v>0.4</v>
      </c>
      <c r="P24" s="990" cm="1">
        <f t="array" ref="P24">IF(Cdlac[[#This Row],[Quantity]]&gt;0,INDEX(TcacRents,$P$18,Cdlac[[#This Row],[Bedrooms]]+1)*Cdlac[[#This Row],[AMI]],"")</f>
        <v>1180</v>
      </c>
      <c r="Q24" s="990" cm="1">
        <f t="array" ref="Q24">IF(Cdlac[[#This Row],[Quantity]]&gt;0,INDEX(HudFmrs,$P$18,Cdlac[[#This Row],[Bedrooms]]+1),"")</f>
        <v>2145</v>
      </c>
      <c r="R24" s="990">
        <f>IF(Cdlac[[#This Row],[Quantity]]&gt;0,MAX(0,Cdlac[[#This Row],[Fair Market Rent]]-Cdlac[[#This Row],[Restricted Rent]]),"")</f>
        <v>965</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21</v>
      </c>
      <c r="F25" s="1002">
        <f>MIN(E25,ROUNDDOWN(E27*30%,0))</f>
        <v>21</v>
      </c>
      <c r="G25" s="999">
        <f>D25*F25</f>
        <v>31.5</v>
      </c>
      <c r="H25" s="1001"/>
      <c r="I25" s="1001"/>
      <c r="L25" s="968">
        <f>IFERROR(MIN(4,MATCH(Application!B719,UnitSizes,0)-1),"")</f>
        <v>1</v>
      </c>
      <c r="M25" s="990">
        <f>Application!G719</f>
        <v>8</v>
      </c>
      <c r="N25" s="998">
        <f>Application!AC719</f>
        <v>0.5</v>
      </c>
      <c r="O25" s="998">
        <f>IF(Cdlac[[#This Row],[Quantity]]&gt;0,IF(Cdlac[[#This Row],[Federal]],30%,IF($G$36,40%,Cdlac[[#This Row],[iAMI]])),"")</f>
        <v>0.3</v>
      </c>
      <c r="P25" s="990" cm="1">
        <f t="array" ref="P25">IF(Cdlac[[#This Row],[Quantity]]&gt;0,INDEX(TcacRents,$P$18,Cdlac[[#This Row],[Bedrooms]]+1)*Cdlac[[#This Row],[AMI]],"")</f>
        <v>948</v>
      </c>
      <c r="Q25" s="990" cm="1">
        <f t="array" ref="Q25">IF(Cdlac[[#This Row],[Quantity]]&gt;0,INDEX(HudFmrs,$P$18,Cdlac[[#This Row],[Bedrooms]]+1),"")</f>
        <v>2418</v>
      </c>
      <c r="R25" s="990">
        <f>IF(Cdlac[[#This Row],[Quantity]]&gt;0,MAX(0,Cdlac[[#This Row],[Fair Market Rent]]-Cdlac[[#This Row],[Restricted Rent]]),"")</f>
        <v>1470</v>
      </c>
      <c r="S25" s="968">
        <f>IF(Cdlac[[#This Row],[Quantity]]&gt;0,AND(Application!AK719&lt;&gt;"N/A",Application!AK719&lt;&gt;"")*Cdlac[[#This Row],[Quantity]],"")</f>
        <v>0</v>
      </c>
      <c r="T25" s="968" t="b">
        <f>AND('Subsidy Contract Calculation'!F9&gt;0,'Subsidy Contract Calculation'!C9="Federal",Cdlac[[#This Row],[Quantity]]&gt;0)</f>
        <v>1</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12</v>
      </c>
      <c r="N26" s="998">
        <f>Application!AC720</f>
        <v>0.5</v>
      </c>
      <c r="O26" s="998">
        <f>IF(Cdlac[[#This Row],[Quantity]]&gt;0,IF(Cdlac[[#This Row],[Federal]],30%,IF($G$36,40%,Cdlac[[#This Row],[iAMI]])),"")</f>
        <v>0.3</v>
      </c>
      <c r="P26" s="990" cm="1">
        <f t="array" ref="P26">IF(Cdlac[[#This Row],[Quantity]]&gt;0,INDEX(TcacRents,$P$18,Cdlac[[#This Row],[Bedrooms]]+1)*Cdlac[[#This Row],[AMI]],"")</f>
        <v>1137.5999999999999</v>
      </c>
      <c r="Q26" s="990" cm="1">
        <f t="array" ref="Q26">IF(Cdlac[[#This Row],[Quantity]]&gt;0,INDEX(HudFmrs,$P$18,Cdlac[[#This Row],[Bedrooms]]+1),"")</f>
        <v>2868</v>
      </c>
      <c r="R26" s="990">
        <f>IF(Cdlac[[#This Row],[Quantity]]&gt;0,MAX(0,Cdlac[[#This Row],[Fair Market Rent]]-Cdlac[[#This Row],[Restricted Rent]]),"")</f>
        <v>1730.4</v>
      </c>
      <c r="S26" s="968">
        <f>IF(Cdlac[[#This Row],[Quantity]]&gt;0,AND(Application!AK720&lt;&gt;"N/A",Application!AK720&lt;&gt;"")*Cdlac[[#This Row],[Quantity]],"")</f>
        <v>0</v>
      </c>
      <c r="T26" s="968" t="b">
        <f>AND('Subsidy Contract Calculation'!F10&gt;0,'Subsidy Contract Calculation'!C10="Federal",Cdlac[[#This Row],[Quantity]]&gt;0)</f>
        <v>1</v>
      </c>
    </row>
    <row r="27" spans="1:20" ht="15" customHeight="1">
      <c r="A27" s="1001"/>
      <c r="C27" s="2063" t="s">
        <v>2423</v>
      </c>
      <c r="D27" s="2064"/>
      <c r="E27" s="1017">
        <f>SUM(E22:E26)</f>
        <v>84</v>
      </c>
      <c r="F27" s="1017">
        <f>SUM(F22:F26)</f>
        <v>84</v>
      </c>
      <c r="G27" s="1018">
        <f>SUMPRODUCT(D22:D26,F22:F26)</f>
        <v>97.35</v>
      </c>
      <c r="H27" s="1001"/>
      <c r="I27" s="1001"/>
      <c r="L27" s="968">
        <f>IFERROR(MIN(4,MATCH(Application!B721,UnitSizes,0)-1),"")</f>
        <v>3</v>
      </c>
      <c r="M27" s="990">
        <f>Application!G721</f>
        <v>19</v>
      </c>
      <c r="N27" s="998">
        <f>Application!AC721</f>
        <v>0.5</v>
      </c>
      <c r="O27" s="998">
        <f>IF(Cdlac[[#This Row],[Quantity]]&gt;0,IF(Cdlac[[#This Row],[Federal]],30%,IF($G$36,40%,Cdlac[[#This Row],[iAMI]])),"")</f>
        <v>0.3</v>
      </c>
      <c r="P27" s="990" cm="1">
        <f t="array" ref="P27">IF(Cdlac[[#This Row],[Quantity]]&gt;0,INDEX(TcacRents,$P$18,Cdlac[[#This Row],[Bedrooms]]+1)*Cdlac[[#This Row],[AMI]],"")</f>
        <v>1314</v>
      </c>
      <c r="Q27" s="990" cm="1">
        <f t="array" ref="Q27">IF(Cdlac[[#This Row],[Quantity]]&gt;0,INDEX(HudFmrs,$P$18,Cdlac[[#This Row],[Bedrooms]]+1),"")</f>
        <v>3687</v>
      </c>
      <c r="R27" s="990">
        <f>IF(Cdlac[[#This Row],[Quantity]]&gt;0,MAX(0,Cdlac[[#This Row],[Fair Market Rent]]-Cdlac[[#This Row],[Restricted Rent]]),"")</f>
        <v>2373</v>
      </c>
      <c r="S27" s="968">
        <f>IF(Cdlac[[#This Row],[Quantity]]&gt;0,AND(Application!AK721&lt;&gt;"N/A",Application!AK721&lt;&gt;"")*Cdlac[[#This Row],[Quantity]],"")</f>
        <v>0</v>
      </c>
      <c r="T27" s="968" t="b">
        <f>AND('Subsidy Contract Calculation'!F11&gt;0,'Subsidy Contract Calculation'!C11="Federal",Cdlac[[#This Row],[Quantity]]&gt;0)</f>
        <v>1</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2422</v>
      </c>
      <c r="G29" s="1044">
        <f>G27</f>
        <v>97.35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2424</v>
      </c>
      <c r="F30" s="1043" t="s">
        <v>2425</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2426</v>
      </c>
      <c r="F31" s="970"/>
      <c r="G31" s="1049">
        <f>G30*G29</f>
        <v>4867500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2427</v>
      </c>
      <c r="G35" s="1050" cm="1">
        <f t="array" ref="G35">SUMPRODUCT(Cdlac[Quantity],Cdlac[iAMI],IF(Cdlac[Federal],0,1))/SUMIFS(Cdlac[Quantity],Cdlac[Federal],FALSE)</f>
        <v>0.31333333333333335</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2428</v>
      </c>
      <c r="G36" s="1008" t="b">
        <f>G35&lt;40%</f>
        <v>1</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2429</v>
      </c>
      <c r="G38" s="1005">
        <f>SUMPRODUCT(Cdlac[Quantity],Cdlac[Delta])</f>
        <v>128342.6</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2430</v>
      </c>
      <c r="F39" s="1043" t="s">
        <v>2425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2431</v>
      </c>
      <c r="F40" s="970"/>
      <c r="G40" s="1053">
        <f>G38*G39</f>
        <v>23101668</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2432</v>
      </c>
      <c r="G44" s="1055">
        <f>S18</f>
        <v>42</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2433</v>
      </c>
      <c r="G45" s="1055">
        <f>ROUNDDOWN(E27*50%,0)</f>
        <v>42</v>
      </c>
    </row>
    <row r="46" spans="2:20" ht="15" customHeight="1">
      <c r="E46" s="1047"/>
      <c r="G46" s="1055"/>
    </row>
    <row r="47" spans="2:20" ht="15" customHeight="1">
      <c r="E47" s="1047" t="s">
        <v>2434</v>
      </c>
      <c r="G47" s="1044">
        <f>MIN(G44:G45)</f>
        <v>42</v>
      </c>
    </row>
    <row r="48" spans="2:20" ht="15" customHeight="1">
      <c r="E48" s="1047" t="s">
        <v>2424</v>
      </c>
      <c r="F48" s="1043" t="s">
        <v>2425</v>
      </c>
      <c r="G48" s="1054">
        <v>10000</v>
      </c>
    </row>
    <row r="49" spans="2:14" ht="15" customHeight="1">
      <c r="E49" s="1048" t="s">
        <v>2435</v>
      </c>
      <c r="F49" s="970"/>
      <c r="G49" s="1053">
        <f>G47*G48</f>
        <v>420000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2436</v>
      </c>
      <c r="G53" s="1006">
        <f>SUMIFS(Cdlac[Quantity],Cdlac[iAMI],"&lt;=30%")</f>
        <v>42</v>
      </c>
    </row>
    <row r="54" spans="2:14" ht="15" customHeight="1">
      <c r="E54" s="1047" t="s">
        <v>2433</v>
      </c>
      <c r="G54" s="1006">
        <f>ROUNDDOWN(E27*50%,0)</f>
        <v>42</v>
      </c>
    </row>
    <row r="55" spans="2:14" ht="15" customHeight="1">
      <c r="E55" s="1047"/>
      <c r="G55" s="1006"/>
    </row>
    <row r="56" spans="2:14" ht="15" customHeight="1">
      <c r="E56" s="1047" t="s">
        <v>2434</v>
      </c>
      <c r="G56" s="1044">
        <f>MIN(G53:G54)</f>
        <v>42</v>
      </c>
    </row>
    <row r="57" spans="2:14" ht="15" customHeight="1">
      <c r="E57" s="1047" t="s">
        <v>2424</v>
      </c>
      <c r="F57" s="1043" t="s">
        <v>2425</v>
      </c>
      <c r="G57" s="1054">
        <v>20000</v>
      </c>
    </row>
    <row r="58" spans="2:14" ht="15" customHeight="1">
      <c r="E58" s="1048" t="s">
        <v>2437</v>
      </c>
      <c r="F58" s="970"/>
      <c r="G58" s="1053">
        <f>G56*G57</f>
        <v>840000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2438</v>
      </c>
      <c r="G62" s="1044">
        <f>VLOOKUP('Points System'!$H$595,'Points System'!$AO$575:$AP$580,2,FALSE)</f>
        <v>7</v>
      </c>
      <c r="L62" s="1057" t="str">
        <f>'Points System'!H627</f>
        <v>(i)</v>
      </c>
      <c r="M62" s="2065" t="s">
        <v>2310</v>
      </c>
      <c r="N62" s="2066"/>
    </row>
    <row r="63" spans="2:14" ht="15" customHeight="1">
      <c r="E63" s="1013" t="s">
        <v>2424</v>
      </c>
      <c r="F63" s="1043" t="s">
        <v>2425</v>
      </c>
      <c r="G63" s="1003">
        <v>4000</v>
      </c>
      <c r="L63" s="1058" t="str">
        <f>'Points System'!H639</f>
        <v>(ii)</v>
      </c>
      <c r="M63" s="2057" t="s">
        <v>2439</v>
      </c>
      <c r="N63" s="2058"/>
    </row>
    <row r="64" spans="2:14" ht="15" customHeight="1">
      <c r="E64" s="1013" t="s">
        <v>2440</v>
      </c>
      <c r="F64" s="1043" t="s">
        <v>2425</v>
      </c>
      <c r="G64" s="1056">
        <f>G27</f>
        <v>97.35</v>
      </c>
      <c r="L64" s="1058" t="str">
        <f>'Points System'!H674</f>
        <v>(i)</v>
      </c>
      <c r="M64" s="2057" t="s">
        <v>2441</v>
      </c>
      <c r="N64" s="2058"/>
    </row>
    <row r="65" spans="2:14" ht="15" customHeight="1">
      <c r="E65" s="1048" t="s">
        <v>2442</v>
      </c>
      <c r="F65" s="970"/>
      <c r="G65" s="1053">
        <f>G62*G63*G64</f>
        <v>2725800</v>
      </c>
      <c r="L65" s="1058" t="str">
        <f>'Points System'!H694</f>
        <v>(i)</v>
      </c>
      <c r="M65" s="2057" t="s">
        <v>2443</v>
      </c>
      <c r="N65" s="2058"/>
    </row>
    <row r="66" spans="2:14" ht="15" customHeight="1">
      <c r="C66" s="1004"/>
      <c r="G66" s="1044"/>
      <c r="L66" s="1059" t="str">
        <f>'Points System'!H708</f>
        <v>N/A</v>
      </c>
      <c r="M66" s="2057" t="s">
        <v>2343</v>
      </c>
      <c r="N66" s="2058"/>
    </row>
    <row r="67" spans="2:14" ht="15" customHeight="1">
      <c r="E67" s="1013" t="s">
        <v>2444</v>
      </c>
      <c r="G67" s="1056">
        <f>COUNTIFS(L62:L69,"(i)")</f>
        <v>4</v>
      </c>
      <c r="L67" s="1058" t="str">
        <f>'Points System'!H720</f>
        <v>N/A</v>
      </c>
      <c r="M67" s="2057" t="s">
        <v>2445</v>
      </c>
      <c r="N67" s="2058"/>
    </row>
    <row r="68" spans="2:14" ht="15" customHeight="1">
      <c r="E68" s="1013" t="s">
        <v>2424</v>
      </c>
      <c r="F68" s="1043" t="s">
        <v>2425</v>
      </c>
      <c r="G68" s="1054">
        <v>4000</v>
      </c>
      <c r="L68" s="1058" t="str">
        <f>'Points System'!H736</f>
        <v>(ii)</v>
      </c>
      <c r="M68" s="2057" t="s">
        <v>2446</v>
      </c>
      <c r="N68" s="2058"/>
    </row>
    <row r="69" spans="2:14" ht="15" customHeight="1" thickBot="1">
      <c r="E69" s="1048" t="s">
        <v>2447</v>
      </c>
      <c r="F69" s="970"/>
      <c r="G69" s="1053">
        <f>G64*G67*G68</f>
        <v>1557600</v>
      </c>
      <c r="L69" s="1060" t="str">
        <f>'Points System'!H748</f>
        <v>(i)</v>
      </c>
      <c r="M69" s="2059" t="s">
        <v>2347</v>
      </c>
      <c r="N69" s="2060"/>
    </row>
    <row r="70" spans="2:14" ht="15" customHeight="1"/>
    <row r="71" spans="2:14" ht="15" customHeight="1">
      <c r="C71" s="1007" t="s">
        <v>2448</v>
      </c>
    </row>
    <row r="72" spans="2:14" ht="15" customHeight="1">
      <c r="C72" s="1004" t="s">
        <v>2449</v>
      </c>
      <c r="G72" s="967"/>
    </row>
    <row r="73" spans="2:14" ht="15" customHeight="1">
      <c r="C73" s="1004" t="s">
        <v>2450</v>
      </c>
      <c r="G73" s="967"/>
    </row>
    <row r="74" spans="2:14" ht="15" customHeight="1">
      <c r="C74" s="1004" t="s">
        <v>2451</v>
      </c>
      <c r="G74" s="967" t="s">
        <v>946</v>
      </c>
    </row>
    <row r="75" spans="2:14" ht="15" customHeight="1">
      <c r="C75" s="1004" t="s">
        <v>2452</v>
      </c>
      <c r="G75" s="967"/>
    </row>
    <row r="76" spans="2:14" ht="15" customHeight="1"/>
    <row r="77" spans="2:14" ht="15" customHeight="1">
      <c r="B77" s="1005"/>
      <c r="C77" s="1004"/>
      <c r="E77" s="1013" t="s">
        <v>2453</v>
      </c>
      <c r="G77" s="1006" t="b">
        <f>COUNTIFS(G72:G75,"Yes")&gt;=1</f>
        <v>1</v>
      </c>
    </row>
    <row r="78" spans="2:14" ht="15" customHeight="1">
      <c r="E78" s="1004"/>
    </row>
    <row r="79" spans="2:14" ht="15" customHeight="1">
      <c r="E79" s="1013" t="s">
        <v>2440</v>
      </c>
      <c r="F79" s="1043" t="s">
        <v>2425</v>
      </c>
      <c r="G79" s="1044">
        <f>G27</f>
        <v>97.35</v>
      </c>
    </row>
    <row r="80" spans="2:14" ht="15" customHeight="1">
      <c r="E80" s="1013" t="s">
        <v>2424</v>
      </c>
      <c r="F80" s="1043" t="s">
        <v>2425</v>
      </c>
      <c r="G80" s="1054">
        <v>25000</v>
      </c>
    </row>
    <row r="81" spans="2:14" ht="15" customHeight="1">
      <c r="E81" s="1048" t="s">
        <v>2454</v>
      </c>
      <c r="F81" s="970"/>
      <c r="G81" s="1053">
        <f>G77*G80*G64</f>
        <v>2433750</v>
      </c>
    </row>
    <row r="82" spans="2:14" ht="15" customHeight="1">
      <c r="C82" s="1004"/>
      <c r="E82" s="1004"/>
    </row>
    <row r="83" spans="2:14" ht="15" customHeight="1">
      <c r="E83" s="1048" t="s">
        <v>2455</v>
      </c>
      <c r="G83" s="1053">
        <f>G81+G69+G65</f>
        <v>6717150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2456</v>
      </c>
      <c r="G87" s="967" t="s">
        <v>946</v>
      </c>
      <c r="L87" s="2061" t="s">
        <v>2457</v>
      </c>
      <c r="M87" s="2062"/>
      <c r="N87" s="1061">
        <v>30000</v>
      </c>
    </row>
    <row r="88" spans="2:14" ht="15" customHeight="1">
      <c r="C88" s="1004" t="s">
        <v>2458</v>
      </c>
      <c r="G88" s="1008" t="str">
        <f>IF(Application!D210="Large Family","Yes","No")</f>
        <v>Yes</v>
      </c>
      <c r="L88" s="2053" t="s">
        <v>1046</v>
      </c>
      <c r="M88" s="2054"/>
      <c r="N88" s="1062">
        <v>20000</v>
      </c>
    </row>
    <row r="89" spans="2:14" ht="15" customHeight="1" thickBot="1">
      <c r="C89" s="1004" t="s">
        <v>2459</v>
      </c>
      <c r="G89" s="967" t="s">
        <v>837</v>
      </c>
      <c r="L89" s="2055" t="s">
        <v>2460</v>
      </c>
      <c r="M89" s="2056"/>
      <c r="N89" s="1063">
        <v>10000</v>
      </c>
    </row>
    <row r="90" spans="2:14" ht="15" customHeight="1">
      <c r="C90" s="1004" t="s">
        <v>2461</v>
      </c>
      <c r="G90" s="968" t="str">
        <f>Application!T193</f>
        <v>High Resource</v>
      </c>
    </row>
    <row r="91" spans="2:14" ht="15" customHeight="1">
      <c r="C91" s="1004"/>
    </row>
    <row r="92" spans="2:14" ht="15" customHeight="1">
      <c r="E92" s="1013" t="s">
        <v>2453</v>
      </c>
      <c r="G92" s="1006" t="b">
        <f>AND(COUNTIFS(G88:G89,"Yes")&gt;=1,G87="Yes")</f>
        <v>1</v>
      </c>
    </row>
    <row r="93" spans="2:14" ht="15" customHeight="1">
      <c r="E93" s="1013"/>
      <c r="G93" s="1006"/>
    </row>
    <row r="94" spans="2:14" ht="15" customHeight="1">
      <c r="E94" s="1013" t="s">
        <v>2424</v>
      </c>
      <c r="G94" s="1005">
        <f>IFERROR(INDEX(N87:N89,MATCH(LEFT(G90,17),L87:L89,0)),0)</f>
        <v>20000</v>
      </c>
    </row>
    <row r="95" spans="2:14" ht="15" customHeight="1">
      <c r="E95" s="1013" t="str">
        <f>E64</f>
        <v>Bedroom-Adjusted Low-Income Units</v>
      </c>
      <c r="F95" s="1043" t="s">
        <v>2425</v>
      </c>
      <c r="G95" s="1044">
        <f>G27</f>
        <v>97.35</v>
      </c>
    </row>
    <row r="96" spans="2:14" ht="15" customHeight="1">
      <c r="D96" s="970"/>
      <c r="E96" s="1048" t="s">
        <v>2462</v>
      </c>
      <c r="F96" s="970"/>
      <c r="G96" s="1053">
        <f>G95*G94*G92</f>
        <v>1947000</v>
      </c>
    </row>
    <row r="97" spans="2:9" ht="15" customHeight="1"/>
    <row r="98" spans="2:9" ht="15" customHeight="1">
      <c r="B98" s="993" t="s">
        <v>2463</v>
      </c>
      <c r="C98" s="994"/>
      <c r="D98" s="994"/>
      <c r="E98" s="994"/>
      <c r="F98" s="994"/>
      <c r="G98" s="994"/>
      <c r="H98" s="994"/>
      <c r="I98" s="995"/>
    </row>
    <row r="99" spans="2:9" ht="15" customHeight="1"/>
    <row r="100" spans="2:9" ht="15" customHeight="1">
      <c r="F100" s="1046" t="s">
        <v>2464</v>
      </c>
      <c r="G100" s="967"/>
    </row>
    <row r="101" spans="2:9" ht="15" customHeight="1">
      <c r="F101" s="1046"/>
    </row>
    <row r="102" spans="2:9" ht="15" customHeight="1">
      <c r="E102" s="1013" t="s">
        <v>2453</v>
      </c>
      <c r="G102" s="1006" t="b">
        <f>G100="Yes"</f>
        <v>0</v>
      </c>
    </row>
    <row r="103" spans="2:9" ht="15" customHeight="1"/>
    <row r="104" spans="2:9" ht="15" customHeight="1">
      <c r="E104" s="1013" t="str">
        <f>E64</f>
        <v>Bedroom-Adjusted Low-Income Units</v>
      </c>
      <c r="G104" s="1044">
        <f>G27</f>
        <v>97.35</v>
      </c>
    </row>
    <row r="105" spans="2:9" ht="15" customHeight="1">
      <c r="E105" s="1013" t="s">
        <v>2424</v>
      </c>
      <c r="F105" s="1043" t="s">
        <v>2425</v>
      </c>
      <c r="G105" s="974">
        <v>20000</v>
      </c>
    </row>
    <row r="106" spans="2:9" ht="15" customHeight="1">
      <c r="E106" s="1048" t="s">
        <v>2465</v>
      </c>
      <c r="F106" s="970"/>
      <c r="G106" s="1053">
        <f>G102*G105*G104</f>
        <v>0</v>
      </c>
    </row>
    <row r="107" spans="2:9" ht="15" customHeight="1"/>
    <row r="108" spans="2:9" ht="15" customHeight="1">
      <c r="B108" s="993" t="s">
        <v>2466</v>
      </c>
      <c r="C108" s="994"/>
      <c r="D108" s="994"/>
      <c r="E108" s="994"/>
      <c r="F108" s="994"/>
      <c r="G108" s="994"/>
      <c r="H108" s="994"/>
      <c r="I108" s="995"/>
    </row>
    <row r="109" spans="2:9" ht="15" customHeight="1"/>
    <row r="110" spans="2:9" ht="15" customHeight="1">
      <c r="E110" s="1013" t="s">
        <v>1027</v>
      </c>
      <c r="G110" s="968" t="str">
        <f>IF(Application!T189="","",Application!T189)</f>
        <v>Santa Clara</v>
      </c>
    </row>
    <row r="111" spans="2:9" ht="15" customHeight="1">
      <c r="E111" s="1013"/>
      <c r="G111" s="1005"/>
    </row>
    <row r="112" spans="2:9" ht="15" customHeight="1">
      <c r="E112" s="1013" t="str">
        <f>"2-Bedroom "&amp;G110&amp;" County Basis Limit"</f>
        <v>2-Bedroom Santa Clara County Basis Limit</v>
      </c>
      <c r="G112" s="1005">
        <f>Application!R957</f>
        <v>740000</v>
      </c>
    </row>
    <row r="113" spans="4:9" ht="15" customHeight="1">
      <c r="E113" s="1013" t="s">
        <v>2467</v>
      </c>
      <c r="G113" s="1005">
        <f>MEDIAN((Application!BR795:BR852))</f>
        <v>489600</v>
      </c>
    </row>
    <row r="114" spans="4:9" ht="15" customHeight="1">
      <c r="D114" s="970"/>
      <c r="E114" s="1048" t="s">
        <v>2468</v>
      </c>
      <c r="F114" s="1064"/>
      <c r="G114" s="1065">
        <f>((G112-G113)/G113)*0.25</f>
        <v>0.127859477124183</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6" ma:contentTypeDescription="Create a new document." ma:contentTypeScope="" ma:versionID="caae18da85a9381f482775af2629a89c">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46193e55a6bea50ace41d32e5e2d0f04"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519D08-19B0-4D69-805C-15E9E79DEFDE}">
  <ds:schemaRefs>
    <ds:schemaRef ds:uri="http://schemas.microsoft.com/sharepoint/v3/contenttype/forms"/>
  </ds:schemaRefs>
</ds:datastoreItem>
</file>

<file path=customXml/itemProps2.xml><?xml version="1.0" encoding="utf-8"?>
<ds:datastoreItem xmlns:ds="http://schemas.openxmlformats.org/officeDocument/2006/customXml" ds:itemID="{1C2E6D06-AF8F-49F4-869D-65F2EF4CBE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Marvel Ang</cp:lastModifiedBy>
  <cp:revision/>
  <dcterms:created xsi:type="dcterms:W3CDTF">2007-12-27T18:26:28Z</dcterms:created>
  <dcterms:modified xsi:type="dcterms:W3CDTF">2023-05-23T17:43:56Z</dcterms:modified>
  <cp:category/>
  <cp:contentStatus/>
</cp:coreProperties>
</file>